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ustinswan/Documents/Strath Sem 2/Group Project/"/>
    </mc:Choice>
  </mc:AlternateContent>
  <xr:revisionPtr revIDLastSave="0" documentId="13_ncr:1_{54060543-3524-F94F-A320-F95A4F18EC36}" xr6:coauthVersionLast="40" xr6:coauthVersionMax="40" xr10:uidLastSave="{00000000-0000-0000-0000-000000000000}"/>
  <bookViews>
    <workbookView xWindow="0" yWindow="0" windowWidth="28800" windowHeight="18000" xr2:uid="{58ACBD20-00E0-2E4A-B2CB-D017322D5DD2}"/>
  </bookViews>
  <sheets>
    <sheet name="Sheet2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" i="2" l="1"/>
  <c r="H5" i="2" l="1"/>
  <c r="H4" i="2"/>
  <c r="B11" i="2" l="1"/>
  <c r="E13" i="2"/>
  <c r="E12" i="2"/>
  <c r="E18" i="2"/>
  <c r="E21" i="2" s="1"/>
  <c r="E5" i="2" l="1"/>
  <c r="K5" i="2"/>
  <c r="B24" i="2" l="1"/>
  <c r="K4" i="2" l="1"/>
  <c r="B25" i="2"/>
  <c r="K6" i="2" s="1"/>
  <c r="E7" i="2"/>
  <c r="E6" i="2"/>
  <c r="E8" i="2"/>
  <c r="H6" i="2" l="1"/>
  <c r="H7" i="2" s="1"/>
  <c r="H8" i="2" s="1"/>
  <c r="K7" i="2"/>
  <c r="K8" i="2" s="1"/>
</calcChain>
</file>

<file path=xl/sharedStrings.xml><?xml version="1.0" encoding="utf-8"?>
<sst xmlns="http://schemas.openxmlformats.org/spreadsheetml/2006/main" count="53" uniqueCount="43">
  <si>
    <t>CO2 Saving Calculator</t>
  </si>
  <si>
    <t>No. of houses</t>
  </si>
  <si>
    <t>Housing</t>
  </si>
  <si>
    <t>Commercial</t>
  </si>
  <si>
    <t>Vehicles</t>
  </si>
  <si>
    <t>Total</t>
  </si>
  <si>
    <t>Comercial</t>
  </si>
  <si>
    <t>Fuel car demand (MWh)</t>
  </si>
  <si>
    <t>Emission factor of Coal/oil (TonnesC/TJ)</t>
  </si>
  <si>
    <t>Current demand</t>
  </si>
  <si>
    <t>Future Deamnd</t>
  </si>
  <si>
    <t>Transport</t>
  </si>
  <si>
    <t>Future Supply</t>
  </si>
  <si>
    <t>Combustion vs EV demand ratio</t>
  </si>
  <si>
    <t>Current tonnesCO2/year</t>
  </si>
  <si>
    <t>Future tonnesCO2/year without PPA</t>
  </si>
  <si>
    <t>Emission factor of Coal/oil (kgCO2/kWh)</t>
  </si>
  <si>
    <t>CO2 per litre petrol/diesel (kgCO2/ltr)</t>
  </si>
  <si>
    <t>Commercial demand (MWh)</t>
  </si>
  <si>
    <t>Electrical post (MWh)</t>
  </si>
  <si>
    <t>Water heating post retro (MWh)</t>
  </si>
  <si>
    <t>Space heating post retro (MWh)</t>
  </si>
  <si>
    <t>Ave consumption post retrofit (MWh)</t>
  </si>
  <si>
    <t>Percentage of heating from Fossil fuels</t>
  </si>
  <si>
    <t>Fuel (kWh/ltr)</t>
  </si>
  <si>
    <t>% houses retrofit</t>
  </si>
  <si>
    <t>Grid CO2 intensity (kgCO2/kWh)</t>
  </si>
  <si>
    <t>Factors used</t>
  </si>
  <si>
    <t>Per person</t>
  </si>
  <si>
    <t>Number of residents</t>
  </si>
  <si>
    <t>EV demand (MWh)</t>
  </si>
  <si>
    <t>Hydro generation (MWh)</t>
  </si>
  <si>
    <t>Ave house demand (MWh)</t>
  </si>
  <si>
    <t>PV generation housing (MWh)</t>
  </si>
  <si>
    <t>PV generation school (MWh)</t>
  </si>
  <si>
    <t>PV generation Mamores (MWh)</t>
  </si>
  <si>
    <t>Total PV (MWh)</t>
  </si>
  <si>
    <t>% uptake in EVs</t>
  </si>
  <si>
    <t>EV demand all vehicles(MWh)</t>
  </si>
  <si>
    <t>Fuel demand (MWh)</t>
  </si>
  <si>
    <t>Average space heating pre retrofit (MWh)</t>
  </si>
  <si>
    <t>Ave water heating pre retrofit (MWh)</t>
  </si>
  <si>
    <t>Ave electrical demand (MWh)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</si>
</sst>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5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9" fontId="0" fillId="0" borderId="0" xfId="0" applyNumberFormat="1"/>
    <xf numFmtId="164" fontId="0" fillId="0" borderId="0" xfId="0" applyNumberFormat="1"/>
    <xf numFmtId="1" fontId="0" fillId="0" borderId="0" xfId="0" applyNumberFormat="1"/>
    <xf numFmtId="2" fontId="0" fillId="0" borderId="0" xfId="0" applyNumberFormat="1"/>
    <xf numFmtId="165" fontId="0" fillId="0" borderId="0" xfId="0" applyNumberFormat="1"/>
    <xf numFmtId="0" fontId="0" fillId="0" borderId="0" xfId="0" applyNumberFormat="1"/>
    <xf numFmtId="0" fontId="1" fillId="0" borderId="0" xfId="0" applyFont="1"/>
    <xf numFmtId="0" fontId="2" fillId="0" borderId="0" xfId="0" applyFont="1"/>
    <xf numFmtId="0" fontId="3" fillId="0" borderId="0" xfId="0" applyFont="1"/>
    <xf numFmtId="1" fontId="1" fillId="0" borderId="0" xfId="0" applyNumberFormat="1" applyFont="1"/>
    <xf numFmtId="1" fontId="4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1B81CD-561A-2048-8235-A36373D20290}">
  <dimension ref="A1:AM30"/>
  <sheetViews>
    <sheetView tabSelected="1" zoomScaleNormal="100" workbookViewId="0">
      <selection activeCell="N7" sqref="N7"/>
    </sheetView>
  </sheetViews>
  <sheetFormatPr baseColWidth="10" defaultRowHeight="16" x14ac:dyDescent="0.2"/>
  <cols>
    <col min="1" max="1" width="33.6640625" bestFit="1" customWidth="1"/>
    <col min="4" max="4" width="32.5" bestFit="1" customWidth="1"/>
    <col min="8" max="8" width="13.1640625" bestFit="1" customWidth="1"/>
  </cols>
  <sheetData>
    <row r="1" spans="1:39" ht="21" x14ac:dyDescent="0.25">
      <c r="A1" s="9" t="s">
        <v>0</v>
      </c>
    </row>
    <row r="2" spans="1:39" ht="19" x14ac:dyDescent="0.25">
      <c r="A2" s="8" t="s">
        <v>9</v>
      </c>
      <c r="D2" s="7" t="s">
        <v>10</v>
      </c>
      <c r="G2" s="7" t="s">
        <v>14</v>
      </c>
      <c r="J2" s="7" t="s">
        <v>15</v>
      </c>
    </row>
    <row r="3" spans="1:39" x14ac:dyDescent="0.2">
      <c r="A3" s="7" t="s">
        <v>2</v>
      </c>
      <c r="D3" s="7" t="s">
        <v>2</v>
      </c>
    </row>
    <row r="4" spans="1:39" x14ac:dyDescent="0.2">
      <c r="A4" t="s">
        <v>1</v>
      </c>
      <c r="B4">
        <v>475</v>
      </c>
      <c r="D4" t="s">
        <v>25</v>
      </c>
      <c r="E4" s="1">
        <v>1</v>
      </c>
      <c r="G4" t="s">
        <v>2</v>
      </c>
      <c r="H4" s="3">
        <f>B4*B5*B27+B9*(B4*B6*B24-B4*B6*B27)</f>
        <v>4540.9800500000001</v>
      </c>
      <c r="J4" t="s">
        <v>2</v>
      </c>
      <c r="K4" s="3">
        <f>($E4*$E5)*$B27*$B4 + (1-E4)*H4</f>
        <v>1210.395</v>
      </c>
      <c r="R4" s="1"/>
      <c r="S4" s="2"/>
      <c r="V4" s="2"/>
      <c r="X4" s="1"/>
      <c r="AD4" s="1"/>
      <c r="AH4" s="2"/>
      <c r="AL4" s="2"/>
      <c r="AM4" s="2"/>
    </row>
    <row r="5" spans="1:39" x14ac:dyDescent="0.2">
      <c r="A5" t="s">
        <v>32</v>
      </c>
      <c r="B5" s="2">
        <v>36.729999999999997</v>
      </c>
      <c r="C5" s="2"/>
      <c r="D5" t="s">
        <v>22</v>
      </c>
      <c r="E5" s="2">
        <f>10.275</f>
        <v>10.275</v>
      </c>
      <c r="G5" t="s">
        <v>3</v>
      </c>
      <c r="H5" s="3">
        <f>B15*B27</f>
        <v>880.4</v>
      </c>
      <c r="I5" s="2"/>
      <c r="J5" t="s">
        <v>6</v>
      </c>
      <c r="K5" s="3">
        <f>$E15*$B27</f>
        <v>880.4</v>
      </c>
    </row>
    <row r="6" spans="1:39" x14ac:dyDescent="0.2">
      <c r="A6" t="s">
        <v>40</v>
      </c>
      <c r="B6" s="2">
        <v>18.329999999999998</v>
      </c>
      <c r="C6" s="2"/>
      <c r="D6" t="s">
        <v>21</v>
      </c>
      <c r="E6" s="4">
        <f>B6/11</f>
        <v>1.6663636363636363</v>
      </c>
      <c r="G6" t="s">
        <v>4</v>
      </c>
      <c r="H6" s="3">
        <f>B11/B26*B25</f>
        <v>920.71980000000008</v>
      </c>
      <c r="I6" s="2"/>
      <c r="J6" t="s">
        <v>4</v>
      </c>
      <c r="K6" s="3">
        <f>$E12*$B27+E13/B26*B25</f>
        <v>235.352</v>
      </c>
      <c r="N6" s="3"/>
    </row>
    <row r="7" spans="1:39" x14ac:dyDescent="0.2">
      <c r="A7" t="s">
        <v>41</v>
      </c>
      <c r="B7">
        <v>3.57</v>
      </c>
      <c r="D7" t="s">
        <v>20</v>
      </c>
      <c r="E7" s="4">
        <f>B7/3</f>
        <v>1.19</v>
      </c>
      <c r="G7" s="7" t="s">
        <v>5</v>
      </c>
      <c r="H7" s="10">
        <f>H4+H5+H6</f>
        <v>6342.0998499999996</v>
      </c>
      <c r="I7" s="2"/>
      <c r="J7" s="7" t="s">
        <v>5</v>
      </c>
      <c r="K7" s="10">
        <f>K4+K5+K6-($E17+$E21)*$B27</f>
        <v>1393.6669999999999</v>
      </c>
    </row>
    <row r="8" spans="1:39" x14ac:dyDescent="0.2">
      <c r="A8" t="s">
        <v>42</v>
      </c>
      <c r="B8" s="2">
        <f>14.83</f>
        <v>14.83</v>
      </c>
      <c r="C8" s="2"/>
      <c r="D8" t="s">
        <v>19</v>
      </c>
      <c r="E8" s="4">
        <f>B8*0.5</f>
        <v>7.415</v>
      </c>
      <c r="G8" t="s">
        <v>28</v>
      </c>
      <c r="H8" s="2">
        <f>H7/B29</f>
        <v>7.9276248124999995</v>
      </c>
      <c r="I8" s="1"/>
      <c r="J8" t="s">
        <v>28</v>
      </c>
      <c r="K8" s="2">
        <f>K7/B29</f>
        <v>1.7420837499999999</v>
      </c>
    </row>
    <row r="9" spans="1:39" x14ac:dyDescent="0.2">
      <c r="A9" t="s">
        <v>23</v>
      </c>
      <c r="B9" s="1">
        <v>0.3</v>
      </c>
      <c r="C9" s="1"/>
      <c r="E9" s="4"/>
    </row>
    <row r="10" spans="1:39" x14ac:dyDescent="0.2">
      <c r="A10" s="7" t="s">
        <v>11</v>
      </c>
      <c r="D10" s="7" t="s">
        <v>11</v>
      </c>
      <c r="H10" s="1"/>
      <c r="I10" s="1"/>
    </row>
    <row r="11" spans="1:39" x14ac:dyDescent="0.2">
      <c r="A11" t="s">
        <v>7</v>
      </c>
      <c r="B11" s="3">
        <f>B30*B28</f>
        <v>3985.8</v>
      </c>
      <c r="C11" s="3"/>
      <c r="D11" t="s">
        <v>37</v>
      </c>
      <c r="E11" s="1">
        <v>1</v>
      </c>
      <c r="H11" s="6"/>
      <c r="I11" s="6"/>
    </row>
    <row r="12" spans="1:39" x14ac:dyDescent="0.2">
      <c r="B12" s="3"/>
      <c r="C12" s="3"/>
      <c r="D12" t="s">
        <v>30</v>
      </c>
      <c r="E12" s="6">
        <f>B30*E11</f>
        <v>949</v>
      </c>
    </row>
    <row r="13" spans="1:39" x14ac:dyDescent="0.2">
      <c r="B13" s="3"/>
      <c r="C13" s="3"/>
      <c r="D13" t="s">
        <v>39</v>
      </c>
      <c r="E13" s="3">
        <f>(1-E11)*B11</f>
        <v>0</v>
      </c>
    </row>
    <row r="14" spans="1:39" x14ac:dyDescent="0.2">
      <c r="A14" s="7" t="s">
        <v>3</v>
      </c>
      <c r="D14" s="7" t="s">
        <v>3</v>
      </c>
    </row>
    <row r="15" spans="1:39" x14ac:dyDescent="0.2">
      <c r="A15" t="s">
        <v>18</v>
      </c>
      <c r="B15">
        <v>3550</v>
      </c>
      <c r="D15" t="s">
        <v>18</v>
      </c>
      <c r="E15">
        <v>3550</v>
      </c>
    </row>
    <row r="16" spans="1:39" x14ac:dyDescent="0.2">
      <c r="D16" s="7" t="s">
        <v>12</v>
      </c>
    </row>
    <row r="17" spans="1:6" x14ac:dyDescent="0.2">
      <c r="D17" t="s">
        <v>31</v>
      </c>
      <c r="E17" s="3">
        <v>2050</v>
      </c>
      <c r="F17" s="11"/>
    </row>
    <row r="18" spans="1:6" x14ac:dyDescent="0.2">
      <c r="D18" t="s">
        <v>33</v>
      </c>
      <c r="E18" s="3">
        <f>1500*E4</f>
        <v>1500</v>
      </c>
    </row>
    <row r="19" spans="1:6" x14ac:dyDescent="0.2">
      <c r="D19" t="s">
        <v>34</v>
      </c>
      <c r="E19">
        <v>150</v>
      </c>
    </row>
    <row r="20" spans="1:6" x14ac:dyDescent="0.2">
      <c r="C20" s="4"/>
      <c r="D20" t="s">
        <v>35</v>
      </c>
      <c r="E20">
        <v>60</v>
      </c>
    </row>
    <row r="21" spans="1:6" x14ac:dyDescent="0.2">
      <c r="C21" s="5"/>
      <c r="D21" t="s">
        <v>36</v>
      </c>
      <c r="E21" s="3">
        <f>SUM(E18:E20)</f>
        <v>1710</v>
      </c>
    </row>
    <row r="22" spans="1:6" x14ac:dyDescent="0.2">
      <c r="A22" s="7" t="s">
        <v>27</v>
      </c>
    </row>
    <row r="23" spans="1:6" x14ac:dyDescent="0.2">
      <c r="A23" t="s">
        <v>8</v>
      </c>
      <c r="B23" s="4">
        <v>25</v>
      </c>
    </row>
    <row r="24" spans="1:6" x14ac:dyDescent="0.2">
      <c r="A24" t="s">
        <v>16</v>
      </c>
      <c r="B24" s="5">
        <f>B23*3.6*10^(-6)*1000*44/12</f>
        <v>0.33</v>
      </c>
    </row>
    <row r="25" spans="1:6" x14ac:dyDescent="0.2">
      <c r="A25" t="s">
        <v>17</v>
      </c>
      <c r="B25">
        <f>2.31</f>
        <v>2.31</v>
      </c>
    </row>
    <row r="26" spans="1:6" x14ac:dyDescent="0.2">
      <c r="A26" t="s">
        <v>24</v>
      </c>
      <c r="B26">
        <v>10</v>
      </c>
    </row>
    <row r="27" spans="1:6" x14ac:dyDescent="0.2">
      <c r="A27" t="s">
        <v>26</v>
      </c>
      <c r="B27">
        <v>0.248</v>
      </c>
    </row>
    <row r="28" spans="1:6" x14ac:dyDescent="0.2">
      <c r="A28" t="s">
        <v>13</v>
      </c>
      <c r="B28">
        <v>4.2</v>
      </c>
    </row>
    <row r="29" spans="1:6" x14ac:dyDescent="0.2">
      <c r="A29" t="s">
        <v>29</v>
      </c>
      <c r="B29">
        <v>800</v>
      </c>
    </row>
    <row r="30" spans="1:6" x14ac:dyDescent="0.2">
      <c r="A30" t="s">
        <v>38</v>
      </c>
      <c r="B30">
        <v>949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2019-04-08T15:54:54Z</dcterms:created>
  <dcterms:modified xsi:type="dcterms:W3CDTF">2019-05-08T17:55:03Z</dcterms:modified>
</cp:coreProperties>
</file>