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bookViews>
    <workbookView xWindow="960" yWindow="0" windowWidth="19440" windowHeight="13740" firstSheet="1" activeTab="1"/>
  </bookViews>
  <sheets>
    <sheet name="Raw Data" sheetId="2" r:id="rId1"/>
    <sheet name="Calculated Data" sheetId="1" r:id="rId2"/>
  </sheets>
  <calcPr calcId="162912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B486" i="1" l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19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66" i="1"/>
  <c r="AB762" i="1"/>
  <c r="T762" i="1"/>
  <c r="C46" i="1"/>
  <c r="U762" i="1"/>
  <c r="C49" i="1"/>
  <c r="C50" i="1"/>
  <c r="C48" i="1"/>
  <c r="C52" i="1"/>
  <c r="V762" i="1"/>
  <c r="F33" i="1"/>
  <c r="W762" i="1"/>
  <c r="X762" i="1"/>
  <c r="AB761" i="1"/>
  <c r="T761" i="1"/>
  <c r="U761" i="1"/>
  <c r="V761" i="1"/>
  <c r="W761" i="1"/>
  <c r="X761" i="1"/>
  <c r="AB760" i="1"/>
  <c r="T760" i="1"/>
  <c r="U760" i="1"/>
  <c r="V760" i="1"/>
  <c r="W760" i="1"/>
  <c r="X760" i="1"/>
  <c r="AB759" i="1"/>
  <c r="T759" i="1"/>
  <c r="U759" i="1"/>
  <c r="V759" i="1"/>
  <c r="W759" i="1"/>
  <c r="X759" i="1"/>
  <c r="AB758" i="1"/>
  <c r="T758" i="1"/>
  <c r="U758" i="1"/>
  <c r="V758" i="1"/>
  <c r="W758" i="1"/>
  <c r="X758" i="1"/>
  <c r="AB757" i="1"/>
  <c r="T757" i="1"/>
  <c r="U757" i="1"/>
  <c r="V757" i="1"/>
  <c r="W757" i="1"/>
  <c r="X757" i="1"/>
  <c r="AB756" i="1"/>
  <c r="T756" i="1"/>
  <c r="U756" i="1"/>
  <c r="V756" i="1"/>
  <c r="W756" i="1"/>
  <c r="X756" i="1"/>
  <c r="AB755" i="1"/>
  <c r="T755" i="1"/>
  <c r="U755" i="1"/>
  <c r="V755" i="1"/>
  <c r="W755" i="1"/>
  <c r="X755" i="1"/>
  <c r="AB754" i="1"/>
  <c r="T754" i="1"/>
  <c r="U754" i="1"/>
  <c r="V754" i="1"/>
  <c r="W754" i="1"/>
  <c r="X754" i="1"/>
  <c r="AB753" i="1"/>
  <c r="T753" i="1"/>
  <c r="U753" i="1"/>
  <c r="V753" i="1"/>
  <c r="W753" i="1"/>
  <c r="X753" i="1"/>
  <c r="AB752" i="1"/>
  <c r="T752" i="1"/>
  <c r="U752" i="1"/>
  <c r="V752" i="1"/>
  <c r="W752" i="1"/>
  <c r="X752" i="1"/>
  <c r="AB751" i="1"/>
  <c r="T751" i="1"/>
  <c r="U751" i="1"/>
  <c r="V751" i="1"/>
  <c r="W751" i="1"/>
  <c r="X751" i="1"/>
  <c r="AB750" i="1"/>
  <c r="T750" i="1"/>
  <c r="U750" i="1"/>
  <c r="V750" i="1"/>
  <c r="W750" i="1"/>
  <c r="X750" i="1"/>
  <c r="AB749" i="1"/>
  <c r="T749" i="1"/>
  <c r="U749" i="1"/>
  <c r="V749" i="1"/>
  <c r="W749" i="1"/>
  <c r="X749" i="1"/>
  <c r="AB748" i="1"/>
  <c r="T748" i="1"/>
  <c r="U748" i="1"/>
  <c r="V748" i="1"/>
  <c r="W748" i="1"/>
  <c r="X748" i="1"/>
  <c r="AB747" i="1"/>
  <c r="T747" i="1"/>
  <c r="U747" i="1"/>
  <c r="V747" i="1"/>
  <c r="W747" i="1"/>
  <c r="X747" i="1"/>
  <c r="AB746" i="1"/>
  <c r="T746" i="1"/>
  <c r="U746" i="1"/>
  <c r="V746" i="1"/>
  <c r="W746" i="1"/>
  <c r="X746" i="1"/>
  <c r="AB745" i="1"/>
  <c r="T745" i="1"/>
  <c r="U745" i="1"/>
  <c r="V745" i="1"/>
  <c r="W745" i="1"/>
  <c r="X745" i="1"/>
  <c r="AB744" i="1"/>
  <c r="T744" i="1"/>
  <c r="U744" i="1"/>
  <c r="V744" i="1"/>
  <c r="W744" i="1"/>
  <c r="X744" i="1"/>
  <c r="AB743" i="1"/>
  <c r="T743" i="1"/>
  <c r="U743" i="1"/>
  <c r="V743" i="1"/>
  <c r="W743" i="1"/>
  <c r="X743" i="1"/>
  <c r="AB742" i="1"/>
  <c r="T742" i="1"/>
  <c r="U742" i="1"/>
  <c r="V742" i="1"/>
  <c r="W742" i="1"/>
  <c r="X742" i="1"/>
  <c r="AB741" i="1"/>
  <c r="T741" i="1"/>
  <c r="U741" i="1"/>
  <c r="V741" i="1"/>
  <c r="W741" i="1"/>
  <c r="X741" i="1"/>
  <c r="AB740" i="1"/>
  <c r="T740" i="1"/>
  <c r="U740" i="1"/>
  <c r="V740" i="1"/>
  <c r="W740" i="1"/>
  <c r="X740" i="1"/>
  <c r="AB739" i="1"/>
  <c r="T739" i="1"/>
  <c r="U739" i="1"/>
  <c r="V739" i="1"/>
  <c r="W739" i="1"/>
  <c r="X739" i="1"/>
  <c r="T738" i="1"/>
  <c r="U738" i="1"/>
  <c r="V738" i="1"/>
  <c r="W738" i="1"/>
  <c r="X738" i="1"/>
  <c r="AB733" i="1"/>
  <c r="T733" i="1"/>
  <c r="U733" i="1"/>
  <c r="V733" i="1"/>
  <c r="F32" i="1"/>
  <c r="W733" i="1"/>
  <c r="X733" i="1"/>
  <c r="AB732" i="1"/>
  <c r="T732" i="1"/>
  <c r="U732" i="1"/>
  <c r="V732" i="1"/>
  <c r="W732" i="1"/>
  <c r="X732" i="1"/>
  <c r="AB731" i="1"/>
  <c r="T731" i="1"/>
  <c r="U731" i="1"/>
  <c r="V731" i="1"/>
  <c r="W731" i="1"/>
  <c r="X731" i="1"/>
  <c r="AB730" i="1"/>
  <c r="T730" i="1"/>
  <c r="U730" i="1"/>
  <c r="V730" i="1"/>
  <c r="W730" i="1"/>
  <c r="X730" i="1"/>
  <c r="AB729" i="1"/>
  <c r="T729" i="1"/>
  <c r="U729" i="1"/>
  <c r="V729" i="1"/>
  <c r="W729" i="1"/>
  <c r="X729" i="1"/>
  <c r="AB728" i="1"/>
  <c r="T728" i="1"/>
  <c r="U728" i="1"/>
  <c r="V728" i="1"/>
  <c r="W728" i="1"/>
  <c r="X728" i="1"/>
  <c r="AB727" i="1"/>
  <c r="T727" i="1"/>
  <c r="U727" i="1"/>
  <c r="V727" i="1"/>
  <c r="W727" i="1"/>
  <c r="X727" i="1"/>
  <c r="AB726" i="1"/>
  <c r="T726" i="1"/>
  <c r="U726" i="1"/>
  <c r="V726" i="1"/>
  <c r="W726" i="1"/>
  <c r="X726" i="1"/>
  <c r="AB725" i="1"/>
  <c r="T725" i="1"/>
  <c r="U725" i="1"/>
  <c r="V725" i="1"/>
  <c r="W725" i="1"/>
  <c r="X725" i="1"/>
  <c r="AB724" i="1"/>
  <c r="T724" i="1"/>
  <c r="U724" i="1"/>
  <c r="V724" i="1"/>
  <c r="W724" i="1"/>
  <c r="X724" i="1"/>
  <c r="AB723" i="1"/>
  <c r="T723" i="1"/>
  <c r="U723" i="1"/>
  <c r="V723" i="1"/>
  <c r="W723" i="1"/>
  <c r="X723" i="1"/>
  <c r="AB722" i="1"/>
  <c r="T722" i="1"/>
  <c r="U722" i="1"/>
  <c r="V722" i="1"/>
  <c r="W722" i="1"/>
  <c r="X722" i="1"/>
  <c r="AB721" i="1"/>
  <c r="T721" i="1"/>
  <c r="U721" i="1"/>
  <c r="V721" i="1"/>
  <c r="W721" i="1"/>
  <c r="X721" i="1"/>
  <c r="AB720" i="1"/>
  <c r="T720" i="1"/>
  <c r="U720" i="1"/>
  <c r="V720" i="1"/>
  <c r="W720" i="1"/>
  <c r="X720" i="1"/>
  <c r="AB719" i="1"/>
  <c r="T719" i="1"/>
  <c r="U719" i="1"/>
  <c r="V719" i="1"/>
  <c r="W719" i="1"/>
  <c r="X719" i="1"/>
  <c r="AB718" i="1"/>
  <c r="T718" i="1"/>
  <c r="U718" i="1"/>
  <c r="V718" i="1"/>
  <c r="W718" i="1"/>
  <c r="X718" i="1"/>
  <c r="AB717" i="1"/>
  <c r="T717" i="1"/>
  <c r="U717" i="1"/>
  <c r="V717" i="1"/>
  <c r="W717" i="1"/>
  <c r="X717" i="1"/>
  <c r="AB716" i="1"/>
  <c r="T716" i="1"/>
  <c r="U716" i="1"/>
  <c r="V716" i="1"/>
  <c r="W716" i="1"/>
  <c r="X716" i="1"/>
  <c r="AB715" i="1"/>
  <c r="T715" i="1"/>
  <c r="U715" i="1"/>
  <c r="V715" i="1"/>
  <c r="W715" i="1"/>
  <c r="X715" i="1"/>
  <c r="AB714" i="1"/>
  <c r="T714" i="1"/>
  <c r="U714" i="1"/>
  <c r="V714" i="1"/>
  <c r="W714" i="1"/>
  <c r="X714" i="1"/>
  <c r="AB713" i="1"/>
  <c r="T713" i="1"/>
  <c r="U713" i="1"/>
  <c r="V713" i="1"/>
  <c r="W713" i="1"/>
  <c r="X713" i="1"/>
  <c r="AB712" i="1"/>
  <c r="T712" i="1"/>
  <c r="U712" i="1"/>
  <c r="V712" i="1"/>
  <c r="W712" i="1"/>
  <c r="X712" i="1"/>
  <c r="AB711" i="1"/>
  <c r="T711" i="1"/>
  <c r="U711" i="1"/>
  <c r="V711" i="1"/>
  <c r="W711" i="1"/>
  <c r="X711" i="1"/>
  <c r="AB710" i="1"/>
  <c r="T710" i="1"/>
  <c r="U710" i="1"/>
  <c r="V710" i="1"/>
  <c r="W710" i="1"/>
  <c r="X710" i="1"/>
  <c r="T709" i="1"/>
  <c r="U709" i="1"/>
  <c r="V709" i="1"/>
  <c r="W709" i="1"/>
  <c r="X709" i="1"/>
  <c r="AB704" i="1"/>
  <c r="T704" i="1"/>
  <c r="U704" i="1"/>
  <c r="V704" i="1"/>
  <c r="F31" i="1"/>
  <c r="W704" i="1"/>
  <c r="X704" i="1"/>
  <c r="AB703" i="1"/>
  <c r="T703" i="1"/>
  <c r="U703" i="1"/>
  <c r="V703" i="1"/>
  <c r="W703" i="1"/>
  <c r="X703" i="1"/>
  <c r="AB702" i="1"/>
  <c r="T702" i="1"/>
  <c r="U702" i="1"/>
  <c r="V702" i="1"/>
  <c r="W702" i="1"/>
  <c r="X702" i="1"/>
  <c r="AB701" i="1"/>
  <c r="T701" i="1"/>
  <c r="U701" i="1"/>
  <c r="V701" i="1"/>
  <c r="W701" i="1"/>
  <c r="X701" i="1"/>
  <c r="AB700" i="1"/>
  <c r="T700" i="1"/>
  <c r="U700" i="1"/>
  <c r="V700" i="1"/>
  <c r="W700" i="1"/>
  <c r="X700" i="1"/>
  <c r="AB699" i="1"/>
  <c r="T699" i="1"/>
  <c r="U699" i="1"/>
  <c r="V699" i="1"/>
  <c r="W699" i="1"/>
  <c r="X699" i="1"/>
  <c r="AB698" i="1"/>
  <c r="T698" i="1"/>
  <c r="U698" i="1"/>
  <c r="V698" i="1"/>
  <c r="W698" i="1"/>
  <c r="X698" i="1"/>
  <c r="AB697" i="1"/>
  <c r="T697" i="1"/>
  <c r="U697" i="1"/>
  <c r="V697" i="1"/>
  <c r="W697" i="1"/>
  <c r="X697" i="1"/>
  <c r="AB696" i="1"/>
  <c r="T696" i="1"/>
  <c r="U696" i="1"/>
  <c r="V696" i="1"/>
  <c r="W696" i="1"/>
  <c r="X696" i="1"/>
  <c r="AB695" i="1"/>
  <c r="T695" i="1"/>
  <c r="U695" i="1"/>
  <c r="V695" i="1"/>
  <c r="W695" i="1"/>
  <c r="X695" i="1"/>
  <c r="AB694" i="1"/>
  <c r="T694" i="1"/>
  <c r="U694" i="1"/>
  <c r="V694" i="1"/>
  <c r="W694" i="1"/>
  <c r="X694" i="1"/>
  <c r="AB693" i="1"/>
  <c r="T693" i="1"/>
  <c r="U693" i="1"/>
  <c r="V693" i="1"/>
  <c r="W693" i="1"/>
  <c r="X693" i="1"/>
  <c r="AB692" i="1"/>
  <c r="T692" i="1"/>
  <c r="U692" i="1"/>
  <c r="V692" i="1"/>
  <c r="W692" i="1"/>
  <c r="X692" i="1"/>
  <c r="AB691" i="1"/>
  <c r="T691" i="1"/>
  <c r="U691" i="1"/>
  <c r="V691" i="1"/>
  <c r="W691" i="1"/>
  <c r="X691" i="1"/>
  <c r="AB690" i="1"/>
  <c r="T690" i="1"/>
  <c r="U690" i="1"/>
  <c r="V690" i="1"/>
  <c r="W690" i="1"/>
  <c r="X690" i="1"/>
  <c r="AB689" i="1"/>
  <c r="T689" i="1"/>
  <c r="U689" i="1"/>
  <c r="V689" i="1"/>
  <c r="W689" i="1"/>
  <c r="X689" i="1"/>
  <c r="AB688" i="1"/>
  <c r="T688" i="1"/>
  <c r="U688" i="1"/>
  <c r="V688" i="1"/>
  <c r="W688" i="1"/>
  <c r="X688" i="1"/>
  <c r="AB687" i="1"/>
  <c r="T687" i="1"/>
  <c r="U687" i="1"/>
  <c r="V687" i="1"/>
  <c r="W687" i="1"/>
  <c r="X687" i="1"/>
  <c r="AB686" i="1"/>
  <c r="T686" i="1"/>
  <c r="U686" i="1"/>
  <c r="V686" i="1"/>
  <c r="W686" i="1"/>
  <c r="X686" i="1"/>
  <c r="AB685" i="1"/>
  <c r="T685" i="1"/>
  <c r="U685" i="1"/>
  <c r="V685" i="1"/>
  <c r="W685" i="1"/>
  <c r="X685" i="1"/>
  <c r="AB684" i="1"/>
  <c r="T684" i="1"/>
  <c r="U684" i="1"/>
  <c r="V684" i="1"/>
  <c r="W684" i="1"/>
  <c r="X684" i="1"/>
  <c r="AB683" i="1"/>
  <c r="T683" i="1"/>
  <c r="U683" i="1"/>
  <c r="V683" i="1"/>
  <c r="W683" i="1"/>
  <c r="X683" i="1"/>
  <c r="AB682" i="1"/>
  <c r="T682" i="1"/>
  <c r="U682" i="1"/>
  <c r="V682" i="1"/>
  <c r="W682" i="1"/>
  <c r="X682" i="1"/>
  <c r="AB681" i="1"/>
  <c r="T681" i="1"/>
  <c r="U681" i="1"/>
  <c r="V681" i="1"/>
  <c r="W681" i="1"/>
  <c r="X681" i="1"/>
  <c r="T680" i="1"/>
  <c r="U680" i="1"/>
  <c r="V680" i="1"/>
  <c r="W680" i="1"/>
  <c r="X680" i="1"/>
  <c r="T675" i="1"/>
  <c r="U675" i="1"/>
  <c r="V675" i="1"/>
  <c r="F30" i="1"/>
  <c r="W675" i="1"/>
  <c r="X675" i="1"/>
  <c r="AB674" i="1"/>
  <c r="T674" i="1"/>
  <c r="U674" i="1"/>
  <c r="V674" i="1"/>
  <c r="W674" i="1"/>
  <c r="X674" i="1"/>
  <c r="AB673" i="1"/>
  <c r="T673" i="1"/>
  <c r="U673" i="1"/>
  <c r="V673" i="1"/>
  <c r="W673" i="1"/>
  <c r="X673" i="1"/>
  <c r="AB672" i="1"/>
  <c r="T672" i="1"/>
  <c r="U672" i="1"/>
  <c r="V672" i="1"/>
  <c r="W672" i="1"/>
  <c r="X672" i="1"/>
  <c r="AB671" i="1"/>
  <c r="T671" i="1"/>
  <c r="U671" i="1"/>
  <c r="V671" i="1"/>
  <c r="W671" i="1"/>
  <c r="X671" i="1"/>
  <c r="AB670" i="1"/>
  <c r="T670" i="1"/>
  <c r="U670" i="1"/>
  <c r="V670" i="1"/>
  <c r="W670" i="1"/>
  <c r="X670" i="1"/>
  <c r="AB669" i="1"/>
  <c r="T669" i="1"/>
  <c r="U669" i="1"/>
  <c r="V669" i="1"/>
  <c r="W669" i="1"/>
  <c r="X669" i="1"/>
  <c r="AB668" i="1"/>
  <c r="T668" i="1"/>
  <c r="U668" i="1"/>
  <c r="V668" i="1"/>
  <c r="W668" i="1"/>
  <c r="X668" i="1"/>
  <c r="AB667" i="1"/>
  <c r="T667" i="1"/>
  <c r="U667" i="1"/>
  <c r="V667" i="1"/>
  <c r="W667" i="1"/>
  <c r="X667" i="1"/>
  <c r="AB666" i="1"/>
  <c r="T666" i="1"/>
  <c r="U666" i="1"/>
  <c r="V666" i="1"/>
  <c r="W666" i="1"/>
  <c r="X666" i="1"/>
  <c r="AB665" i="1"/>
  <c r="T665" i="1"/>
  <c r="U665" i="1"/>
  <c r="V665" i="1"/>
  <c r="W665" i="1"/>
  <c r="X665" i="1"/>
  <c r="AB664" i="1"/>
  <c r="T664" i="1"/>
  <c r="U664" i="1"/>
  <c r="V664" i="1"/>
  <c r="W664" i="1"/>
  <c r="X664" i="1"/>
  <c r="AB663" i="1"/>
  <c r="T663" i="1"/>
  <c r="U663" i="1"/>
  <c r="V663" i="1"/>
  <c r="W663" i="1"/>
  <c r="X663" i="1"/>
  <c r="AB662" i="1"/>
  <c r="T662" i="1"/>
  <c r="U662" i="1"/>
  <c r="V662" i="1"/>
  <c r="W662" i="1"/>
  <c r="X662" i="1"/>
  <c r="AB661" i="1"/>
  <c r="T661" i="1"/>
  <c r="U661" i="1"/>
  <c r="V661" i="1"/>
  <c r="W661" i="1"/>
  <c r="X661" i="1"/>
  <c r="AB660" i="1"/>
  <c r="T660" i="1"/>
  <c r="U660" i="1"/>
  <c r="V660" i="1"/>
  <c r="W660" i="1"/>
  <c r="X660" i="1"/>
  <c r="AB659" i="1"/>
  <c r="T659" i="1"/>
  <c r="U659" i="1"/>
  <c r="V659" i="1"/>
  <c r="W659" i="1"/>
  <c r="X659" i="1"/>
  <c r="AB658" i="1"/>
  <c r="T658" i="1"/>
  <c r="U658" i="1"/>
  <c r="V658" i="1"/>
  <c r="W658" i="1"/>
  <c r="X658" i="1"/>
  <c r="AB657" i="1"/>
  <c r="T657" i="1"/>
  <c r="U657" i="1"/>
  <c r="V657" i="1"/>
  <c r="W657" i="1"/>
  <c r="X657" i="1"/>
  <c r="AB656" i="1"/>
  <c r="T656" i="1"/>
  <c r="U656" i="1"/>
  <c r="V656" i="1"/>
  <c r="W656" i="1"/>
  <c r="X656" i="1"/>
  <c r="AB655" i="1"/>
  <c r="T655" i="1"/>
  <c r="U655" i="1"/>
  <c r="V655" i="1"/>
  <c r="W655" i="1"/>
  <c r="X655" i="1"/>
  <c r="AB654" i="1"/>
  <c r="T654" i="1"/>
  <c r="U654" i="1"/>
  <c r="V654" i="1"/>
  <c r="W654" i="1"/>
  <c r="X654" i="1"/>
  <c r="AB653" i="1"/>
  <c r="T653" i="1"/>
  <c r="U653" i="1"/>
  <c r="V653" i="1"/>
  <c r="W653" i="1"/>
  <c r="X653" i="1"/>
  <c r="AB652" i="1"/>
  <c r="T652" i="1"/>
  <c r="U652" i="1"/>
  <c r="V652" i="1"/>
  <c r="W652" i="1"/>
  <c r="X652" i="1"/>
  <c r="T651" i="1"/>
  <c r="U651" i="1"/>
  <c r="V651" i="1"/>
  <c r="W651" i="1"/>
  <c r="X651" i="1"/>
  <c r="AB646" i="1"/>
  <c r="T646" i="1"/>
  <c r="U646" i="1"/>
  <c r="V646" i="1"/>
  <c r="F29" i="1"/>
  <c r="W646" i="1"/>
  <c r="X646" i="1"/>
  <c r="AB645" i="1"/>
  <c r="T645" i="1"/>
  <c r="U645" i="1"/>
  <c r="V645" i="1"/>
  <c r="W645" i="1"/>
  <c r="X645" i="1"/>
  <c r="AB644" i="1"/>
  <c r="T644" i="1"/>
  <c r="U644" i="1"/>
  <c r="V644" i="1"/>
  <c r="W644" i="1"/>
  <c r="X644" i="1"/>
  <c r="AB643" i="1"/>
  <c r="T643" i="1"/>
  <c r="U643" i="1"/>
  <c r="V643" i="1"/>
  <c r="W643" i="1"/>
  <c r="X643" i="1"/>
  <c r="AB642" i="1"/>
  <c r="T642" i="1"/>
  <c r="U642" i="1"/>
  <c r="V642" i="1"/>
  <c r="W642" i="1"/>
  <c r="X642" i="1"/>
  <c r="AB641" i="1"/>
  <c r="T641" i="1"/>
  <c r="U641" i="1"/>
  <c r="V641" i="1"/>
  <c r="W641" i="1"/>
  <c r="X641" i="1"/>
  <c r="AB640" i="1"/>
  <c r="T640" i="1"/>
  <c r="U640" i="1"/>
  <c r="V640" i="1"/>
  <c r="W640" i="1"/>
  <c r="X640" i="1"/>
  <c r="AB639" i="1"/>
  <c r="T639" i="1"/>
  <c r="U639" i="1"/>
  <c r="V639" i="1"/>
  <c r="W639" i="1"/>
  <c r="X639" i="1"/>
  <c r="AB638" i="1"/>
  <c r="T638" i="1"/>
  <c r="U638" i="1"/>
  <c r="V638" i="1"/>
  <c r="W638" i="1"/>
  <c r="X638" i="1"/>
  <c r="AB637" i="1"/>
  <c r="T637" i="1"/>
  <c r="U637" i="1"/>
  <c r="V637" i="1"/>
  <c r="W637" i="1"/>
  <c r="X637" i="1"/>
  <c r="AB636" i="1"/>
  <c r="T636" i="1"/>
  <c r="U636" i="1"/>
  <c r="V636" i="1"/>
  <c r="W636" i="1"/>
  <c r="X636" i="1"/>
  <c r="AB635" i="1"/>
  <c r="T635" i="1"/>
  <c r="U635" i="1"/>
  <c r="V635" i="1"/>
  <c r="W635" i="1"/>
  <c r="X635" i="1"/>
  <c r="AB634" i="1"/>
  <c r="T634" i="1"/>
  <c r="U634" i="1"/>
  <c r="V634" i="1"/>
  <c r="W634" i="1"/>
  <c r="X634" i="1"/>
  <c r="AB633" i="1"/>
  <c r="T633" i="1"/>
  <c r="U633" i="1"/>
  <c r="V633" i="1"/>
  <c r="W633" i="1"/>
  <c r="X633" i="1"/>
  <c r="AB632" i="1"/>
  <c r="T632" i="1"/>
  <c r="U632" i="1"/>
  <c r="V632" i="1"/>
  <c r="W632" i="1"/>
  <c r="X632" i="1"/>
  <c r="AB631" i="1"/>
  <c r="T631" i="1"/>
  <c r="U631" i="1"/>
  <c r="V631" i="1"/>
  <c r="W631" i="1"/>
  <c r="X631" i="1"/>
  <c r="AB630" i="1"/>
  <c r="T630" i="1"/>
  <c r="U630" i="1"/>
  <c r="V630" i="1"/>
  <c r="W630" i="1"/>
  <c r="X630" i="1"/>
  <c r="AB629" i="1"/>
  <c r="T629" i="1"/>
  <c r="U629" i="1"/>
  <c r="V629" i="1"/>
  <c r="W629" i="1"/>
  <c r="X629" i="1"/>
  <c r="AB628" i="1"/>
  <c r="T628" i="1"/>
  <c r="U628" i="1"/>
  <c r="V628" i="1"/>
  <c r="W628" i="1"/>
  <c r="X628" i="1"/>
  <c r="AB627" i="1"/>
  <c r="T627" i="1"/>
  <c r="U627" i="1"/>
  <c r="V627" i="1"/>
  <c r="W627" i="1"/>
  <c r="X627" i="1"/>
  <c r="AB626" i="1"/>
  <c r="T626" i="1"/>
  <c r="U626" i="1"/>
  <c r="V626" i="1"/>
  <c r="W626" i="1"/>
  <c r="X626" i="1"/>
  <c r="AB625" i="1"/>
  <c r="T625" i="1"/>
  <c r="U625" i="1"/>
  <c r="V625" i="1"/>
  <c r="W625" i="1"/>
  <c r="X625" i="1"/>
  <c r="AB624" i="1"/>
  <c r="T624" i="1"/>
  <c r="U624" i="1"/>
  <c r="V624" i="1"/>
  <c r="W624" i="1"/>
  <c r="X624" i="1"/>
  <c r="AB623" i="1"/>
  <c r="T623" i="1"/>
  <c r="U623" i="1"/>
  <c r="V623" i="1"/>
  <c r="W623" i="1"/>
  <c r="X623" i="1"/>
  <c r="T622" i="1"/>
  <c r="U622" i="1"/>
  <c r="V622" i="1"/>
  <c r="W622" i="1"/>
  <c r="X622" i="1"/>
  <c r="AB617" i="1"/>
  <c r="T617" i="1"/>
  <c r="U617" i="1"/>
  <c r="V617" i="1"/>
  <c r="F28" i="1"/>
  <c r="W617" i="1"/>
  <c r="X617" i="1"/>
  <c r="AB616" i="1"/>
  <c r="T616" i="1"/>
  <c r="U616" i="1"/>
  <c r="V616" i="1"/>
  <c r="W616" i="1"/>
  <c r="X616" i="1"/>
  <c r="AB615" i="1"/>
  <c r="T615" i="1"/>
  <c r="U615" i="1"/>
  <c r="V615" i="1"/>
  <c r="W615" i="1"/>
  <c r="X615" i="1"/>
  <c r="AB614" i="1"/>
  <c r="T614" i="1"/>
  <c r="U614" i="1"/>
  <c r="V614" i="1"/>
  <c r="W614" i="1"/>
  <c r="X614" i="1"/>
  <c r="AB613" i="1"/>
  <c r="T613" i="1"/>
  <c r="U613" i="1"/>
  <c r="V613" i="1"/>
  <c r="W613" i="1"/>
  <c r="X613" i="1"/>
  <c r="AB612" i="1"/>
  <c r="T612" i="1"/>
  <c r="U612" i="1"/>
  <c r="V612" i="1"/>
  <c r="W612" i="1"/>
  <c r="X612" i="1"/>
  <c r="AB611" i="1"/>
  <c r="T611" i="1"/>
  <c r="U611" i="1"/>
  <c r="V611" i="1"/>
  <c r="W611" i="1"/>
  <c r="X611" i="1"/>
  <c r="AB610" i="1"/>
  <c r="T610" i="1"/>
  <c r="U610" i="1"/>
  <c r="V610" i="1"/>
  <c r="W610" i="1"/>
  <c r="X610" i="1"/>
  <c r="AB609" i="1"/>
  <c r="T609" i="1"/>
  <c r="U609" i="1"/>
  <c r="V609" i="1"/>
  <c r="W609" i="1"/>
  <c r="X609" i="1"/>
  <c r="AB608" i="1"/>
  <c r="T608" i="1"/>
  <c r="U608" i="1"/>
  <c r="V608" i="1"/>
  <c r="W608" i="1"/>
  <c r="X608" i="1"/>
  <c r="AB607" i="1"/>
  <c r="T607" i="1"/>
  <c r="U607" i="1"/>
  <c r="V607" i="1"/>
  <c r="W607" i="1"/>
  <c r="X607" i="1"/>
  <c r="AB606" i="1"/>
  <c r="T606" i="1"/>
  <c r="U606" i="1"/>
  <c r="V606" i="1"/>
  <c r="W606" i="1"/>
  <c r="X606" i="1"/>
  <c r="AB605" i="1"/>
  <c r="T605" i="1"/>
  <c r="U605" i="1"/>
  <c r="V605" i="1"/>
  <c r="W605" i="1"/>
  <c r="X605" i="1"/>
  <c r="AB604" i="1"/>
  <c r="T604" i="1"/>
  <c r="U604" i="1"/>
  <c r="V604" i="1"/>
  <c r="W604" i="1"/>
  <c r="X604" i="1"/>
  <c r="AB603" i="1"/>
  <c r="T603" i="1"/>
  <c r="U603" i="1"/>
  <c r="V603" i="1"/>
  <c r="W603" i="1"/>
  <c r="X603" i="1"/>
  <c r="AB602" i="1"/>
  <c r="T602" i="1"/>
  <c r="U602" i="1"/>
  <c r="V602" i="1"/>
  <c r="W602" i="1"/>
  <c r="X602" i="1"/>
  <c r="AB601" i="1"/>
  <c r="T601" i="1"/>
  <c r="U601" i="1"/>
  <c r="V601" i="1"/>
  <c r="W601" i="1"/>
  <c r="X601" i="1"/>
  <c r="AB600" i="1"/>
  <c r="T600" i="1"/>
  <c r="U600" i="1"/>
  <c r="V600" i="1"/>
  <c r="W600" i="1"/>
  <c r="X600" i="1"/>
  <c r="AB599" i="1"/>
  <c r="T599" i="1"/>
  <c r="U599" i="1"/>
  <c r="V599" i="1"/>
  <c r="W599" i="1"/>
  <c r="X599" i="1"/>
  <c r="AB598" i="1"/>
  <c r="T598" i="1"/>
  <c r="U598" i="1"/>
  <c r="V598" i="1"/>
  <c r="W598" i="1"/>
  <c r="X598" i="1"/>
  <c r="AB597" i="1"/>
  <c r="T597" i="1"/>
  <c r="U597" i="1"/>
  <c r="V597" i="1"/>
  <c r="W597" i="1"/>
  <c r="X597" i="1"/>
  <c r="AB596" i="1"/>
  <c r="T596" i="1"/>
  <c r="U596" i="1"/>
  <c r="V596" i="1"/>
  <c r="W596" i="1"/>
  <c r="X596" i="1"/>
  <c r="AB595" i="1"/>
  <c r="T595" i="1"/>
  <c r="U595" i="1"/>
  <c r="V595" i="1"/>
  <c r="W595" i="1"/>
  <c r="X595" i="1"/>
  <c r="AB594" i="1"/>
  <c r="T594" i="1"/>
  <c r="U594" i="1"/>
  <c r="V594" i="1"/>
  <c r="W594" i="1"/>
  <c r="X594" i="1"/>
  <c r="T593" i="1"/>
  <c r="U593" i="1"/>
  <c r="V593" i="1"/>
  <c r="W593" i="1"/>
  <c r="X593" i="1"/>
  <c r="AB588" i="1"/>
  <c r="T588" i="1"/>
  <c r="U588" i="1"/>
  <c r="V588" i="1"/>
  <c r="F27" i="1"/>
  <c r="W588" i="1"/>
  <c r="X588" i="1"/>
  <c r="AB587" i="1"/>
  <c r="T587" i="1"/>
  <c r="U587" i="1"/>
  <c r="V587" i="1"/>
  <c r="W587" i="1"/>
  <c r="X587" i="1"/>
  <c r="AB586" i="1"/>
  <c r="T586" i="1"/>
  <c r="U586" i="1"/>
  <c r="V586" i="1"/>
  <c r="W586" i="1"/>
  <c r="X586" i="1"/>
  <c r="AB585" i="1"/>
  <c r="T585" i="1"/>
  <c r="U585" i="1"/>
  <c r="V585" i="1"/>
  <c r="W585" i="1"/>
  <c r="X585" i="1"/>
  <c r="AB584" i="1"/>
  <c r="T584" i="1"/>
  <c r="U584" i="1"/>
  <c r="V584" i="1"/>
  <c r="W584" i="1"/>
  <c r="X584" i="1"/>
  <c r="AB583" i="1"/>
  <c r="T583" i="1"/>
  <c r="U583" i="1"/>
  <c r="V583" i="1"/>
  <c r="W583" i="1"/>
  <c r="X583" i="1"/>
  <c r="AB582" i="1"/>
  <c r="T582" i="1"/>
  <c r="U582" i="1"/>
  <c r="V582" i="1"/>
  <c r="W582" i="1"/>
  <c r="X582" i="1"/>
  <c r="AB581" i="1"/>
  <c r="T581" i="1"/>
  <c r="U581" i="1"/>
  <c r="V581" i="1"/>
  <c r="W581" i="1"/>
  <c r="X581" i="1"/>
  <c r="AB580" i="1"/>
  <c r="T580" i="1"/>
  <c r="U580" i="1"/>
  <c r="V580" i="1"/>
  <c r="W580" i="1"/>
  <c r="X580" i="1"/>
  <c r="AB579" i="1"/>
  <c r="T579" i="1"/>
  <c r="U579" i="1"/>
  <c r="V579" i="1"/>
  <c r="W579" i="1"/>
  <c r="X579" i="1"/>
  <c r="AB578" i="1"/>
  <c r="T578" i="1"/>
  <c r="U578" i="1"/>
  <c r="V578" i="1"/>
  <c r="W578" i="1"/>
  <c r="X578" i="1"/>
  <c r="AB577" i="1"/>
  <c r="T577" i="1"/>
  <c r="U577" i="1"/>
  <c r="V577" i="1"/>
  <c r="W577" i="1"/>
  <c r="X577" i="1"/>
  <c r="AB576" i="1"/>
  <c r="T576" i="1"/>
  <c r="U576" i="1"/>
  <c r="V576" i="1"/>
  <c r="W576" i="1"/>
  <c r="X576" i="1"/>
  <c r="AB575" i="1"/>
  <c r="T575" i="1"/>
  <c r="U575" i="1"/>
  <c r="V575" i="1"/>
  <c r="W575" i="1"/>
  <c r="X575" i="1"/>
  <c r="AB574" i="1"/>
  <c r="T574" i="1"/>
  <c r="U574" i="1"/>
  <c r="V574" i="1"/>
  <c r="W574" i="1"/>
  <c r="X574" i="1"/>
  <c r="AB573" i="1"/>
  <c r="T573" i="1"/>
  <c r="U573" i="1"/>
  <c r="V573" i="1"/>
  <c r="W573" i="1"/>
  <c r="X573" i="1"/>
  <c r="AB572" i="1"/>
  <c r="T572" i="1"/>
  <c r="U572" i="1"/>
  <c r="V572" i="1"/>
  <c r="W572" i="1"/>
  <c r="X572" i="1"/>
  <c r="AB571" i="1"/>
  <c r="T571" i="1"/>
  <c r="U571" i="1"/>
  <c r="V571" i="1"/>
  <c r="W571" i="1"/>
  <c r="X571" i="1"/>
  <c r="AB570" i="1"/>
  <c r="T570" i="1"/>
  <c r="U570" i="1"/>
  <c r="V570" i="1"/>
  <c r="W570" i="1"/>
  <c r="X570" i="1"/>
  <c r="AB569" i="1"/>
  <c r="T569" i="1"/>
  <c r="U569" i="1"/>
  <c r="V569" i="1"/>
  <c r="W569" i="1"/>
  <c r="X569" i="1"/>
  <c r="AB568" i="1"/>
  <c r="T568" i="1"/>
  <c r="U568" i="1"/>
  <c r="V568" i="1"/>
  <c r="W568" i="1"/>
  <c r="X568" i="1"/>
  <c r="AB567" i="1"/>
  <c r="T567" i="1"/>
  <c r="U567" i="1"/>
  <c r="V567" i="1"/>
  <c r="W567" i="1"/>
  <c r="X567" i="1"/>
  <c r="AB566" i="1"/>
  <c r="T566" i="1"/>
  <c r="U566" i="1"/>
  <c r="V566" i="1"/>
  <c r="W566" i="1"/>
  <c r="X566" i="1"/>
  <c r="AB565" i="1"/>
  <c r="T565" i="1"/>
  <c r="U565" i="1"/>
  <c r="V565" i="1"/>
  <c r="W565" i="1"/>
  <c r="X565" i="1"/>
  <c r="T564" i="1"/>
  <c r="U564" i="1"/>
  <c r="V564" i="1"/>
  <c r="W564" i="1"/>
  <c r="X564" i="1"/>
  <c r="AB559" i="1"/>
  <c r="T559" i="1"/>
  <c r="U559" i="1"/>
  <c r="V559" i="1"/>
  <c r="F26" i="1"/>
  <c r="W559" i="1"/>
  <c r="X559" i="1"/>
  <c r="AB558" i="1"/>
  <c r="T558" i="1"/>
  <c r="U558" i="1"/>
  <c r="V558" i="1"/>
  <c r="W558" i="1"/>
  <c r="X558" i="1"/>
  <c r="AB557" i="1"/>
  <c r="T557" i="1"/>
  <c r="U557" i="1"/>
  <c r="V557" i="1"/>
  <c r="W557" i="1"/>
  <c r="X557" i="1"/>
  <c r="AB556" i="1"/>
  <c r="T556" i="1"/>
  <c r="U556" i="1"/>
  <c r="V556" i="1"/>
  <c r="W556" i="1"/>
  <c r="X556" i="1"/>
  <c r="AB555" i="1"/>
  <c r="T555" i="1"/>
  <c r="U555" i="1"/>
  <c r="V555" i="1"/>
  <c r="W555" i="1"/>
  <c r="X555" i="1"/>
  <c r="AB554" i="1"/>
  <c r="T554" i="1"/>
  <c r="U554" i="1"/>
  <c r="V554" i="1"/>
  <c r="W554" i="1"/>
  <c r="X554" i="1"/>
  <c r="AB553" i="1"/>
  <c r="T553" i="1"/>
  <c r="U553" i="1"/>
  <c r="V553" i="1"/>
  <c r="W553" i="1"/>
  <c r="X553" i="1"/>
  <c r="AB552" i="1"/>
  <c r="T552" i="1"/>
  <c r="U552" i="1"/>
  <c r="V552" i="1"/>
  <c r="W552" i="1"/>
  <c r="X552" i="1"/>
  <c r="T551" i="1"/>
  <c r="U551" i="1"/>
  <c r="V551" i="1"/>
  <c r="W551" i="1"/>
  <c r="X551" i="1"/>
  <c r="AB550" i="1"/>
  <c r="T550" i="1"/>
  <c r="U550" i="1"/>
  <c r="V550" i="1"/>
  <c r="W550" i="1"/>
  <c r="X550" i="1"/>
  <c r="AB549" i="1"/>
  <c r="T549" i="1"/>
  <c r="U549" i="1"/>
  <c r="V549" i="1"/>
  <c r="W549" i="1"/>
  <c r="X549" i="1"/>
  <c r="AB548" i="1"/>
  <c r="T548" i="1"/>
  <c r="U548" i="1"/>
  <c r="V548" i="1"/>
  <c r="W548" i="1"/>
  <c r="X548" i="1"/>
  <c r="AB547" i="1"/>
  <c r="T547" i="1"/>
  <c r="U547" i="1"/>
  <c r="V547" i="1"/>
  <c r="W547" i="1"/>
  <c r="X547" i="1"/>
  <c r="AB546" i="1"/>
  <c r="T546" i="1"/>
  <c r="U546" i="1"/>
  <c r="V546" i="1"/>
  <c r="W546" i="1"/>
  <c r="X546" i="1"/>
  <c r="AB545" i="1"/>
  <c r="T545" i="1"/>
  <c r="U545" i="1"/>
  <c r="V545" i="1"/>
  <c r="W545" i="1"/>
  <c r="X545" i="1"/>
  <c r="AB544" i="1"/>
  <c r="T544" i="1"/>
  <c r="U544" i="1"/>
  <c r="V544" i="1"/>
  <c r="W544" i="1"/>
  <c r="X544" i="1"/>
  <c r="AB543" i="1"/>
  <c r="T543" i="1"/>
  <c r="U543" i="1"/>
  <c r="V543" i="1"/>
  <c r="W543" i="1"/>
  <c r="X543" i="1"/>
  <c r="AB542" i="1"/>
  <c r="T542" i="1"/>
  <c r="U542" i="1"/>
  <c r="V542" i="1"/>
  <c r="W542" i="1"/>
  <c r="X542" i="1"/>
  <c r="AB541" i="1"/>
  <c r="T541" i="1"/>
  <c r="U541" i="1"/>
  <c r="V541" i="1"/>
  <c r="W541" i="1"/>
  <c r="X541" i="1"/>
  <c r="AB540" i="1"/>
  <c r="T540" i="1"/>
  <c r="U540" i="1"/>
  <c r="V540" i="1"/>
  <c r="W540" i="1"/>
  <c r="X540" i="1"/>
  <c r="AB539" i="1"/>
  <c r="T539" i="1"/>
  <c r="U539" i="1"/>
  <c r="V539" i="1"/>
  <c r="W539" i="1"/>
  <c r="X539" i="1"/>
  <c r="AB538" i="1"/>
  <c r="T538" i="1"/>
  <c r="U538" i="1"/>
  <c r="V538" i="1"/>
  <c r="W538" i="1"/>
  <c r="X538" i="1"/>
  <c r="AB537" i="1"/>
  <c r="T537" i="1"/>
  <c r="U537" i="1"/>
  <c r="V537" i="1"/>
  <c r="W537" i="1"/>
  <c r="X537" i="1"/>
  <c r="AB536" i="1"/>
  <c r="T536" i="1"/>
  <c r="U536" i="1"/>
  <c r="V536" i="1"/>
  <c r="W536" i="1"/>
  <c r="X536" i="1"/>
  <c r="T535" i="1"/>
  <c r="U535" i="1"/>
  <c r="V535" i="1"/>
  <c r="W535" i="1"/>
  <c r="X535" i="1"/>
  <c r="AB530" i="1"/>
  <c r="T530" i="1"/>
  <c r="U530" i="1"/>
  <c r="V530" i="1"/>
  <c r="F25" i="1"/>
  <c r="W530" i="1"/>
  <c r="X530" i="1"/>
  <c r="AB529" i="1"/>
  <c r="T529" i="1"/>
  <c r="U529" i="1"/>
  <c r="V529" i="1"/>
  <c r="W529" i="1"/>
  <c r="X529" i="1"/>
  <c r="AB528" i="1"/>
  <c r="T528" i="1"/>
  <c r="U528" i="1"/>
  <c r="V528" i="1"/>
  <c r="W528" i="1"/>
  <c r="X528" i="1"/>
  <c r="AB527" i="1"/>
  <c r="T527" i="1"/>
  <c r="U527" i="1"/>
  <c r="V527" i="1"/>
  <c r="W527" i="1"/>
  <c r="X527" i="1"/>
  <c r="AB526" i="1"/>
  <c r="T526" i="1"/>
  <c r="U526" i="1"/>
  <c r="V526" i="1"/>
  <c r="W526" i="1"/>
  <c r="X526" i="1"/>
  <c r="AB525" i="1"/>
  <c r="T525" i="1"/>
  <c r="U525" i="1"/>
  <c r="V525" i="1"/>
  <c r="W525" i="1"/>
  <c r="X525" i="1"/>
  <c r="AB524" i="1"/>
  <c r="T524" i="1"/>
  <c r="U524" i="1"/>
  <c r="V524" i="1"/>
  <c r="W524" i="1"/>
  <c r="X524" i="1"/>
  <c r="AB523" i="1"/>
  <c r="T523" i="1"/>
  <c r="U523" i="1"/>
  <c r="V523" i="1"/>
  <c r="W523" i="1"/>
  <c r="X523" i="1"/>
  <c r="AB522" i="1"/>
  <c r="T522" i="1"/>
  <c r="U522" i="1"/>
  <c r="V522" i="1"/>
  <c r="W522" i="1"/>
  <c r="X522" i="1"/>
  <c r="AB521" i="1"/>
  <c r="T521" i="1"/>
  <c r="U521" i="1"/>
  <c r="V521" i="1"/>
  <c r="W521" i="1"/>
  <c r="X521" i="1"/>
  <c r="AB520" i="1"/>
  <c r="T520" i="1"/>
  <c r="U520" i="1"/>
  <c r="V520" i="1"/>
  <c r="W520" i="1"/>
  <c r="X520" i="1"/>
  <c r="AB519" i="1"/>
  <c r="T519" i="1"/>
  <c r="U519" i="1"/>
  <c r="V519" i="1"/>
  <c r="W519" i="1"/>
  <c r="X519" i="1"/>
  <c r="AB518" i="1"/>
  <c r="T518" i="1"/>
  <c r="U518" i="1"/>
  <c r="V518" i="1"/>
  <c r="W518" i="1"/>
  <c r="X518" i="1"/>
  <c r="AB517" i="1"/>
  <c r="T517" i="1"/>
  <c r="U517" i="1"/>
  <c r="V517" i="1"/>
  <c r="W517" i="1"/>
  <c r="X517" i="1"/>
  <c r="AB516" i="1"/>
  <c r="T516" i="1"/>
  <c r="U516" i="1"/>
  <c r="V516" i="1"/>
  <c r="W516" i="1"/>
  <c r="X516" i="1"/>
  <c r="AB515" i="1"/>
  <c r="T515" i="1"/>
  <c r="U515" i="1"/>
  <c r="V515" i="1"/>
  <c r="W515" i="1"/>
  <c r="X515" i="1"/>
  <c r="AB514" i="1"/>
  <c r="T514" i="1"/>
  <c r="U514" i="1"/>
  <c r="V514" i="1"/>
  <c r="W514" i="1"/>
  <c r="X514" i="1"/>
  <c r="AB513" i="1"/>
  <c r="T513" i="1"/>
  <c r="U513" i="1"/>
  <c r="V513" i="1"/>
  <c r="W513" i="1"/>
  <c r="X513" i="1"/>
  <c r="AB512" i="1"/>
  <c r="T512" i="1"/>
  <c r="U512" i="1"/>
  <c r="V512" i="1"/>
  <c r="W512" i="1"/>
  <c r="X512" i="1"/>
  <c r="AB511" i="1"/>
  <c r="T511" i="1"/>
  <c r="U511" i="1"/>
  <c r="V511" i="1"/>
  <c r="W511" i="1"/>
  <c r="X511" i="1"/>
  <c r="AB510" i="1"/>
  <c r="T510" i="1"/>
  <c r="U510" i="1"/>
  <c r="V510" i="1"/>
  <c r="W510" i="1"/>
  <c r="X510" i="1"/>
  <c r="AB509" i="1"/>
  <c r="T509" i="1"/>
  <c r="U509" i="1"/>
  <c r="V509" i="1"/>
  <c r="W509" i="1"/>
  <c r="X509" i="1"/>
  <c r="AB508" i="1"/>
  <c r="T508" i="1"/>
  <c r="U508" i="1"/>
  <c r="V508" i="1"/>
  <c r="W508" i="1"/>
  <c r="X508" i="1"/>
  <c r="AB507" i="1"/>
  <c r="T507" i="1"/>
  <c r="U507" i="1"/>
  <c r="V507" i="1"/>
  <c r="W507" i="1"/>
  <c r="X507" i="1"/>
  <c r="T506" i="1"/>
  <c r="U506" i="1"/>
  <c r="V506" i="1"/>
  <c r="W506" i="1"/>
  <c r="X506" i="1"/>
  <c r="AB501" i="1"/>
  <c r="T501" i="1"/>
  <c r="U501" i="1"/>
  <c r="V501" i="1"/>
  <c r="F24" i="1"/>
  <c r="W501" i="1"/>
  <c r="X501" i="1"/>
  <c r="AB500" i="1"/>
  <c r="T500" i="1"/>
  <c r="U500" i="1"/>
  <c r="V500" i="1"/>
  <c r="W500" i="1"/>
  <c r="X500" i="1"/>
  <c r="AB499" i="1"/>
  <c r="T499" i="1"/>
  <c r="U499" i="1"/>
  <c r="V499" i="1"/>
  <c r="W499" i="1"/>
  <c r="X499" i="1"/>
  <c r="AB498" i="1"/>
  <c r="T498" i="1"/>
  <c r="U498" i="1"/>
  <c r="V498" i="1"/>
  <c r="W498" i="1"/>
  <c r="X498" i="1"/>
  <c r="AB497" i="1"/>
  <c r="T497" i="1"/>
  <c r="U497" i="1"/>
  <c r="V497" i="1"/>
  <c r="W497" i="1"/>
  <c r="X497" i="1"/>
  <c r="AB496" i="1"/>
  <c r="T496" i="1"/>
  <c r="U496" i="1"/>
  <c r="V496" i="1"/>
  <c r="W496" i="1"/>
  <c r="X496" i="1"/>
  <c r="AB495" i="1"/>
  <c r="T495" i="1"/>
  <c r="U495" i="1"/>
  <c r="V495" i="1"/>
  <c r="W495" i="1"/>
  <c r="X495" i="1"/>
  <c r="AB494" i="1"/>
  <c r="T494" i="1"/>
  <c r="U494" i="1"/>
  <c r="V494" i="1"/>
  <c r="W494" i="1"/>
  <c r="X494" i="1"/>
  <c r="AB493" i="1"/>
  <c r="T493" i="1"/>
  <c r="U493" i="1"/>
  <c r="V493" i="1"/>
  <c r="W493" i="1"/>
  <c r="X493" i="1"/>
  <c r="AB492" i="1"/>
  <c r="T492" i="1"/>
  <c r="U492" i="1"/>
  <c r="V492" i="1"/>
  <c r="W492" i="1"/>
  <c r="X492" i="1"/>
  <c r="AB491" i="1"/>
  <c r="T491" i="1"/>
  <c r="U491" i="1"/>
  <c r="V491" i="1"/>
  <c r="W491" i="1"/>
  <c r="X491" i="1"/>
  <c r="AB490" i="1"/>
  <c r="T490" i="1"/>
  <c r="U490" i="1"/>
  <c r="V490" i="1"/>
  <c r="W490" i="1"/>
  <c r="X490" i="1"/>
  <c r="AB489" i="1"/>
  <c r="T489" i="1"/>
  <c r="U489" i="1"/>
  <c r="V489" i="1"/>
  <c r="W489" i="1"/>
  <c r="X489" i="1"/>
  <c r="AB488" i="1"/>
  <c r="T488" i="1"/>
  <c r="U488" i="1"/>
  <c r="V488" i="1"/>
  <c r="W488" i="1"/>
  <c r="X488" i="1"/>
  <c r="AB487" i="1"/>
  <c r="T487" i="1"/>
  <c r="U487" i="1"/>
  <c r="V487" i="1"/>
  <c r="W487" i="1"/>
  <c r="X487" i="1"/>
  <c r="T486" i="1"/>
  <c r="U486" i="1"/>
  <c r="V486" i="1"/>
  <c r="W486" i="1"/>
  <c r="X486" i="1"/>
  <c r="AB485" i="1"/>
  <c r="T485" i="1"/>
  <c r="U485" i="1"/>
  <c r="V485" i="1"/>
  <c r="W485" i="1"/>
  <c r="X485" i="1"/>
  <c r="AB484" i="1"/>
  <c r="T484" i="1"/>
  <c r="U484" i="1"/>
  <c r="V484" i="1"/>
  <c r="W484" i="1"/>
  <c r="X484" i="1"/>
  <c r="AB483" i="1"/>
  <c r="T483" i="1"/>
  <c r="U483" i="1"/>
  <c r="V483" i="1"/>
  <c r="W483" i="1"/>
  <c r="X483" i="1"/>
  <c r="AB482" i="1"/>
  <c r="T482" i="1"/>
  <c r="U482" i="1"/>
  <c r="V482" i="1"/>
  <c r="W482" i="1"/>
  <c r="X482" i="1"/>
  <c r="AB481" i="1"/>
  <c r="T481" i="1"/>
  <c r="U481" i="1"/>
  <c r="V481" i="1"/>
  <c r="W481" i="1"/>
  <c r="X481" i="1"/>
  <c r="AB480" i="1"/>
  <c r="T480" i="1"/>
  <c r="U480" i="1"/>
  <c r="V480" i="1"/>
  <c r="W480" i="1"/>
  <c r="X480" i="1"/>
  <c r="AB479" i="1"/>
  <c r="T479" i="1"/>
  <c r="U479" i="1"/>
  <c r="V479" i="1"/>
  <c r="W479" i="1"/>
  <c r="X479" i="1"/>
  <c r="AB478" i="1"/>
  <c r="T478" i="1"/>
  <c r="U478" i="1"/>
  <c r="V478" i="1"/>
  <c r="W478" i="1"/>
  <c r="X478" i="1"/>
  <c r="T477" i="1"/>
  <c r="U477" i="1"/>
  <c r="V477" i="1"/>
  <c r="W477" i="1"/>
  <c r="X477" i="1"/>
  <c r="AB472" i="1"/>
  <c r="T472" i="1"/>
  <c r="U472" i="1"/>
  <c r="V472" i="1"/>
  <c r="F23" i="1"/>
  <c r="W472" i="1"/>
  <c r="X472" i="1"/>
  <c r="AB471" i="1"/>
  <c r="T471" i="1"/>
  <c r="U471" i="1"/>
  <c r="V471" i="1"/>
  <c r="W471" i="1"/>
  <c r="X471" i="1"/>
  <c r="AB470" i="1"/>
  <c r="T470" i="1"/>
  <c r="U470" i="1"/>
  <c r="V470" i="1"/>
  <c r="W470" i="1"/>
  <c r="X470" i="1"/>
  <c r="AB469" i="1"/>
  <c r="T469" i="1"/>
  <c r="U469" i="1"/>
  <c r="V469" i="1"/>
  <c r="W469" i="1"/>
  <c r="X469" i="1"/>
  <c r="AB468" i="1"/>
  <c r="T468" i="1"/>
  <c r="U468" i="1"/>
  <c r="V468" i="1"/>
  <c r="W468" i="1"/>
  <c r="X468" i="1"/>
  <c r="AB467" i="1"/>
  <c r="T467" i="1"/>
  <c r="U467" i="1"/>
  <c r="V467" i="1"/>
  <c r="W467" i="1"/>
  <c r="X467" i="1"/>
  <c r="AB466" i="1"/>
  <c r="T466" i="1"/>
  <c r="U466" i="1"/>
  <c r="V466" i="1"/>
  <c r="W466" i="1"/>
  <c r="X466" i="1"/>
  <c r="AB465" i="1"/>
  <c r="T465" i="1"/>
  <c r="U465" i="1"/>
  <c r="V465" i="1"/>
  <c r="W465" i="1"/>
  <c r="X465" i="1"/>
  <c r="AB464" i="1"/>
  <c r="T464" i="1"/>
  <c r="U464" i="1"/>
  <c r="V464" i="1"/>
  <c r="W464" i="1"/>
  <c r="X464" i="1"/>
  <c r="AB463" i="1"/>
  <c r="T463" i="1"/>
  <c r="U463" i="1"/>
  <c r="V463" i="1"/>
  <c r="W463" i="1"/>
  <c r="X463" i="1"/>
  <c r="AB462" i="1"/>
  <c r="T462" i="1"/>
  <c r="U462" i="1"/>
  <c r="V462" i="1"/>
  <c r="W462" i="1"/>
  <c r="X462" i="1"/>
  <c r="AB461" i="1"/>
  <c r="T461" i="1"/>
  <c r="U461" i="1"/>
  <c r="V461" i="1"/>
  <c r="W461" i="1"/>
  <c r="X461" i="1"/>
  <c r="AB460" i="1"/>
  <c r="T460" i="1"/>
  <c r="U460" i="1"/>
  <c r="V460" i="1"/>
  <c r="W460" i="1"/>
  <c r="X460" i="1"/>
  <c r="AB459" i="1"/>
  <c r="T459" i="1"/>
  <c r="U459" i="1"/>
  <c r="V459" i="1"/>
  <c r="W459" i="1"/>
  <c r="X459" i="1"/>
  <c r="AB458" i="1"/>
  <c r="T458" i="1"/>
  <c r="U458" i="1"/>
  <c r="V458" i="1"/>
  <c r="W458" i="1"/>
  <c r="X458" i="1"/>
  <c r="AB457" i="1"/>
  <c r="T457" i="1"/>
  <c r="U457" i="1"/>
  <c r="V457" i="1"/>
  <c r="W457" i="1"/>
  <c r="X457" i="1"/>
  <c r="AB456" i="1"/>
  <c r="T456" i="1"/>
  <c r="U456" i="1"/>
  <c r="V456" i="1"/>
  <c r="W456" i="1"/>
  <c r="X456" i="1"/>
  <c r="AB455" i="1"/>
  <c r="T455" i="1"/>
  <c r="U455" i="1"/>
  <c r="V455" i="1"/>
  <c r="W455" i="1"/>
  <c r="X455" i="1"/>
  <c r="AB454" i="1"/>
  <c r="T454" i="1"/>
  <c r="U454" i="1"/>
  <c r="V454" i="1"/>
  <c r="W454" i="1"/>
  <c r="X454" i="1"/>
  <c r="AB453" i="1"/>
  <c r="T453" i="1"/>
  <c r="U453" i="1"/>
  <c r="V453" i="1"/>
  <c r="W453" i="1"/>
  <c r="X453" i="1"/>
  <c r="AB452" i="1"/>
  <c r="T452" i="1"/>
  <c r="U452" i="1"/>
  <c r="V452" i="1"/>
  <c r="W452" i="1"/>
  <c r="X452" i="1"/>
  <c r="AB451" i="1"/>
  <c r="T451" i="1"/>
  <c r="U451" i="1"/>
  <c r="V451" i="1"/>
  <c r="W451" i="1"/>
  <c r="X451" i="1"/>
  <c r="AB450" i="1"/>
  <c r="T450" i="1"/>
  <c r="U450" i="1"/>
  <c r="V450" i="1"/>
  <c r="W450" i="1"/>
  <c r="X450" i="1"/>
  <c r="AB449" i="1"/>
  <c r="T449" i="1"/>
  <c r="U449" i="1"/>
  <c r="V449" i="1"/>
  <c r="W449" i="1"/>
  <c r="X449" i="1"/>
  <c r="T448" i="1"/>
  <c r="U448" i="1"/>
  <c r="V448" i="1"/>
  <c r="W448" i="1"/>
  <c r="X448" i="1"/>
  <c r="AB443" i="1"/>
  <c r="T443" i="1"/>
  <c r="U443" i="1"/>
  <c r="V443" i="1"/>
  <c r="F22" i="1"/>
  <c r="W443" i="1"/>
  <c r="X443" i="1"/>
  <c r="AB442" i="1"/>
  <c r="T442" i="1"/>
  <c r="U442" i="1"/>
  <c r="V442" i="1"/>
  <c r="W442" i="1"/>
  <c r="X442" i="1"/>
  <c r="AB441" i="1"/>
  <c r="T441" i="1"/>
  <c r="U441" i="1"/>
  <c r="V441" i="1"/>
  <c r="W441" i="1"/>
  <c r="X441" i="1"/>
  <c r="AB440" i="1"/>
  <c r="T440" i="1"/>
  <c r="U440" i="1"/>
  <c r="V440" i="1"/>
  <c r="W440" i="1"/>
  <c r="X440" i="1"/>
  <c r="AB439" i="1"/>
  <c r="T439" i="1"/>
  <c r="U439" i="1"/>
  <c r="V439" i="1"/>
  <c r="W439" i="1"/>
  <c r="X439" i="1"/>
  <c r="AB438" i="1"/>
  <c r="T438" i="1"/>
  <c r="U438" i="1"/>
  <c r="V438" i="1"/>
  <c r="W438" i="1"/>
  <c r="X438" i="1"/>
  <c r="AB437" i="1"/>
  <c r="T437" i="1"/>
  <c r="U437" i="1"/>
  <c r="V437" i="1"/>
  <c r="W437" i="1"/>
  <c r="X437" i="1"/>
  <c r="AB436" i="1"/>
  <c r="T436" i="1"/>
  <c r="U436" i="1"/>
  <c r="V436" i="1"/>
  <c r="W436" i="1"/>
  <c r="X436" i="1"/>
  <c r="AB435" i="1"/>
  <c r="T435" i="1"/>
  <c r="U435" i="1"/>
  <c r="V435" i="1"/>
  <c r="W435" i="1"/>
  <c r="X435" i="1"/>
  <c r="AB434" i="1"/>
  <c r="T434" i="1"/>
  <c r="U434" i="1"/>
  <c r="V434" i="1"/>
  <c r="W434" i="1"/>
  <c r="X434" i="1"/>
  <c r="AB433" i="1"/>
  <c r="T433" i="1"/>
  <c r="U433" i="1"/>
  <c r="V433" i="1"/>
  <c r="W433" i="1"/>
  <c r="X433" i="1"/>
  <c r="AB432" i="1"/>
  <c r="T432" i="1"/>
  <c r="U432" i="1"/>
  <c r="V432" i="1"/>
  <c r="W432" i="1"/>
  <c r="X432" i="1"/>
  <c r="AB431" i="1"/>
  <c r="T431" i="1"/>
  <c r="U431" i="1"/>
  <c r="V431" i="1"/>
  <c r="W431" i="1"/>
  <c r="X431" i="1"/>
  <c r="AB430" i="1"/>
  <c r="T430" i="1"/>
  <c r="U430" i="1"/>
  <c r="V430" i="1"/>
  <c r="W430" i="1"/>
  <c r="X430" i="1"/>
  <c r="AB429" i="1"/>
  <c r="T429" i="1"/>
  <c r="U429" i="1"/>
  <c r="V429" i="1"/>
  <c r="W429" i="1"/>
  <c r="X429" i="1"/>
  <c r="AB428" i="1"/>
  <c r="T428" i="1"/>
  <c r="U428" i="1"/>
  <c r="V428" i="1"/>
  <c r="W428" i="1"/>
  <c r="X428" i="1"/>
  <c r="AB427" i="1"/>
  <c r="T427" i="1"/>
  <c r="U427" i="1"/>
  <c r="V427" i="1"/>
  <c r="W427" i="1"/>
  <c r="X427" i="1"/>
  <c r="AB426" i="1"/>
  <c r="T426" i="1"/>
  <c r="U426" i="1"/>
  <c r="V426" i="1"/>
  <c r="W426" i="1"/>
  <c r="X426" i="1"/>
  <c r="AB425" i="1"/>
  <c r="T425" i="1"/>
  <c r="U425" i="1"/>
  <c r="V425" i="1"/>
  <c r="W425" i="1"/>
  <c r="X425" i="1"/>
  <c r="AB424" i="1"/>
  <c r="T424" i="1"/>
  <c r="U424" i="1"/>
  <c r="V424" i="1"/>
  <c r="W424" i="1"/>
  <c r="X424" i="1"/>
  <c r="AB423" i="1"/>
  <c r="T423" i="1"/>
  <c r="U423" i="1"/>
  <c r="V423" i="1"/>
  <c r="W423" i="1"/>
  <c r="X423" i="1"/>
  <c r="AB422" i="1"/>
  <c r="T422" i="1"/>
  <c r="U422" i="1"/>
  <c r="V422" i="1"/>
  <c r="W422" i="1"/>
  <c r="X422" i="1"/>
  <c r="AB421" i="1"/>
  <c r="T421" i="1"/>
  <c r="U421" i="1"/>
  <c r="V421" i="1"/>
  <c r="W421" i="1"/>
  <c r="X421" i="1"/>
  <c r="AB420" i="1"/>
  <c r="T420" i="1"/>
  <c r="U420" i="1"/>
  <c r="V420" i="1"/>
  <c r="W420" i="1"/>
  <c r="X420" i="1"/>
  <c r="T419" i="1"/>
  <c r="U419" i="1"/>
  <c r="V419" i="1"/>
  <c r="W419" i="1"/>
  <c r="X419" i="1"/>
  <c r="AB414" i="1"/>
  <c r="T414" i="1"/>
  <c r="U414" i="1"/>
  <c r="V414" i="1"/>
  <c r="F21" i="1"/>
  <c r="W414" i="1"/>
  <c r="X414" i="1"/>
  <c r="AB413" i="1"/>
  <c r="T413" i="1"/>
  <c r="U413" i="1"/>
  <c r="V413" i="1"/>
  <c r="W413" i="1"/>
  <c r="X413" i="1"/>
  <c r="AB412" i="1"/>
  <c r="T412" i="1"/>
  <c r="U412" i="1"/>
  <c r="V412" i="1"/>
  <c r="W412" i="1"/>
  <c r="X412" i="1"/>
  <c r="AB411" i="1"/>
  <c r="T411" i="1"/>
  <c r="U411" i="1"/>
  <c r="V411" i="1"/>
  <c r="W411" i="1"/>
  <c r="X411" i="1"/>
  <c r="AB410" i="1"/>
  <c r="T410" i="1"/>
  <c r="U410" i="1"/>
  <c r="V410" i="1"/>
  <c r="W410" i="1"/>
  <c r="X410" i="1"/>
  <c r="AB409" i="1"/>
  <c r="T409" i="1"/>
  <c r="U409" i="1"/>
  <c r="V409" i="1"/>
  <c r="W409" i="1"/>
  <c r="X409" i="1"/>
  <c r="AB408" i="1"/>
  <c r="T408" i="1"/>
  <c r="U408" i="1"/>
  <c r="V408" i="1"/>
  <c r="W408" i="1"/>
  <c r="X408" i="1"/>
  <c r="AB407" i="1"/>
  <c r="T407" i="1"/>
  <c r="U407" i="1"/>
  <c r="V407" i="1"/>
  <c r="W407" i="1"/>
  <c r="X407" i="1"/>
  <c r="AB406" i="1"/>
  <c r="T406" i="1"/>
  <c r="U406" i="1"/>
  <c r="V406" i="1"/>
  <c r="W406" i="1"/>
  <c r="X406" i="1"/>
  <c r="AB405" i="1"/>
  <c r="T405" i="1"/>
  <c r="U405" i="1"/>
  <c r="V405" i="1"/>
  <c r="W405" i="1"/>
  <c r="X405" i="1"/>
  <c r="AB404" i="1"/>
  <c r="T404" i="1"/>
  <c r="U404" i="1"/>
  <c r="V404" i="1"/>
  <c r="W404" i="1"/>
  <c r="X404" i="1"/>
  <c r="AB403" i="1"/>
  <c r="T403" i="1"/>
  <c r="U403" i="1"/>
  <c r="V403" i="1"/>
  <c r="W403" i="1"/>
  <c r="X403" i="1"/>
  <c r="AB402" i="1"/>
  <c r="T402" i="1"/>
  <c r="U402" i="1"/>
  <c r="V402" i="1"/>
  <c r="W402" i="1"/>
  <c r="X402" i="1"/>
  <c r="AB401" i="1"/>
  <c r="T401" i="1"/>
  <c r="U401" i="1"/>
  <c r="V401" i="1"/>
  <c r="W401" i="1"/>
  <c r="X401" i="1"/>
  <c r="AB400" i="1"/>
  <c r="T400" i="1"/>
  <c r="U400" i="1"/>
  <c r="V400" i="1"/>
  <c r="W400" i="1"/>
  <c r="X400" i="1"/>
  <c r="AB399" i="1"/>
  <c r="T399" i="1"/>
  <c r="U399" i="1"/>
  <c r="V399" i="1"/>
  <c r="W399" i="1"/>
  <c r="X399" i="1"/>
  <c r="AB398" i="1"/>
  <c r="T398" i="1"/>
  <c r="U398" i="1"/>
  <c r="V398" i="1"/>
  <c r="W398" i="1"/>
  <c r="X398" i="1"/>
  <c r="AB397" i="1"/>
  <c r="T397" i="1"/>
  <c r="U397" i="1"/>
  <c r="V397" i="1"/>
  <c r="W397" i="1"/>
  <c r="X397" i="1"/>
  <c r="AB396" i="1"/>
  <c r="T396" i="1"/>
  <c r="U396" i="1"/>
  <c r="V396" i="1"/>
  <c r="W396" i="1"/>
  <c r="X396" i="1"/>
  <c r="AB395" i="1"/>
  <c r="T395" i="1"/>
  <c r="U395" i="1"/>
  <c r="V395" i="1"/>
  <c r="W395" i="1"/>
  <c r="X395" i="1"/>
  <c r="AB394" i="1"/>
  <c r="T394" i="1"/>
  <c r="U394" i="1"/>
  <c r="V394" i="1"/>
  <c r="W394" i="1"/>
  <c r="X394" i="1"/>
  <c r="AB393" i="1"/>
  <c r="T393" i="1"/>
  <c r="U393" i="1"/>
  <c r="V393" i="1"/>
  <c r="W393" i="1"/>
  <c r="X393" i="1"/>
  <c r="AB392" i="1"/>
  <c r="T392" i="1"/>
  <c r="U392" i="1"/>
  <c r="V392" i="1"/>
  <c r="W392" i="1"/>
  <c r="X392" i="1"/>
  <c r="AB391" i="1"/>
  <c r="T391" i="1"/>
  <c r="U391" i="1"/>
  <c r="V391" i="1"/>
  <c r="W391" i="1"/>
  <c r="X391" i="1"/>
  <c r="T390" i="1"/>
  <c r="U390" i="1"/>
  <c r="V390" i="1"/>
  <c r="W390" i="1"/>
  <c r="X390" i="1"/>
  <c r="AB385" i="1"/>
  <c r="T385" i="1"/>
  <c r="U385" i="1"/>
  <c r="V385" i="1"/>
  <c r="F20" i="1"/>
  <c r="W385" i="1"/>
  <c r="X385" i="1"/>
  <c r="AB384" i="1"/>
  <c r="T384" i="1"/>
  <c r="U384" i="1"/>
  <c r="V384" i="1"/>
  <c r="W384" i="1"/>
  <c r="X384" i="1"/>
  <c r="AB383" i="1"/>
  <c r="T383" i="1"/>
  <c r="U383" i="1"/>
  <c r="V383" i="1"/>
  <c r="W383" i="1"/>
  <c r="X383" i="1"/>
  <c r="AB382" i="1"/>
  <c r="T382" i="1"/>
  <c r="U382" i="1"/>
  <c r="V382" i="1"/>
  <c r="W382" i="1"/>
  <c r="X382" i="1"/>
  <c r="AB381" i="1"/>
  <c r="T381" i="1"/>
  <c r="U381" i="1"/>
  <c r="V381" i="1"/>
  <c r="W381" i="1"/>
  <c r="X381" i="1"/>
  <c r="AB380" i="1"/>
  <c r="T380" i="1"/>
  <c r="U380" i="1"/>
  <c r="V380" i="1"/>
  <c r="W380" i="1"/>
  <c r="X380" i="1"/>
  <c r="AB379" i="1"/>
  <c r="T379" i="1"/>
  <c r="U379" i="1"/>
  <c r="V379" i="1"/>
  <c r="W379" i="1"/>
  <c r="X379" i="1"/>
  <c r="AB378" i="1"/>
  <c r="T378" i="1"/>
  <c r="U378" i="1"/>
  <c r="V378" i="1"/>
  <c r="W378" i="1"/>
  <c r="X378" i="1"/>
  <c r="AB377" i="1"/>
  <c r="T377" i="1"/>
  <c r="U377" i="1"/>
  <c r="V377" i="1"/>
  <c r="W377" i="1"/>
  <c r="X377" i="1"/>
  <c r="AB376" i="1"/>
  <c r="T376" i="1"/>
  <c r="U376" i="1"/>
  <c r="V376" i="1"/>
  <c r="W376" i="1"/>
  <c r="X376" i="1"/>
  <c r="AB375" i="1"/>
  <c r="T375" i="1"/>
  <c r="U375" i="1"/>
  <c r="V375" i="1"/>
  <c r="W375" i="1"/>
  <c r="X375" i="1"/>
  <c r="AB374" i="1"/>
  <c r="T374" i="1"/>
  <c r="U374" i="1"/>
  <c r="V374" i="1"/>
  <c r="W374" i="1"/>
  <c r="X374" i="1"/>
  <c r="AB373" i="1"/>
  <c r="T373" i="1"/>
  <c r="U373" i="1"/>
  <c r="V373" i="1"/>
  <c r="W373" i="1"/>
  <c r="X373" i="1"/>
  <c r="AB372" i="1"/>
  <c r="T372" i="1"/>
  <c r="U372" i="1"/>
  <c r="V372" i="1"/>
  <c r="W372" i="1"/>
  <c r="X372" i="1"/>
  <c r="AB371" i="1"/>
  <c r="T371" i="1"/>
  <c r="U371" i="1"/>
  <c r="V371" i="1"/>
  <c r="W371" i="1"/>
  <c r="X371" i="1"/>
  <c r="AB370" i="1"/>
  <c r="T370" i="1"/>
  <c r="U370" i="1"/>
  <c r="V370" i="1"/>
  <c r="W370" i="1"/>
  <c r="X370" i="1"/>
  <c r="AB369" i="1"/>
  <c r="T369" i="1"/>
  <c r="U369" i="1"/>
  <c r="V369" i="1"/>
  <c r="W369" i="1"/>
  <c r="X369" i="1"/>
  <c r="AB368" i="1"/>
  <c r="T368" i="1"/>
  <c r="U368" i="1"/>
  <c r="V368" i="1"/>
  <c r="W368" i="1"/>
  <c r="X368" i="1"/>
  <c r="AB367" i="1"/>
  <c r="T367" i="1"/>
  <c r="U367" i="1"/>
  <c r="V367" i="1"/>
  <c r="W367" i="1"/>
  <c r="X367" i="1"/>
  <c r="AB366" i="1"/>
  <c r="T366" i="1"/>
  <c r="U366" i="1"/>
  <c r="V366" i="1"/>
  <c r="W366" i="1"/>
  <c r="X366" i="1"/>
  <c r="AB365" i="1"/>
  <c r="T365" i="1"/>
  <c r="U365" i="1"/>
  <c r="V365" i="1"/>
  <c r="W365" i="1"/>
  <c r="X365" i="1"/>
  <c r="AB364" i="1"/>
  <c r="T364" i="1"/>
  <c r="U364" i="1"/>
  <c r="V364" i="1"/>
  <c r="W364" i="1"/>
  <c r="X364" i="1"/>
  <c r="AB363" i="1"/>
  <c r="T363" i="1"/>
  <c r="U363" i="1"/>
  <c r="V363" i="1"/>
  <c r="W363" i="1"/>
  <c r="X363" i="1"/>
  <c r="AB362" i="1"/>
  <c r="T362" i="1"/>
  <c r="U362" i="1"/>
  <c r="V362" i="1"/>
  <c r="W362" i="1"/>
  <c r="X362" i="1"/>
  <c r="T361" i="1"/>
  <c r="U361" i="1"/>
  <c r="V361" i="1"/>
  <c r="W361" i="1"/>
  <c r="X361" i="1"/>
  <c r="AB356" i="1"/>
  <c r="T356" i="1"/>
  <c r="U356" i="1"/>
  <c r="V356" i="1"/>
  <c r="F19" i="1"/>
  <c r="W356" i="1"/>
  <c r="X356" i="1"/>
  <c r="AB355" i="1"/>
  <c r="T355" i="1"/>
  <c r="U355" i="1"/>
  <c r="V355" i="1"/>
  <c r="W355" i="1"/>
  <c r="X355" i="1"/>
  <c r="AB354" i="1"/>
  <c r="T354" i="1"/>
  <c r="U354" i="1"/>
  <c r="V354" i="1"/>
  <c r="W354" i="1"/>
  <c r="X354" i="1"/>
  <c r="AB353" i="1"/>
  <c r="T353" i="1"/>
  <c r="U353" i="1"/>
  <c r="V353" i="1"/>
  <c r="W353" i="1"/>
  <c r="X353" i="1"/>
  <c r="AB352" i="1"/>
  <c r="T352" i="1"/>
  <c r="U352" i="1"/>
  <c r="V352" i="1"/>
  <c r="W352" i="1"/>
  <c r="X352" i="1"/>
  <c r="AB351" i="1"/>
  <c r="T351" i="1"/>
  <c r="U351" i="1"/>
  <c r="V351" i="1"/>
  <c r="W351" i="1"/>
  <c r="X351" i="1"/>
  <c r="AB350" i="1"/>
  <c r="T350" i="1"/>
  <c r="U350" i="1"/>
  <c r="V350" i="1"/>
  <c r="W350" i="1"/>
  <c r="X350" i="1"/>
  <c r="AB349" i="1"/>
  <c r="T349" i="1"/>
  <c r="U349" i="1"/>
  <c r="V349" i="1"/>
  <c r="W349" i="1"/>
  <c r="X349" i="1"/>
  <c r="AB348" i="1"/>
  <c r="T348" i="1"/>
  <c r="U348" i="1"/>
  <c r="V348" i="1"/>
  <c r="W348" i="1"/>
  <c r="X348" i="1"/>
  <c r="AB347" i="1"/>
  <c r="T347" i="1"/>
  <c r="U347" i="1"/>
  <c r="V347" i="1"/>
  <c r="W347" i="1"/>
  <c r="X347" i="1"/>
  <c r="AB346" i="1"/>
  <c r="T346" i="1"/>
  <c r="U346" i="1"/>
  <c r="V346" i="1"/>
  <c r="W346" i="1"/>
  <c r="X346" i="1"/>
  <c r="AB345" i="1"/>
  <c r="T345" i="1"/>
  <c r="U345" i="1"/>
  <c r="V345" i="1"/>
  <c r="W345" i="1"/>
  <c r="X345" i="1"/>
  <c r="AB344" i="1"/>
  <c r="T344" i="1"/>
  <c r="U344" i="1"/>
  <c r="V344" i="1"/>
  <c r="W344" i="1"/>
  <c r="X344" i="1"/>
  <c r="AB343" i="1"/>
  <c r="T343" i="1"/>
  <c r="U343" i="1"/>
  <c r="V343" i="1"/>
  <c r="W343" i="1"/>
  <c r="X343" i="1"/>
  <c r="AB342" i="1"/>
  <c r="T342" i="1"/>
  <c r="U342" i="1"/>
  <c r="V342" i="1"/>
  <c r="W342" i="1"/>
  <c r="X342" i="1"/>
  <c r="AB341" i="1"/>
  <c r="T341" i="1"/>
  <c r="U341" i="1"/>
  <c r="V341" i="1"/>
  <c r="W341" i="1"/>
  <c r="X341" i="1"/>
  <c r="AB340" i="1"/>
  <c r="T340" i="1"/>
  <c r="U340" i="1"/>
  <c r="V340" i="1"/>
  <c r="W340" i="1"/>
  <c r="X340" i="1"/>
  <c r="AB339" i="1"/>
  <c r="T339" i="1"/>
  <c r="U339" i="1"/>
  <c r="V339" i="1"/>
  <c r="W339" i="1"/>
  <c r="X339" i="1"/>
  <c r="AB338" i="1"/>
  <c r="T338" i="1"/>
  <c r="U338" i="1"/>
  <c r="V338" i="1"/>
  <c r="W338" i="1"/>
  <c r="X338" i="1"/>
  <c r="AB337" i="1"/>
  <c r="T337" i="1"/>
  <c r="U337" i="1"/>
  <c r="V337" i="1"/>
  <c r="W337" i="1"/>
  <c r="X337" i="1"/>
  <c r="AB336" i="1"/>
  <c r="T336" i="1"/>
  <c r="U336" i="1"/>
  <c r="V336" i="1"/>
  <c r="W336" i="1"/>
  <c r="X336" i="1"/>
  <c r="AB335" i="1"/>
  <c r="T335" i="1"/>
  <c r="U335" i="1"/>
  <c r="V335" i="1"/>
  <c r="W335" i="1"/>
  <c r="X335" i="1"/>
  <c r="AB334" i="1"/>
  <c r="T334" i="1"/>
  <c r="U334" i="1"/>
  <c r="V334" i="1"/>
  <c r="W334" i="1"/>
  <c r="X334" i="1"/>
  <c r="AB333" i="1"/>
  <c r="T333" i="1"/>
  <c r="U333" i="1"/>
  <c r="V333" i="1"/>
  <c r="W333" i="1"/>
  <c r="X333" i="1"/>
  <c r="T332" i="1"/>
  <c r="U332" i="1"/>
  <c r="V332" i="1"/>
  <c r="W332" i="1"/>
  <c r="X332" i="1"/>
  <c r="AB327" i="1"/>
  <c r="T327" i="1"/>
  <c r="U327" i="1"/>
  <c r="V327" i="1"/>
  <c r="F18" i="1"/>
  <c r="W327" i="1"/>
  <c r="AB326" i="1"/>
  <c r="T326" i="1"/>
  <c r="U326" i="1"/>
  <c r="V326" i="1"/>
  <c r="W326" i="1"/>
  <c r="AB325" i="1"/>
  <c r="T325" i="1"/>
  <c r="U325" i="1"/>
  <c r="V325" i="1"/>
  <c r="W325" i="1"/>
  <c r="X325" i="1"/>
  <c r="AB324" i="1"/>
  <c r="T324" i="1"/>
  <c r="U324" i="1"/>
  <c r="V324" i="1"/>
  <c r="W324" i="1"/>
  <c r="X324" i="1"/>
  <c r="AB323" i="1"/>
  <c r="T323" i="1"/>
  <c r="U323" i="1"/>
  <c r="V323" i="1"/>
  <c r="W323" i="1"/>
  <c r="X323" i="1"/>
  <c r="AB322" i="1"/>
  <c r="T322" i="1"/>
  <c r="U322" i="1"/>
  <c r="V322" i="1"/>
  <c r="W322" i="1"/>
  <c r="X322" i="1"/>
  <c r="AB321" i="1"/>
  <c r="T321" i="1"/>
  <c r="U321" i="1"/>
  <c r="V321" i="1"/>
  <c r="W321" i="1"/>
  <c r="X321" i="1"/>
  <c r="AB320" i="1"/>
  <c r="T320" i="1"/>
  <c r="U320" i="1"/>
  <c r="V320" i="1"/>
  <c r="W320" i="1"/>
  <c r="X320" i="1"/>
  <c r="AB319" i="1"/>
  <c r="T319" i="1"/>
  <c r="U319" i="1"/>
  <c r="V319" i="1"/>
  <c r="W319" i="1"/>
  <c r="X319" i="1"/>
  <c r="AB318" i="1"/>
  <c r="T318" i="1"/>
  <c r="U318" i="1"/>
  <c r="V318" i="1"/>
  <c r="W318" i="1"/>
  <c r="X318" i="1"/>
  <c r="AB317" i="1"/>
  <c r="T317" i="1"/>
  <c r="U317" i="1"/>
  <c r="V317" i="1"/>
  <c r="W317" i="1"/>
  <c r="X317" i="1"/>
  <c r="AB316" i="1"/>
  <c r="T316" i="1"/>
  <c r="U316" i="1"/>
  <c r="V316" i="1"/>
  <c r="W316" i="1"/>
  <c r="X316" i="1"/>
  <c r="AB315" i="1"/>
  <c r="T315" i="1"/>
  <c r="U315" i="1"/>
  <c r="V315" i="1"/>
  <c r="W315" i="1"/>
  <c r="X315" i="1"/>
  <c r="AB314" i="1"/>
  <c r="T314" i="1"/>
  <c r="U314" i="1"/>
  <c r="V314" i="1"/>
  <c r="W314" i="1"/>
  <c r="X314" i="1"/>
  <c r="AB313" i="1"/>
  <c r="T313" i="1"/>
  <c r="U313" i="1"/>
  <c r="V313" i="1"/>
  <c r="W313" i="1"/>
  <c r="X313" i="1"/>
  <c r="AB312" i="1"/>
  <c r="T312" i="1"/>
  <c r="U312" i="1"/>
  <c r="V312" i="1"/>
  <c r="W312" i="1"/>
  <c r="X312" i="1"/>
  <c r="AB311" i="1"/>
  <c r="T311" i="1"/>
  <c r="U311" i="1"/>
  <c r="V311" i="1"/>
  <c r="W311" i="1"/>
  <c r="X311" i="1"/>
  <c r="AB310" i="1"/>
  <c r="T310" i="1"/>
  <c r="U310" i="1"/>
  <c r="V310" i="1"/>
  <c r="W310" i="1"/>
  <c r="X310" i="1"/>
  <c r="AB309" i="1"/>
  <c r="T309" i="1"/>
  <c r="U309" i="1"/>
  <c r="V309" i="1"/>
  <c r="W309" i="1"/>
  <c r="X309" i="1"/>
  <c r="AB308" i="1"/>
  <c r="T308" i="1"/>
  <c r="U308" i="1"/>
  <c r="V308" i="1"/>
  <c r="W308" i="1"/>
  <c r="X308" i="1"/>
  <c r="AB307" i="1"/>
  <c r="T307" i="1"/>
  <c r="U307" i="1"/>
  <c r="V307" i="1"/>
  <c r="W307" i="1"/>
  <c r="X307" i="1"/>
  <c r="AB306" i="1"/>
  <c r="T306" i="1"/>
  <c r="U306" i="1"/>
  <c r="V306" i="1"/>
  <c r="W306" i="1"/>
  <c r="X306" i="1"/>
  <c r="AB305" i="1"/>
  <c r="T305" i="1"/>
  <c r="U305" i="1"/>
  <c r="V305" i="1"/>
  <c r="W305" i="1"/>
  <c r="X305" i="1"/>
  <c r="AB304" i="1"/>
  <c r="T304" i="1"/>
  <c r="U304" i="1"/>
  <c r="V304" i="1"/>
  <c r="W304" i="1"/>
  <c r="X304" i="1"/>
  <c r="T303" i="1"/>
  <c r="U303" i="1"/>
  <c r="V303" i="1"/>
  <c r="W303" i="1"/>
  <c r="X303" i="1"/>
  <c r="AB298" i="1"/>
  <c r="T298" i="1"/>
  <c r="U298" i="1"/>
  <c r="V298" i="1"/>
  <c r="F17" i="1"/>
  <c r="W298" i="1"/>
  <c r="AB297" i="1"/>
  <c r="T297" i="1"/>
  <c r="U297" i="1"/>
  <c r="V297" i="1"/>
  <c r="W297" i="1"/>
  <c r="AB296" i="1"/>
  <c r="T296" i="1"/>
  <c r="U296" i="1"/>
  <c r="V296" i="1"/>
  <c r="W296" i="1"/>
  <c r="AB295" i="1"/>
  <c r="T295" i="1"/>
  <c r="U295" i="1"/>
  <c r="V295" i="1"/>
  <c r="W295" i="1"/>
  <c r="AB294" i="1"/>
  <c r="T294" i="1"/>
  <c r="U294" i="1"/>
  <c r="V294" i="1"/>
  <c r="W294" i="1"/>
  <c r="AB293" i="1"/>
  <c r="T293" i="1"/>
  <c r="U293" i="1"/>
  <c r="V293" i="1"/>
  <c r="W293" i="1"/>
  <c r="X293" i="1"/>
  <c r="AB292" i="1"/>
  <c r="T292" i="1"/>
  <c r="U292" i="1"/>
  <c r="V292" i="1"/>
  <c r="W292" i="1"/>
  <c r="X292" i="1"/>
  <c r="AB291" i="1"/>
  <c r="T291" i="1"/>
  <c r="U291" i="1"/>
  <c r="V291" i="1"/>
  <c r="W291" i="1"/>
  <c r="X291" i="1"/>
  <c r="AB290" i="1"/>
  <c r="T290" i="1"/>
  <c r="U290" i="1"/>
  <c r="V290" i="1"/>
  <c r="W290" i="1"/>
  <c r="X290" i="1"/>
  <c r="AB289" i="1"/>
  <c r="T289" i="1"/>
  <c r="U289" i="1"/>
  <c r="V289" i="1"/>
  <c r="W289" i="1"/>
  <c r="X289" i="1"/>
  <c r="AB288" i="1"/>
  <c r="T288" i="1"/>
  <c r="U288" i="1"/>
  <c r="V288" i="1"/>
  <c r="W288" i="1"/>
  <c r="X288" i="1"/>
  <c r="AB287" i="1"/>
  <c r="T287" i="1"/>
  <c r="U287" i="1"/>
  <c r="V287" i="1"/>
  <c r="W287" i="1"/>
  <c r="X287" i="1"/>
  <c r="AB286" i="1"/>
  <c r="T286" i="1"/>
  <c r="U286" i="1"/>
  <c r="V286" i="1"/>
  <c r="W286" i="1"/>
  <c r="X286" i="1"/>
  <c r="AB285" i="1"/>
  <c r="T285" i="1"/>
  <c r="U285" i="1"/>
  <c r="V285" i="1"/>
  <c r="W285" i="1"/>
  <c r="X285" i="1"/>
  <c r="AB284" i="1"/>
  <c r="T284" i="1"/>
  <c r="U284" i="1"/>
  <c r="V284" i="1"/>
  <c r="W284" i="1"/>
  <c r="X284" i="1"/>
  <c r="AB283" i="1"/>
  <c r="T283" i="1"/>
  <c r="U283" i="1"/>
  <c r="V283" i="1"/>
  <c r="W283" i="1"/>
  <c r="X283" i="1"/>
  <c r="AB282" i="1"/>
  <c r="T282" i="1"/>
  <c r="U282" i="1"/>
  <c r="V282" i="1"/>
  <c r="W282" i="1"/>
  <c r="X282" i="1"/>
  <c r="AB281" i="1"/>
  <c r="T281" i="1"/>
  <c r="U281" i="1"/>
  <c r="V281" i="1"/>
  <c r="W281" i="1"/>
  <c r="X281" i="1"/>
  <c r="AB280" i="1"/>
  <c r="T280" i="1"/>
  <c r="U280" i="1"/>
  <c r="V280" i="1"/>
  <c r="W280" i="1"/>
  <c r="X280" i="1"/>
  <c r="AB279" i="1"/>
  <c r="T279" i="1"/>
  <c r="U279" i="1"/>
  <c r="V279" i="1"/>
  <c r="W279" i="1"/>
  <c r="X279" i="1"/>
  <c r="AB278" i="1"/>
  <c r="T278" i="1"/>
  <c r="U278" i="1"/>
  <c r="V278" i="1"/>
  <c r="W278" i="1"/>
  <c r="X278" i="1"/>
  <c r="AB277" i="1"/>
  <c r="T277" i="1"/>
  <c r="U277" i="1"/>
  <c r="V277" i="1"/>
  <c r="W277" i="1"/>
  <c r="X277" i="1"/>
  <c r="AB276" i="1"/>
  <c r="T276" i="1"/>
  <c r="U276" i="1"/>
  <c r="V276" i="1"/>
  <c r="W276" i="1"/>
  <c r="X276" i="1"/>
  <c r="AB275" i="1"/>
  <c r="T275" i="1"/>
  <c r="U275" i="1"/>
  <c r="V275" i="1"/>
  <c r="W275" i="1"/>
  <c r="X275" i="1"/>
  <c r="T274" i="1"/>
  <c r="U274" i="1"/>
  <c r="V274" i="1"/>
  <c r="W274" i="1"/>
  <c r="X274" i="1"/>
  <c r="T269" i="1"/>
  <c r="U269" i="1"/>
  <c r="V269" i="1"/>
  <c r="F16" i="1"/>
  <c r="W269" i="1"/>
  <c r="AB268" i="1"/>
  <c r="T268" i="1"/>
  <c r="U268" i="1"/>
  <c r="V268" i="1"/>
  <c r="W268" i="1"/>
  <c r="AB267" i="1"/>
  <c r="T267" i="1"/>
  <c r="U267" i="1"/>
  <c r="V267" i="1"/>
  <c r="W267" i="1"/>
  <c r="AB266" i="1"/>
  <c r="T266" i="1"/>
  <c r="U266" i="1"/>
  <c r="V266" i="1"/>
  <c r="W266" i="1"/>
  <c r="AB265" i="1"/>
  <c r="T265" i="1"/>
  <c r="U265" i="1"/>
  <c r="V265" i="1"/>
  <c r="W265" i="1"/>
  <c r="AB264" i="1"/>
  <c r="T264" i="1"/>
  <c r="U264" i="1"/>
  <c r="V264" i="1"/>
  <c r="W264" i="1"/>
  <c r="AB263" i="1"/>
  <c r="T263" i="1"/>
  <c r="U263" i="1"/>
  <c r="V263" i="1"/>
  <c r="W263" i="1"/>
  <c r="AB262" i="1"/>
  <c r="T262" i="1"/>
  <c r="U262" i="1"/>
  <c r="V262" i="1"/>
  <c r="W262" i="1"/>
  <c r="AB261" i="1"/>
  <c r="T261" i="1"/>
  <c r="U261" i="1"/>
  <c r="V261" i="1"/>
  <c r="W261" i="1"/>
  <c r="X261" i="1"/>
  <c r="AB260" i="1"/>
  <c r="T260" i="1"/>
  <c r="U260" i="1"/>
  <c r="V260" i="1"/>
  <c r="W260" i="1"/>
  <c r="X260" i="1"/>
  <c r="AB259" i="1"/>
  <c r="T259" i="1"/>
  <c r="U259" i="1"/>
  <c r="V259" i="1"/>
  <c r="W259" i="1"/>
  <c r="X259" i="1"/>
  <c r="AB258" i="1"/>
  <c r="T258" i="1"/>
  <c r="U258" i="1"/>
  <c r="V258" i="1"/>
  <c r="W258" i="1"/>
  <c r="X258" i="1"/>
  <c r="AB257" i="1"/>
  <c r="T257" i="1"/>
  <c r="U257" i="1"/>
  <c r="V257" i="1"/>
  <c r="W257" i="1"/>
  <c r="X257" i="1"/>
  <c r="AB256" i="1"/>
  <c r="T256" i="1"/>
  <c r="U256" i="1"/>
  <c r="V256" i="1"/>
  <c r="W256" i="1"/>
  <c r="X256" i="1"/>
  <c r="AB255" i="1"/>
  <c r="T255" i="1"/>
  <c r="U255" i="1"/>
  <c r="V255" i="1"/>
  <c r="W255" i="1"/>
  <c r="X255" i="1"/>
  <c r="AB254" i="1"/>
  <c r="T254" i="1"/>
  <c r="U254" i="1"/>
  <c r="V254" i="1"/>
  <c r="W254" i="1"/>
  <c r="X254" i="1"/>
  <c r="AB253" i="1"/>
  <c r="T253" i="1"/>
  <c r="U253" i="1"/>
  <c r="V253" i="1"/>
  <c r="W253" i="1"/>
  <c r="X253" i="1"/>
  <c r="AB252" i="1"/>
  <c r="T252" i="1"/>
  <c r="U252" i="1"/>
  <c r="V252" i="1"/>
  <c r="W252" i="1"/>
  <c r="X252" i="1"/>
  <c r="AB251" i="1"/>
  <c r="T251" i="1"/>
  <c r="U251" i="1"/>
  <c r="V251" i="1"/>
  <c r="W251" i="1"/>
  <c r="X251" i="1"/>
  <c r="AB250" i="1"/>
  <c r="T250" i="1"/>
  <c r="U250" i="1"/>
  <c r="V250" i="1"/>
  <c r="W250" i="1"/>
  <c r="X250" i="1"/>
  <c r="AB249" i="1"/>
  <c r="T249" i="1"/>
  <c r="U249" i="1"/>
  <c r="V249" i="1"/>
  <c r="W249" i="1"/>
  <c r="X249" i="1"/>
  <c r="AB248" i="1"/>
  <c r="T248" i="1"/>
  <c r="U248" i="1"/>
  <c r="V248" i="1"/>
  <c r="W248" i="1"/>
  <c r="X248" i="1"/>
  <c r="AB247" i="1"/>
  <c r="T247" i="1"/>
  <c r="U247" i="1"/>
  <c r="V247" i="1"/>
  <c r="W247" i="1"/>
  <c r="X247" i="1"/>
  <c r="AB246" i="1"/>
  <c r="T246" i="1"/>
  <c r="U246" i="1"/>
  <c r="V246" i="1"/>
  <c r="W246" i="1"/>
  <c r="X246" i="1"/>
  <c r="T245" i="1"/>
  <c r="U245" i="1"/>
  <c r="V245" i="1"/>
  <c r="W245" i="1"/>
  <c r="X245" i="1"/>
  <c r="T240" i="1"/>
  <c r="U240" i="1"/>
  <c r="V240" i="1"/>
  <c r="F15" i="1"/>
  <c r="W240" i="1"/>
  <c r="T239" i="1"/>
  <c r="U239" i="1"/>
  <c r="V239" i="1"/>
  <c r="W239" i="1"/>
  <c r="T238" i="1"/>
  <c r="U238" i="1"/>
  <c r="V238" i="1"/>
  <c r="W238" i="1"/>
  <c r="T237" i="1"/>
  <c r="U237" i="1"/>
  <c r="V237" i="1"/>
  <c r="W237" i="1"/>
  <c r="T236" i="1"/>
  <c r="U236" i="1"/>
  <c r="V236" i="1"/>
  <c r="W236" i="1"/>
  <c r="T235" i="1"/>
  <c r="U235" i="1"/>
  <c r="V235" i="1"/>
  <c r="W235" i="1"/>
  <c r="T234" i="1"/>
  <c r="U234" i="1"/>
  <c r="V234" i="1"/>
  <c r="W234" i="1"/>
  <c r="T233" i="1"/>
  <c r="U233" i="1"/>
  <c r="V233" i="1"/>
  <c r="W233" i="1"/>
  <c r="T232" i="1"/>
  <c r="U232" i="1"/>
  <c r="V232" i="1"/>
  <c r="W232" i="1"/>
  <c r="T231" i="1"/>
  <c r="U231" i="1"/>
  <c r="V231" i="1"/>
  <c r="W231" i="1"/>
  <c r="T230" i="1"/>
  <c r="U230" i="1"/>
  <c r="V230" i="1"/>
  <c r="W230" i="1"/>
  <c r="AB229" i="1"/>
  <c r="T229" i="1"/>
  <c r="U229" i="1"/>
  <c r="V229" i="1"/>
  <c r="W229" i="1"/>
  <c r="X229" i="1"/>
  <c r="AB228" i="1"/>
  <c r="T228" i="1"/>
  <c r="U228" i="1"/>
  <c r="V228" i="1"/>
  <c r="W228" i="1"/>
  <c r="X228" i="1"/>
  <c r="AB227" i="1"/>
  <c r="T227" i="1"/>
  <c r="U227" i="1"/>
  <c r="V227" i="1"/>
  <c r="W227" i="1"/>
  <c r="X227" i="1"/>
  <c r="AB226" i="1"/>
  <c r="T226" i="1"/>
  <c r="U226" i="1"/>
  <c r="V226" i="1"/>
  <c r="W226" i="1"/>
  <c r="X226" i="1"/>
  <c r="AB225" i="1"/>
  <c r="T225" i="1"/>
  <c r="U225" i="1"/>
  <c r="V225" i="1"/>
  <c r="W225" i="1"/>
  <c r="X225" i="1"/>
  <c r="AB224" i="1"/>
  <c r="T224" i="1"/>
  <c r="U224" i="1"/>
  <c r="V224" i="1"/>
  <c r="W224" i="1"/>
  <c r="X224" i="1"/>
  <c r="AB223" i="1"/>
  <c r="T223" i="1"/>
  <c r="U223" i="1"/>
  <c r="V223" i="1"/>
  <c r="W223" i="1"/>
  <c r="X223" i="1"/>
  <c r="AB222" i="1"/>
  <c r="T222" i="1"/>
  <c r="U222" i="1"/>
  <c r="V222" i="1"/>
  <c r="W222" i="1"/>
  <c r="X222" i="1"/>
  <c r="AB221" i="1"/>
  <c r="T221" i="1"/>
  <c r="U221" i="1"/>
  <c r="V221" i="1"/>
  <c r="W221" i="1"/>
  <c r="X221" i="1"/>
  <c r="AB220" i="1"/>
  <c r="T220" i="1"/>
  <c r="U220" i="1"/>
  <c r="V220" i="1"/>
  <c r="W220" i="1"/>
  <c r="X220" i="1"/>
  <c r="AB219" i="1"/>
  <c r="T219" i="1"/>
  <c r="U219" i="1"/>
  <c r="V219" i="1"/>
  <c r="W219" i="1"/>
  <c r="X219" i="1"/>
  <c r="AB218" i="1"/>
  <c r="T218" i="1"/>
  <c r="U218" i="1"/>
  <c r="V218" i="1"/>
  <c r="W218" i="1"/>
  <c r="X218" i="1"/>
  <c r="AB217" i="1"/>
  <c r="T217" i="1"/>
  <c r="U217" i="1"/>
  <c r="V217" i="1"/>
  <c r="W217" i="1"/>
  <c r="X217" i="1"/>
  <c r="T216" i="1"/>
  <c r="U216" i="1"/>
  <c r="V216" i="1"/>
  <c r="W216" i="1"/>
  <c r="X216" i="1"/>
  <c r="T211" i="1"/>
  <c r="U211" i="1"/>
  <c r="V211" i="1"/>
  <c r="F14" i="1"/>
  <c r="W211" i="1"/>
  <c r="T210" i="1"/>
  <c r="U210" i="1"/>
  <c r="V210" i="1"/>
  <c r="W210" i="1"/>
  <c r="T209" i="1"/>
  <c r="U209" i="1"/>
  <c r="V209" i="1"/>
  <c r="W209" i="1"/>
  <c r="T208" i="1"/>
  <c r="U208" i="1"/>
  <c r="V208" i="1"/>
  <c r="W208" i="1"/>
  <c r="T207" i="1"/>
  <c r="U207" i="1"/>
  <c r="V207" i="1"/>
  <c r="W207" i="1"/>
  <c r="T206" i="1"/>
  <c r="U206" i="1"/>
  <c r="V206" i="1"/>
  <c r="W206" i="1"/>
  <c r="T205" i="1"/>
  <c r="U205" i="1"/>
  <c r="V205" i="1"/>
  <c r="W205" i="1"/>
  <c r="T204" i="1"/>
  <c r="U204" i="1"/>
  <c r="V204" i="1"/>
  <c r="W204" i="1"/>
  <c r="T203" i="1"/>
  <c r="U203" i="1"/>
  <c r="V203" i="1"/>
  <c r="W203" i="1"/>
  <c r="T202" i="1"/>
  <c r="U202" i="1"/>
  <c r="V202" i="1"/>
  <c r="W202" i="1"/>
  <c r="T201" i="1"/>
  <c r="U201" i="1"/>
  <c r="V201" i="1"/>
  <c r="W201" i="1"/>
  <c r="T200" i="1"/>
  <c r="U200" i="1"/>
  <c r="V200" i="1"/>
  <c r="W200" i="1"/>
  <c r="T199" i="1"/>
  <c r="U199" i="1"/>
  <c r="V199" i="1"/>
  <c r="W199" i="1"/>
  <c r="T198" i="1"/>
  <c r="U198" i="1"/>
  <c r="V198" i="1"/>
  <c r="W198" i="1"/>
  <c r="T197" i="1"/>
  <c r="U197" i="1"/>
  <c r="V197" i="1"/>
  <c r="W197" i="1"/>
  <c r="X197" i="1"/>
  <c r="T196" i="1"/>
  <c r="U196" i="1"/>
  <c r="V196" i="1"/>
  <c r="W196" i="1"/>
  <c r="X196" i="1"/>
  <c r="AB195" i="1"/>
  <c r="T195" i="1"/>
  <c r="U195" i="1"/>
  <c r="V195" i="1"/>
  <c r="W195" i="1"/>
  <c r="X195" i="1"/>
  <c r="AB194" i="1"/>
  <c r="T194" i="1"/>
  <c r="U194" i="1"/>
  <c r="V194" i="1"/>
  <c r="W194" i="1"/>
  <c r="X194" i="1"/>
  <c r="AB193" i="1"/>
  <c r="T193" i="1"/>
  <c r="U193" i="1"/>
  <c r="V193" i="1"/>
  <c r="W193" i="1"/>
  <c r="X193" i="1"/>
  <c r="AB192" i="1"/>
  <c r="T192" i="1"/>
  <c r="U192" i="1"/>
  <c r="V192" i="1"/>
  <c r="W192" i="1"/>
  <c r="X192" i="1"/>
  <c r="AB191" i="1"/>
  <c r="T191" i="1"/>
  <c r="U191" i="1"/>
  <c r="V191" i="1"/>
  <c r="W191" i="1"/>
  <c r="X191" i="1"/>
  <c r="AB190" i="1"/>
  <c r="T190" i="1"/>
  <c r="U190" i="1"/>
  <c r="V190" i="1"/>
  <c r="W190" i="1"/>
  <c r="X190" i="1"/>
  <c r="AB189" i="1"/>
  <c r="T189" i="1"/>
  <c r="U189" i="1"/>
  <c r="V189" i="1"/>
  <c r="W189" i="1"/>
  <c r="X189" i="1"/>
  <c r="AB188" i="1"/>
  <c r="T188" i="1"/>
  <c r="U188" i="1"/>
  <c r="V188" i="1"/>
  <c r="W188" i="1"/>
  <c r="X188" i="1"/>
  <c r="T187" i="1"/>
  <c r="U187" i="1"/>
  <c r="V187" i="1"/>
  <c r="W187" i="1"/>
  <c r="X187" i="1"/>
  <c r="T182" i="1"/>
  <c r="U182" i="1"/>
  <c r="V182" i="1"/>
  <c r="F13" i="1"/>
  <c r="W182" i="1"/>
  <c r="T181" i="1"/>
  <c r="U181" i="1"/>
  <c r="V181" i="1"/>
  <c r="W181" i="1"/>
  <c r="T180" i="1"/>
  <c r="U180" i="1"/>
  <c r="V180" i="1"/>
  <c r="W180" i="1"/>
  <c r="T179" i="1"/>
  <c r="U179" i="1"/>
  <c r="V179" i="1"/>
  <c r="W179" i="1"/>
  <c r="T178" i="1"/>
  <c r="U178" i="1"/>
  <c r="V178" i="1"/>
  <c r="W178" i="1"/>
  <c r="T177" i="1"/>
  <c r="U177" i="1"/>
  <c r="V177" i="1"/>
  <c r="W177" i="1"/>
  <c r="T176" i="1"/>
  <c r="U176" i="1"/>
  <c r="V176" i="1"/>
  <c r="W176" i="1"/>
  <c r="T175" i="1"/>
  <c r="U175" i="1"/>
  <c r="V175" i="1"/>
  <c r="W175" i="1"/>
  <c r="T174" i="1"/>
  <c r="U174" i="1"/>
  <c r="V174" i="1"/>
  <c r="W174" i="1"/>
  <c r="T173" i="1"/>
  <c r="U173" i="1"/>
  <c r="V173" i="1"/>
  <c r="W173" i="1"/>
  <c r="T172" i="1"/>
  <c r="U172" i="1"/>
  <c r="V172" i="1"/>
  <c r="W172" i="1"/>
  <c r="T171" i="1"/>
  <c r="U171" i="1"/>
  <c r="V171" i="1"/>
  <c r="W171" i="1"/>
  <c r="T170" i="1"/>
  <c r="U170" i="1"/>
  <c r="V170" i="1"/>
  <c r="W170" i="1"/>
  <c r="T169" i="1"/>
  <c r="U169" i="1"/>
  <c r="V169" i="1"/>
  <c r="W169" i="1"/>
  <c r="T168" i="1"/>
  <c r="U168" i="1"/>
  <c r="V168" i="1"/>
  <c r="W168" i="1"/>
  <c r="T167" i="1"/>
  <c r="U167" i="1"/>
  <c r="V167" i="1"/>
  <c r="W167" i="1"/>
  <c r="T166" i="1"/>
  <c r="U166" i="1"/>
  <c r="V166" i="1"/>
  <c r="W166" i="1"/>
  <c r="AB165" i="1"/>
  <c r="T165" i="1"/>
  <c r="U165" i="1"/>
  <c r="V165" i="1"/>
  <c r="W165" i="1"/>
  <c r="AB164" i="1"/>
  <c r="T164" i="1"/>
  <c r="U164" i="1"/>
  <c r="V164" i="1"/>
  <c r="W164" i="1"/>
  <c r="X164" i="1"/>
  <c r="AB163" i="1"/>
  <c r="T163" i="1"/>
  <c r="U163" i="1"/>
  <c r="V163" i="1"/>
  <c r="W163" i="1"/>
  <c r="X163" i="1"/>
  <c r="AB162" i="1"/>
  <c r="T162" i="1"/>
  <c r="U162" i="1"/>
  <c r="V162" i="1"/>
  <c r="W162" i="1"/>
  <c r="X162" i="1"/>
  <c r="AB161" i="1"/>
  <c r="T161" i="1"/>
  <c r="U161" i="1"/>
  <c r="V161" i="1"/>
  <c r="W161" i="1"/>
  <c r="X161" i="1"/>
  <c r="AB160" i="1"/>
  <c r="T160" i="1"/>
  <c r="U160" i="1"/>
  <c r="V160" i="1"/>
  <c r="W160" i="1"/>
  <c r="X160" i="1"/>
  <c r="AB159" i="1"/>
  <c r="T159" i="1"/>
  <c r="U159" i="1"/>
  <c r="V159" i="1"/>
  <c r="W159" i="1"/>
  <c r="X159" i="1"/>
  <c r="T158" i="1"/>
  <c r="U158" i="1"/>
  <c r="V158" i="1"/>
  <c r="W158" i="1"/>
  <c r="X158" i="1"/>
  <c r="T153" i="1"/>
  <c r="U153" i="1"/>
  <c r="V153" i="1"/>
  <c r="F12" i="1"/>
  <c r="W153" i="1"/>
  <c r="T152" i="1"/>
  <c r="U152" i="1"/>
  <c r="V152" i="1"/>
  <c r="W152" i="1"/>
  <c r="T151" i="1"/>
  <c r="U151" i="1"/>
  <c r="V151" i="1"/>
  <c r="W151" i="1"/>
  <c r="T150" i="1"/>
  <c r="U150" i="1"/>
  <c r="V150" i="1"/>
  <c r="W150" i="1"/>
  <c r="T149" i="1"/>
  <c r="U149" i="1"/>
  <c r="V149" i="1"/>
  <c r="W149" i="1"/>
  <c r="T148" i="1"/>
  <c r="U148" i="1"/>
  <c r="V148" i="1"/>
  <c r="W148" i="1"/>
  <c r="T147" i="1"/>
  <c r="U147" i="1"/>
  <c r="V147" i="1"/>
  <c r="W147" i="1"/>
  <c r="T146" i="1"/>
  <c r="U146" i="1"/>
  <c r="V146" i="1"/>
  <c r="W146" i="1"/>
  <c r="T145" i="1"/>
  <c r="U145" i="1"/>
  <c r="V145" i="1"/>
  <c r="W145" i="1"/>
  <c r="T144" i="1"/>
  <c r="U144" i="1"/>
  <c r="V144" i="1"/>
  <c r="W144" i="1"/>
  <c r="AB143" i="1"/>
  <c r="T143" i="1"/>
  <c r="U143" i="1"/>
  <c r="V143" i="1"/>
  <c r="W143" i="1"/>
  <c r="AB142" i="1"/>
  <c r="T142" i="1"/>
  <c r="U142" i="1"/>
  <c r="V142" i="1"/>
  <c r="W142" i="1"/>
  <c r="AB141" i="1"/>
  <c r="T141" i="1"/>
  <c r="U141" i="1"/>
  <c r="V141" i="1"/>
  <c r="W141" i="1"/>
  <c r="AB140" i="1"/>
  <c r="T140" i="1"/>
  <c r="U140" i="1"/>
  <c r="V140" i="1"/>
  <c r="W140" i="1"/>
  <c r="AB139" i="1"/>
  <c r="T139" i="1"/>
  <c r="U139" i="1"/>
  <c r="V139" i="1"/>
  <c r="W139" i="1"/>
  <c r="AB138" i="1"/>
  <c r="T138" i="1"/>
  <c r="U138" i="1"/>
  <c r="V138" i="1"/>
  <c r="W138" i="1"/>
  <c r="AB137" i="1"/>
  <c r="T137" i="1"/>
  <c r="U137" i="1"/>
  <c r="V137" i="1"/>
  <c r="W137" i="1"/>
  <c r="AB136" i="1"/>
  <c r="T136" i="1"/>
  <c r="U136" i="1"/>
  <c r="V136" i="1"/>
  <c r="W136" i="1"/>
  <c r="AB135" i="1"/>
  <c r="T135" i="1"/>
  <c r="U135" i="1"/>
  <c r="V135" i="1"/>
  <c r="W135" i="1"/>
  <c r="AB134" i="1"/>
  <c r="T134" i="1"/>
  <c r="U134" i="1"/>
  <c r="V134" i="1"/>
  <c r="W134" i="1"/>
  <c r="AB133" i="1"/>
  <c r="T133" i="1"/>
  <c r="U133" i="1"/>
  <c r="V133" i="1"/>
  <c r="W133" i="1"/>
  <c r="AB132" i="1"/>
  <c r="T132" i="1"/>
  <c r="U132" i="1"/>
  <c r="V132" i="1"/>
  <c r="W132" i="1"/>
  <c r="X132" i="1"/>
  <c r="AB131" i="1"/>
  <c r="T131" i="1"/>
  <c r="U131" i="1"/>
  <c r="V131" i="1"/>
  <c r="W131" i="1"/>
  <c r="X131" i="1"/>
  <c r="AB130" i="1"/>
  <c r="T130" i="1"/>
  <c r="U130" i="1"/>
  <c r="V130" i="1"/>
  <c r="W130" i="1"/>
  <c r="X130" i="1"/>
  <c r="T129" i="1"/>
  <c r="U129" i="1"/>
  <c r="V129" i="1"/>
  <c r="W129" i="1"/>
  <c r="X129" i="1"/>
  <c r="AB124" i="1"/>
  <c r="T124" i="1"/>
  <c r="U124" i="1"/>
  <c r="V124" i="1"/>
  <c r="F11" i="1"/>
  <c r="W124" i="1"/>
  <c r="AB123" i="1"/>
  <c r="T123" i="1"/>
  <c r="U123" i="1"/>
  <c r="V123" i="1"/>
  <c r="W123" i="1"/>
  <c r="AB122" i="1"/>
  <c r="T122" i="1"/>
  <c r="U122" i="1"/>
  <c r="V122" i="1"/>
  <c r="W122" i="1"/>
  <c r="AB121" i="1"/>
  <c r="T121" i="1"/>
  <c r="U121" i="1"/>
  <c r="V121" i="1"/>
  <c r="W121" i="1"/>
  <c r="AB120" i="1"/>
  <c r="T120" i="1"/>
  <c r="U120" i="1"/>
  <c r="V120" i="1"/>
  <c r="W120" i="1"/>
  <c r="AB119" i="1"/>
  <c r="T119" i="1"/>
  <c r="U119" i="1"/>
  <c r="V119" i="1"/>
  <c r="W119" i="1"/>
  <c r="AB118" i="1"/>
  <c r="T118" i="1"/>
  <c r="U118" i="1"/>
  <c r="V118" i="1"/>
  <c r="W118" i="1"/>
  <c r="AB117" i="1"/>
  <c r="T117" i="1"/>
  <c r="U117" i="1"/>
  <c r="V117" i="1"/>
  <c r="W117" i="1"/>
  <c r="AB116" i="1"/>
  <c r="T116" i="1"/>
  <c r="U116" i="1"/>
  <c r="V116" i="1"/>
  <c r="W116" i="1"/>
  <c r="AB115" i="1"/>
  <c r="T115" i="1"/>
  <c r="U115" i="1"/>
  <c r="V115" i="1"/>
  <c r="W115" i="1"/>
  <c r="AB114" i="1"/>
  <c r="T114" i="1"/>
  <c r="U114" i="1"/>
  <c r="V114" i="1"/>
  <c r="W114" i="1"/>
  <c r="AB113" i="1"/>
  <c r="T113" i="1"/>
  <c r="U113" i="1"/>
  <c r="V113" i="1"/>
  <c r="W113" i="1"/>
  <c r="AB112" i="1"/>
  <c r="T112" i="1"/>
  <c r="U112" i="1"/>
  <c r="V112" i="1"/>
  <c r="W112" i="1"/>
  <c r="AB111" i="1"/>
  <c r="T111" i="1"/>
  <c r="U111" i="1"/>
  <c r="V111" i="1"/>
  <c r="W111" i="1"/>
  <c r="AB110" i="1"/>
  <c r="T110" i="1"/>
  <c r="U110" i="1"/>
  <c r="V110" i="1"/>
  <c r="W110" i="1"/>
  <c r="AB109" i="1"/>
  <c r="T109" i="1"/>
  <c r="U109" i="1"/>
  <c r="V109" i="1"/>
  <c r="W109" i="1"/>
  <c r="AB108" i="1"/>
  <c r="T108" i="1"/>
  <c r="U108" i="1"/>
  <c r="V108" i="1"/>
  <c r="W108" i="1"/>
  <c r="AB107" i="1"/>
  <c r="T107" i="1"/>
  <c r="U107" i="1"/>
  <c r="V107" i="1"/>
  <c r="W107" i="1"/>
  <c r="AB106" i="1"/>
  <c r="T106" i="1"/>
  <c r="U106" i="1"/>
  <c r="V106" i="1"/>
  <c r="W106" i="1"/>
  <c r="AB105" i="1"/>
  <c r="T105" i="1"/>
  <c r="U105" i="1"/>
  <c r="V105" i="1"/>
  <c r="W105" i="1"/>
  <c r="AB104" i="1"/>
  <c r="T104" i="1"/>
  <c r="U104" i="1"/>
  <c r="V104" i="1"/>
  <c r="W104" i="1"/>
  <c r="AB103" i="1"/>
  <c r="T103" i="1"/>
  <c r="U103" i="1"/>
  <c r="V103" i="1"/>
  <c r="W103" i="1"/>
  <c r="AB102" i="1"/>
  <c r="T102" i="1"/>
  <c r="U102" i="1"/>
  <c r="V102" i="1"/>
  <c r="W102" i="1"/>
  <c r="AB101" i="1"/>
  <c r="T101" i="1"/>
  <c r="U101" i="1"/>
  <c r="V101" i="1"/>
  <c r="W101" i="1"/>
  <c r="T100" i="1"/>
  <c r="U100" i="1"/>
  <c r="V100" i="1"/>
  <c r="W100" i="1"/>
  <c r="AB95" i="1"/>
  <c r="T95" i="1"/>
  <c r="U95" i="1"/>
  <c r="V95" i="1"/>
  <c r="F10" i="1"/>
  <c r="W95" i="1"/>
  <c r="AB94" i="1"/>
  <c r="T94" i="1"/>
  <c r="U94" i="1"/>
  <c r="V94" i="1"/>
  <c r="W94" i="1"/>
  <c r="AB93" i="1"/>
  <c r="T93" i="1"/>
  <c r="U93" i="1"/>
  <c r="V93" i="1"/>
  <c r="W93" i="1"/>
  <c r="AB92" i="1"/>
  <c r="T92" i="1"/>
  <c r="U92" i="1"/>
  <c r="V92" i="1"/>
  <c r="W92" i="1"/>
  <c r="AB91" i="1"/>
  <c r="T91" i="1"/>
  <c r="U91" i="1"/>
  <c r="V91" i="1"/>
  <c r="W91" i="1"/>
  <c r="AB90" i="1"/>
  <c r="T90" i="1"/>
  <c r="U90" i="1"/>
  <c r="V90" i="1"/>
  <c r="W90" i="1"/>
  <c r="AB89" i="1"/>
  <c r="T89" i="1"/>
  <c r="U89" i="1"/>
  <c r="V89" i="1"/>
  <c r="W89" i="1"/>
  <c r="AB88" i="1"/>
  <c r="T88" i="1"/>
  <c r="U88" i="1"/>
  <c r="V88" i="1"/>
  <c r="W88" i="1"/>
  <c r="AB87" i="1"/>
  <c r="T87" i="1"/>
  <c r="U87" i="1"/>
  <c r="V87" i="1"/>
  <c r="W87" i="1"/>
  <c r="AB86" i="1"/>
  <c r="T86" i="1"/>
  <c r="U86" i="1"/>
  <c r="V86" i="1"/>
  <c r="W86" i="1"/>
  <c r="AB85" i="1"/>
  <c r="T85" i="1"/>
  <c r="U85" i="1"/>
  <c r="V85" i="1"/>
  <c r="W85" i="1"/>
  <c r="AB84" i="1"/>
  <c r="T84" i="1"/>
  <c r="U84" i="1"/>
  <c r="V84" i="1"/>
  <c r="W84" i="1"/>
  <c r="AB83" i="1"/>
  <c r="T83" i="1"/>
  <c r="U83" i="1"/>
  <c r="V83" i="1"/>
  <c r="W83" i="1"/>
  <c r="AB82" i="1"/>
  <c r="T82" i="1"/>
  <c r="U82" i="1"/>
  <c r="V82" i="1"/>
  <c r="W82" i="1"/>
  <c r="AB81" i="1"/>
  <c r="T81" i="1"/>
  <c r="U81" i="1"/>
  <c r="V81" i="1"/>
  <c r="W81" i="1"/>
  <c r="AB80" i="1"/>
  <c r="T80" i="1"/>
  <c r="U80" i="1"/>
  <c r="V80" i="1"/>
  <c r="W80" i="1"/>
  <c r="AB79" i="1"/>
  <c r="T79" i="1"/>
  <c r="U79" i="1"/>
  <c r="V79" i="1"/>
  <c r="W79" i="1"/>
  <c r="AB78" i="1"/>
  <c r="T78" i="1"/>
  <c r="U78" i="1"/>
  <c r="V78" i="1"/>
  <c r="W78" i="1"/>
  <c r="AB77" i="1"/>
  <c r="T77" i="1"/>
  <c r="U77" i="1"/>
  <c r="V77" i="1"/>
  <c r="W77" i="1"/>
  <c r="AB76" i="1"/>
  <c r="T76" i="1"/>
  <c r="U76" i="1"/>
  <c r="V76" i="1"/>
  <c r="W76" i="1"/>
  <c r="AB75" i="1"/>
  <c r="T75" i="1"/>
  <c r="U75" i="1"/>
  <c r="V75" i="1"/>
  <c r="W75" i="1"/>
  <c r="AB74" i="1"/>
  <c r="T74" i="1"/>
  <c r="U74" i="1"/>
  <c r="V74" i="1"/>
  <c r="W74" i="1"/>
  <c r="AB73" i="1"/>
  <c r="T73" i="1"/>
  <c r="U73" i="1"/>
  <c r="V73" i="1"/>
  <c r="W73" i="1"/>
  <c r="AB72" i="1"/>
  <c r="T72" i="1"/>
  <c r="U72" i="1"/>
  <c r="V72" i="1"/>
  <c r="W72" i="1"/>
  <c r="AB71" i="1"/>
  <c r="T71" i="1"/>
  <c r="U71" i="1"/>
  <c r="V71" i="1"/>
  <c r="W71" i="1"/>
  <c r="AB66" i="1"/>
  <c r="T66" i="1"/>
  <c r="U66" i="1"/>
  <c r="V66" i="1"/>
  <c r="F9" i="1"/>
  <c r="W66" i="1"/>
  <c r="AB65" i="1"/>
  <c r="T65" i="1"/>
  <c r="U65" i="1"/>
  <c r="V65" i="1"/>
  <c r="W65" i="1"/>
  <c r="AB64" i="1"/>
  <c r="T64" i="1"/>
  <c r="U64" i="1"/>
  <c r="V64" i="1"/>
  <c r="W64" i="1"/>
  <c r="AB63" i="1"/>
  <c r="T63" i="1"/>
  <c r="U63" i="1"/>
  <c r="V63" i="1"/>
  <c r="W63" i="1"/>
  <c r="AB62" i="1"/>
  <c r="T62" i="1"/>
  <c r="U62" i="1"/>
  <c r="V62" i="1"/>
  <c r="W62" i="1"/>
  <c r="AB61" i="1"/>
  <c r="T61" i="1"/>
  <c r="U61" i="1"/>
  <c r="V61" i="1"/>
  <c r="W61" i="1"/>
  <c r="AB60" i="1"/>
  <c r="T60" i="1"/>
  <c r="U60" i="1"/>
  <c r="V60" i="1"/>
  <c r="W60" i="1"/>
  <c r="AB59" i="1"/>
  <c r="T59" i="1"/>
  <c r="U59" i="1"/>
  <c r="V59" i="1"/>
  <c r="W59" i="1"/>
  <c r="AB58" i="1"/>
  <c r="T58" i="1"/>
  <c r="U58" i="1"/>
  <c r="V58" i="1"/>
  <c r="W58" i="1"/>
  <c r="AB57" i="1"/>
  <c r="T57" i="1"/>
  <c r="U57" i="1"/>
  <c r="V57" i="1"/>
  <c r="W57" i="1"/>
  <c r="AB56" i="1"/>
  <c r="T56" i="1"/>
  <c r="U56" i="1"/>
  <c r="V56" i="1"/>
  <c r="W56" i="1"/>
  <c r="AB55" i="1"/>
  <c r="T55" i="1"/>
  <c r="U55" i="1"/>
  <c r="V55" i="1"/>
  <c r="W55" i="1"/>
  <c r="AB54" i="1"/>
  <c r="T54" i="1"/>
  <c r="U54" i="1"/>
  <c r="V54" i="1"/>
  <c r="W54" i="1"/>
  <c r="AB53" i="1"/>
  <c r="T53" i="1"/>
  <c r="U53" i="1"/>
  <c r="V53" i="1"/>
  <c r="W53" i="1"/>
  <c r="AB52" i="1"/>
  <c r="T52" i="1"/>
  <c r="U52" i="1"/>
  <c r="V52" i="1"/>
  <c r="W52" i="1"/>
  <c r="AB51" i="1"/>
  <c r="T51" i="1"/>
  <c r="U51" i="1"/>
  <c r="V51" i="1"/>
  <c r="W51" i="1"/>
  <c r="AB50" i="1"/>
  <c r="T50" i="1"/>
  <c r="U50" i="1"/>
  <c r="V50" i="1"/>
  <c r="W50" i="1"/>
  <c r="AB49" i="1"/>
  <c r="T49" i="1"/>
  <c r="U49" i="1"/>
  <c r="V49" i="1"/>
  <c r="W49" i="1"/>
  <c r="X49" i="1"/>
  <c r="AB48" i="1"/>
  <c r="T48" i="1"/>
  <c r="U48" i="1"/>
  <c r="V48" i="1"/>
  <c r="W48" i="1"/>
  <c r="X48" i="1"/>
  <c r="AB47" i="1"/>
  <c r="T47" i="1"/>
  <c r="U47" i="1"/>
  <c r="V47" i="1"/>
  <c r="W47" i="1"/>
  <c r="X47" i="1"/>
  <c r="AB46" i="1"/>
  <c r="T46" i="1"/>
  <c r="U46" i="1"/>
  <c r="V46" i="1"/>
  <c r="W46" i="1"/>
  <c r="X46" i="1"/>
  <c r="AB45" i="1"/>
  <c r="T45" i="1"/>
  <c r="U45" i="1"/>
  <c r="V45" i="1"/>
  <c r="W45" i="1"/>
  <c r="X45" i="1"/>
  <c r="AB44" i="1"/>
  <c r="T44" i="1"/>
  <c r="U44" i="1"/>
  <c r="V44" i="1"/>
  <c r="W44" i="1"/>
  <c r="X44" i="1"/>
  <c r="AB43" i="1"/>
  <c r="T43" i="1"/>
  <c r="U43" i="1"/>
  <c r="V43" i="1"/>
  <c r="W43" i="1"/>
  <c r="X43" i="1"/>
  <c r="T42" i="1"/>
  <c r="U42" i="1"/>
  <c r="V42" i="1"/>
  <c r="W42" i="1"/>
  <c r="X42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49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720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62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604" i="1"/>
  <c r="J574" i="1"/>
  <c r="J573" i="1"/>
  <c r="J572" i="1"/>
  <c r="J571" i="1"/>
  <c r="J570" i="1"/>
  <c r="J569" i="1"/>
  <c r="J568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75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46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517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88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30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72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4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313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85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27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69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17" i="1"/>
  <c r="J128" i="1"/>
  <c r="J127" i="1"/>
  <c r="J126" i="1"/>
  <c r="J125" i="1"/>
  <c r="J124" i="1"/>
  <c r="J123" i="1"/>
  <c r="J122" i="1"/>
  <c r="J121" i="1"/>
  <c r="J120" i="1"/>
  <c r="J119" i="1"/>
  <c r="J118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111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B436" i="1"/>
  <c r="C436" i="1"/>
  <c r="D436" i="1"/>
  <c r="E436" i="1"/>
  <c r="F436" i="1"/>
  <c r="B437" i="1"/>
  <c r="C437" i="1"/>
  <c r="D437" i="1"/>
  <c r="E437" i="1"/>
  <c r="F437" i="1"/>
  <c r="B438" i="1"/>
  <c r="C438" i="1"/>
  <c r="D438" i="1"/>
  <c r="E438" i="1"/>
  <c r="F438" i="1"/>
  <c r="B439" i="1"/>
  <c r="C439" i="1"/>
  <c r="D439" i="1"/>
  <c r="E439" i="1"/>
  <c r="F439" i="1"/>
  <c r="B440" i="1"/>
  <c r="C440" i="1"/>
  <c r="D440" i="1"/>
  <c r="E440" i="1"/>
  <c r="F440" i="1"/>
  <c r="B441" i="1"/>
  <c r="C441" i="1"/>
  <c r="D441" i="1"/>
  <c r="E441" i="1"/>
  <c r="F441" i="1"/>
  <c r="B442" i="1"/>
  <c r="C442" i="1"/>
  <c r="D442" i="1"/>
  <c r="E442" i="1"/>
  <c r="F442" i="1"/>
  <c r="B443" i="1"/>
  <c r="C443" i="1"/>
  <c r="D443" i="1"/>
  <c r="E443" i="1"/>
  <c r="F443" i="1"/>
  <c r="B444" i="1"/>
  <c r="C444" i="1"/>
  <c r="D444" i="1"/>
  <c r="E444" i="1"/>
  <c r="F444" i="1"/>
  <c r="B445" i="1"/>
  <c r="C445" i="1"/>
  <c r="D445" i="1"/>
  <c r="E445" i="1"/>
  <c r="F445" i="1"/>
  <c r="B446" i="1"/>
  <c r="C446" i="1"/>
  <c r="D446" i="1"/>
  <c r="E446" i="1"/>
  <c r="F446" i="1"/>
  <c r="B447" i="1"/>
  <c r="C447" i="1"/>
  <c r="D447" i="1"/>
  <c r="E447" i="1"/>
  <c r="F447" i="1"/>
  <c r="B448" i="1"/>
  <c r="C448" i="1"/>
  <c r="D448" i="1"/>
  <c r="E448" i="1"/>
  <c r="F448" i="1"/>
  <c r="B449" i="1"/>
  <c r="C449" i="1"/>
  <c r="D449" i="1"/>
  <c r="E449" i="1"/>
  <c r="F449" i="1"/>
  <c r="B450" i="1"/>
  <c r="C450" i="1"/>
  <c r="D450" i="1"/>
  <c r="E450" i="1"/>
  <c r="F450" i="1"/>
  <c r="B451" i="1"/>
  <c r="C451" i="1"/>
  <c r="D451" i="1"/>
  <c r="E451" i="1"/>
  <c r="F451" i="1"/>
  <c r="B452" i="1"/>
  <c r="C452" i="1"/>
  <c r="D452" i="1"/>
  <c r="E452" i="1"/>
  <c r="F452" i="1"/>
  <c r="B453" i="1"/>
  <c r="C453" i="1"/>
  <c r="D453" i="1"/>
  <c r="E453" i="1"/>
  <c r="F453" i="1"/>
  <c r="B454" i="1"/>
  <c r="C454" i="1"/>
  <c r="D454" i="1"/>
  <c r="E454" i="1"/>
  <c r="F454" i="1"/>
  <c r="B455" i="1"/>
  <c r="C455" i="1"/>
  <c r="D455" i="1"/>
  <c r="E455" i="1"/>
  <c r="F455" i="1"/>
  <c r="B456" i="1"/>
  <c r="C456" i="1"/>
  <c r="D456" i="1"/>
  <c r="E456" i="1"/>
  <c r="F456" i="1"/>
  <c r="B457" i="1"/>
  <c r="C457" i="1"/>
  <c r="D457" i="1"/>
  <c r="E457" i="1"/>
  <c r="F457" i="1"/>
  <c r="B458" i="1"/>
  <c r="C458" i="1"/>
  <c r="D458" i="1"/>
  <c r="E458" i="1"/>
  <c r="F458" i="1"/>
  <c r="B459" i="1"/>
  <c r="C459" i="1"/>
  <c r="D459" i="1"/>
  <c r="E459" i="1"/>
  <c r="F459" i="1"/>
  <c r="B460" i="1"/>
  <c r="C460" i="1"/>
  <c r="D460" i="1"/>
  <c r="E460" i="1"/>
  <c r="F460" i="1"/>
  <c r="B465" i="1"/>
  <c r="C465" i="1"/>
  <c r="D465" i="1"/>
  <c r="E465" i="1"/>
  <c r="F465" i="1"/>
  <c r="B466" i="1"/>
  <c r="C466" i="1"/>
  <c r="D466" i="1"/>
  <c r="E466" i="1"/>
  <c r="F466" i="1"/>
  <c r="B467" i="1"/>
  <c r="C467" i="1"/>
  <c r="D467" i="1"/>
  <c r="E467" i="1"/>
  <c r="F467" i="1"/>
  <c r="B468" i="1"/>
  <c r="C468" i="1"/>
  <c r="D468" i="1"/>
  <c r="E468" i="1"/>
  <c r="F468" i="1"/>
  <c r="B469" i="1"/>
  <c r="C469" i="1"/>
  <c r="D469" i="1"/>
  <c r="E469" i="1"/>
  <c r="F469" i="1"/>
  <c r="B470" i="1"/>
  <c r="C470" i="1"/>
  <c r="D470" i="1"/>
  <c r="E470" i="1"/>
  <c r="F470" i="1"/>
  <c r="B471" i="1"/>
  <c r="C471" i="1"/>
  <c r="D471" i="1"/>
  <c r="E471" i="1"/>
  <c r="F471" i="1"/>
  <c r="B472" i="1"/>
  <c r="C472" i="1"/>
  <c r="D472" i="1"/>
  <c r="E472" i="1"/>
  <c r="F472" i="1"/>
  <c r="B473" i="1"/>
  <c r="C473" i="1"/>
  <c r="D473" i="1"/>
  <c r="E473" i="1"/>
  <c r="F473" i="1"/>
  <c r="B474" i="1"/>
  <c r="C474" i="1"/>
  <c r="D474" i="1"/>
  <c r="E474" i="1"/>
  <c r="F474" i="1"/>
  <c r="B475" i="1"/>
  <c r="C475" i="1"/>
  <c r="D475" i="1"/>
  <c r="E475" i="1"/>
  <c r="F475" i="1"/>
  <c r="B476" i="1"/>
  <c r="C476" i="1"/>
  <c r="D476" i="1"/>
  <c r="E476" i="1"/>
  <c r="F476" i="1"/>
  <c r="B477" i="1"/>
  <c r="C477" i="1"/>
  <c r="D477" i="1"/>
  <c r="E477" i="1"/>
  <c r="F477" i="1"/>
  <c r="B478" i="1"/>
  <c r="C478" i="1"/>
  <c r="D478" i="1"/>
  <c r="E478" i="1"/>
  <c r="F478" i="1"/>
  <c r="B479" i="1"/>
  <c r="C479" i="1"/>
  <c r="D479" i="1"/>
  <c r="E479" i="1"/>
  <c r="F479" i="1"/>
  <c r="B480" i="1"/>
  <c r="C480" i="1"/>
  <c r="D480" i="1"/>
  <c r="E480" i="1"/>
  <c r="F480" i="1"/>
  <c r="B481" i="1"/>
  <c r="C481" i="1"/>
  <c r="D481" i="1"/>
  <c r="E481" i="1"/>
  <c r="F481" i="1"/>
  <c r="B482" i="1"/>
  <c r="C482" i="1"/>
  <c r="D482" i="1"/>
  <c r="E482" i="1"/>
  <c r="F482" i="1"/>
  <c r="B483" i="1"/>
  <c r="C483" i="1"/>
  <c r="D483" i="1"/>
  <c r="E483" i="1"/>
  <c r="F483" i="1"/>
  <c r="B484" i="1"/>
  <c r="C484" i="1"/>
  <c r="D484" i="1"/>
  <c r="E484" i="1"/>
  <c r="F484" i="1"/>
  <c r="B485" i="1"/>
  <c r="C485" i="1"/>
  <c r="D485" i="1"/>
  <c r="E485" i="1"/>
  <c r="F485" i="1"/>
  <c r="B486" i="1"/>
  <c r="C486" i="1"/>
  <c r="D486" i="1"/>
  <c r="E486" i="1"/>
  <c r="F486" i="1"/>
  <c r="B487" i="1"/>
  <c r="C487" i="1"/>
  <c r="D487" i="1"/>
  <c r="E487" i="1"/>
  <c r="F487" i="1"/>
  <c r="B488" i="1"/>
  <c r="C488" i="1"/>
  <c r="D488" i="1"/>
  <c r="E488" i="1"/>
  <c r="F488" i="1"/>
  <c r="B489" i="1"/>
  <c r="C489" i="1"/>
  <c r="D489" i="1"/>
  <c r="E489" i="1"/>
  <c r="F489" i="1"/>
  <c r="B494" i="1"/>
  <c r="C494" i="1"/>
  <c r="D494" i="1"/>
  <c r="E494" i="1"/>
  <c r="F494" i="1"/>
  <c r="B495" i="1"/>
  <c r="C495" i="1"/>
  <c r="D495" i="1"/>
  <c r="E495" i="1"/>
  <c r="F495" i="1"/>
  <c r="B496" i="1"/>
  <c r="C496" i="1"/>
  <c r="D496" i="1"/>
  <c r="E496" i="1"/>
  <c r="F496" i="1"/>
  <c r="B497" i="1"/>
  <c r="C497" i="1"/>
  <c r="D497" i="1"/>
  <c r="E497" i="1"/>
  <c r="F497" i="1"/>
  <c r="B498" i="1"/>
  <c r="C498" i="1"/>
  <c r="D498" i="1"/>
  <c r="E498" i="1"/>
  <c r="F498" i="1"/>
  <c r="B499" i="1"/>
  <c r="C499" i="1"/>
  <c r="D499" i="1"/>
  <c r="E499" i="1"/>
  <c r="F499" i="1"/>
  <c r="B500" i="1"/>
  <c r="C500" i="1"/>
  <c r="D500" i="1"/>
  <c r="E500" i="1"/>
  <c r="F500" i="1"/>
  <c r="B501" i="1"/>
  <c r="C501" i="1"/>
  <c r="D501" i="1"/>
  <c r="E501" i="1"/>
  <c r="F501" i="1"/>
  <c r="B502" i="1"/>
  <c r="C502" i="1"/>
  <c r="D502" i="1"/>
  <c r="E502" i="1"/>
  <c r="F502" i="1"/>
  <c r="B503" i="1"/>
  <c r="C503" i="1"/>
  <c r="D503" i="1"/>
  <c r="E503" i="1"/>
  <c r="F503" i="1"/>
  <c r="B504" i="1"/>
  <c r="C504" i="1"/>
  <c r="D504" i="1"/>
  <c r="E504" i="1"/>
  <c r="F504" i="1"/>
  <c r="B505" i="1"/>
  <c r="C505" i="1"/>
  <c r="D505" i="1"/>
  <c r="E505" i="1"/>
  <c r="F505" i="1"/>
  <c r="B506" i="1"/>
  <c r="C506" i="1"/>
  <c r="D506" i="1"/>
  <c r="E506" i="1"/>
  <c r="F506" i="1"/>
  <c r="B507" i="1"/>
  <c r="C507" i="1"/>
  <c r="D507" i="1"/>
  <c r="E507" i="1"/>
  <c r="F507" i="1"/>
  <c r="B508" i="1"/>
  <c r="C508" i="1"/>
  <c r="D508" i="1"/>
  <c r="E508" i="1"/>
  <c r="F508" i="1"/>
  <c r="B509" i="1"/>
  <c r="C509" i="1"/>
  <c r="D509" i="1"/>
  <c r="E509" i="1"/>
  <c r="F509" i="1"/>
  <c r="B510" i="1"/>
  <c r="C510" i="1"/>
  <c r="D510" i="1"/>
  <c r="E510" i="1"/>
  <c r="F510" i="1"/>
  <c r="B511" i="1"/>
  <c r="C511" i="1"/>
  <c r="D511" i="1"/>
  <c r="E511" i="1"/>
  <c r="F511" i="1"/>
  <c r="B512" i="1"/>
  <c r="C512" i="1"/>
  <c r="D512" i="1"/>
  <c r="E512" i="1"/>
  <c r="F512" i="1"/>
  <c r="B513" i="1"/>
  <c r="C513" i="1"/>
  <c r="D513" i="1"/>
  <c r="E513" i="1"/>
  <c r="F513" i="1"/>
  <c r="B514" i="1"/>
  <c r="C514" i="1"/>
  <c r="D514" i="1"/>
  <c r="E514" i="1"/>
  <c r="F514" i="1"/>
  <c r="B515" i="1"/>
  <c r="C515" i="1"/>
  <c r="D515" i="1"/>
  <c r="E515" i="1"/>
  <c r="F515" i="1"/>
  <c r="B516" i="1"/>
  <c r="C516" i="1"/>
  <c r="D516" i="1"/>
  <c r="E516" i="1"/>
  <c r="F516" i="1"/>
  <c r="B517" i="1"/>
  <c r="C517" i="1"/>
  <c r="D517" i="1"/>
  <c r="E517" i="1"/>
  <c r="F517" i="1"/>
  <c r="B518" i="1"/>
  <c r="C518" i="1"/>
  <c r="D518" i="1"/>
  <c r="E518" i="1"/>
  <c r="F518" i="1"/>
  <c r="B523" i="1"/>
  <c r="C523" i="1"/>
  <c r="D523" i="1"/>
  <c r="E523" i="1"/>
  <c r="F523" i="1"/>
  <c r="B524" i="1"/>
  <c r="C524" i="1"/>
  <c r="D524" i="1"/>
  <c r="E524" i="1"/>
  <c r="F524" i="1"/>
  <c r="B525" i="1"/>
  <c r="C525" i="1"/>
  <c r="D525" i="1"/>
  <c r="E525" i="1"/>
  <c r="F525" i="1"/>
  <c r="B526" i="1"/>
  <c r="C526" i="1"/>
  <c r="D526" i="1"/>
  <c r="E526" i="1"/>
  <c r="F526" i="1"/>
  <c r="B527" i="1"/>
  <c r="C527" i="1"/>
  <c r="D527" i="1"/>
  <c r="E527" i="1"/>
  <c r="F527" i="1"/>
  <c r="B528" i="1"/>
  <c r="C528" i="1"/>
  <c r="D528" i="1"/>
  <c r="E528" i="1"/>
  <c r="F528" i="1"/>
  <c r="B529" i="1"/>
  <c r="C529" i="1"/>
  <c r="D529" i="1"/>
  <c r="E529" i="1"/>
  <c r="F529" i="1"/>
  <c r="B530" i="1"/>
  <c r="C530" i="1"/>
  <c r="D530" i="1"/>
  <c r="E530" i="1"/>
  <c r="F530" i="1"/>
  <c r="B531" i="1"/>
  <c r="C531" i="1"/>
  <c r="D531" i="1"/>
  <c r="E531" i="1"/>
  <c r="F531" i="1"/>
  <c r="B532" i="1"/>
  <c r="C532" i="1"/>
  <c r="D532" i="1"/>
  <c r="E532" i="1"/>
  <c r="F532" i="1"/>
  <c r="B533" i="1"/>
  <c r="C533" i="1"/>
  <c r="D533" i="1"/>
  <c r="E533" i="1"/>
  <c r="F533" i="1"/>
  <c r="B534" i="1"/>
  <c r="C534" i="1"/>
  <c r="D534" i="1"/>
  <c r="E534" i="1"/>
  <c r="F534" i="1"/>
  <c r="B535" i="1"/>
  <c r="C535" i="1"/>
  <c r="D535" i="1"/>
  <c r="E535" i="1"/>
  <c r="F535" i="1"/>
  <c r="B536" i="1"/>
  <c r="C536" i="1"/>
  <c r="D536" i="1"/>
  <c r="E536" i="1"/>
  <c r="F536" i="1"/>
  <c r="B537" i="1"/>
  <c r="C537" i="1"/>
  <c r="D537" i="1"/>
  <c r="E537" i="1"/>
  <c r="F537" i="1"/>
  <c r="B538" i="1"/>
  <c r="C538" i="1"/>
  <c r="D538" i="1"/>
  <c r="E538" i="1"/>
  <c r="F538" i="1"/>
  <c r="B539" i="1"/>
  <c r="C539" i="1"/>
  <c r="D539" i="1"/>
  <c r="E539" i="1"/>
  <c r="F539" i="1"/>
  <c r="B540" i="1"/>
  <c r="C540" i="1"/>
  <c r="D540" i="1"/>
  <c r="E540" i="1"/>
  <c r="F540" i="1"/>
  <c r="B541" i="1"/>
  <c r="C541" i="1"/>
  <c r="D541" i="1"/>
  <c r="E541" i="1"/>
  <c r="F541" i="1"/>
  <c r="B542" i="1"/>
  <c r="C542" i="1"/>
  <c r="D542" i="1"/>
  <c r="E542" i="1"/>
  <c r="F542" i="1"/>
  <c r="B543" i="1"/>
  <c r="C543" i="1"/>
  <c r="D543" i="1"/>
  <c r="E543" i="1"/>
  <c r="F543" i="1"/>
  <c r="B544" i="1"/>
  <c r="C544" i="1"/>
  <c r="D544" i="1"/>
  <c r="E544" i="1"/>
  <c r="F544" i="1"/>
  <c r="B545" i="1"/>
  <c r="C545" i="1"/>
  <c r="D545" i="1"/>
  <c r="E545" i="1"/>
  <c r="F545" i="1"/>
  <c r="B546" i="1"/>
  <c r="C546" i="1"/>
  <c r="D546" i="1"/>
  <c r="E546" i="1"/>
  <c r="F546" i="1"/>
  <c r="B547" i="1"/>
  <c r="C547" i="1"/>
  <c r="D547" i="1"/>
  <c r="E547" i="1"/>
  <c r="F547" i="1"/>
  <c r="B552" i="1"/>
  <c r="C552" i="1"/>
  <c r="D552" i="1"/>
  <c r="E552" i="1"/>
  <c r="F552" i="1"/>
  <c r="B553" i="1"/>
  <c r="C553" i="1"/>
  <c r="D553" i="1"/>
  <c r="E553" i="1"/>
  <c r="F553" i="1"/>
  <c r="B554" i="1"/>
  <c r="C554" i="1"/>
  <c r="D554" i="1"/>
  <c r="E554" i="1"/>
  <c r="F554" i="1"/>
  <c r="B555" i="1"/>
  <c r="C555" i="1"/>
  <c r="D555" i="1"/>
  <c r="E555" i="1"/>
  <c r="F555" i="1"/>
  <c r="B556" i="1"/>
  <c r="C556" i="1"/>
  <c r="D556" i="1"/>
  <c r="E556" i="1"/>
  <c r="F556" i="1"/>
  <c r="B557" i="1"/>
  <c r="C557" i="1"/>
  <c r="D557" i="1"/>
  <c r="E557" i="1"/>
  <c r="F557" i="1"/>
  <c r="B558" i="1"/>
  <c r="C558" i="1"/>
  <c r="D558" i="1"/>
  <c r="E558" i="1"/>
  <c r="F558" i="1"/>
  <c r="B559" i="1"/>
  <c r="C559" i="1"/>
  <c r="D559" i="1"/>
  <c r="E559" i="1"/>
  <c r="F559" i="1"/>
  <c r="B560" i="1"/>
  <c r="C560" i="1"/>
  <c r="D560" i="1"/>
  <c r="E560" i="1"/>
  <c r="F560" i="1"/>
  <c r="B561" i="1"/>
  <c r="C561" i="1"/>
  <c r="D561" i="1"/>
  <c r="E561" i="1"/>
  <c r="F561" i="1"/>
  <c r="B562" i="1"/>
  <c r="C562" i="1"/>
  <c r="D562" i="1"/>
  <c r="E562" i="1"/>
  <c r="F562" i="1"/>
  <c r="B563" i="1"/>
  <c r="C563" i="1"/>
  <c r="D563" i="1"/>
  <c r="E563" i="1"/>
  <c r="F563" i="1"/>
  <c r="B564" i="1"/>
  <c r="C564" i="1"/>
  <c r="D564" i="1"/>
  <c r="E564" i="1"/>
  <c r="F564" i="1"/>
  <c r="B565" i="1"/>
  <c r="C565" i="1"/>
  <c r="D565" i="1"/>
  <c r="E565" i="1"/>
  <c r="F565" i="1"/>
  <c r="B566" i="1"/>
  <c r="C566" i="1"/>
  <c r="D566" i="1"/>
  <c r="E566" i="1"/>
  <c r="F566" i="1"/>
  <c r="B567" i="1"/>
  <c r="C567" i="1"/>
  <c r="D567" i="1"/>
  <c r="E567" i="1"/>
  <c r="F567" i="1"/>
  <c r="B568" i="1"/>
  <c r="C568" i="1"/>
  <c r="D568" i="1"/>
  <c r="E568" i="1"/>
  <c r="F568" i="1"/>
  <c r="B569" i="1"/>
  <c r="C569" i="1"/>
  <c r="D569" i="1"/>
  <c r="E569" i="1"/>
  <c r="F569" i="1"/>
  <c r="B570" i="1"/>
  <c r="C570" i="1"/>
  <c r="D570" i="1"/>
  <c r="E570" i="1"/>
  <c r="F570" i="1"/>
  <c r="B571" i="1"/>
  <c r="C571" i="1"/>
  <c r="D571" i="1"/>
  <c r="E571" i="1"/>
  <c r="F571" i="1"/>
  <c r="B572" i="1"/>
  <c r="C572" i="1"/>
  <c r="D572" i="1"/>
  <c r="E572" i="1"/>
  <c r="F572" i="1"/>
  <c r="B573" i="1"/>
  <c r="C573" i="1"/>
  <c r="D573" i="1"/>
  <c r="E573" i="1"/>
  <c r="F573" i="1"/>
  <c r="B574" i="1"/>
  <c r="C574" i="1"/>
  <c r="D574" i="1"/>
  <c r="E574" i="1"/>
  <c r="F574" i="1"/>
  <c r="B575" i="1"/>
  <c r="C575" i="1"/>
  <c r="D575" i="1"/>
  <c r="E575" i="1"/>
  <c r="F575" i="1"/>
  <c r="B576" i="1"/>
  <c r="C576" i="1"/>
  <c r="D576" i="1"/>
  <c r="E576" i="1"/>
  <c r="F576" i="1"/>
  <c r="B581" i="1"/>
  <c r="C581" i="1"/>
  <c r="D581" i="1"/>
  <c r="E581" i="1"/>
  <c r="F581" i="1"/>
  <c r="B582" i="1"/>
  <c r="C582" i="1"/>
  <c r="D582" i="1"/>
  <c r="E582" i="1"/>
  <c r="F582" i="1"/>
  <c r="B583" i="1"/>
  <c r="C583" i="1"/>
  <c r="D583" i="1"/>
  <c r="E583" i="1"/>
  <c r="F583" i="1"/>
  <c r="B584" i="1"/>
  <c r="C584" i="1"/>
  <c r="D584" i="1"/>
  <c r="E584" i="1"/>
  <c r="F584" i="1"/>
  <c r="B585" i="1"/>
  <c r="C585" i="1"/>
  <c r="D585" i="1"/>
  <c r="E585" i="1"/>
  <c r="F585" i="1"/>
  <c r="B586" i="1"/>
  <c r="C586" i="1"/>
  <c r="D586" i="1"/>
  <c r="E586" i="1"/>
  <c r="F586" i="1"/>
  <c r="B587" i="1"/>
  <c r="C587" i="1"/>
  <c r="D587" i="1"/>
  <c r="E587" i="1"/>
  <c r="F587" i="1"/>
  <c r="B588" i="1"/>
  <c r="C588" i="1"/>
  <c r="D588" i="1"/>
  <c r="E588" i="1"/>
  <c r="F588" i="1"/>
  <c r="B589" i="1"/>
  <c r="C589" i="1"/>
  <c r="D589" i="1"/>
  <c r="E589" i="1"/>
  <c r="F589" i="1"/>
  <c r="B590" i="1"/>
  <c r="C590" i="1"/>
  <c r="D590" i="1"/>
  <c r="E590" i="1"/>
  <c r="F590" i="1"/>
  <c r="B591" i="1"/>
  <c r="C591" i="1"/>
  <c r="D591" i="1"/>
  <c r="E591" i="1"/>
  <c r="F591" i="1"/>
  <c r="B592" i="1"/>
  <c r="C592" i="1"/>
  <c r="D592" i="1"/>
  <c r="E592" i="1"/>
  <c r="F592" i="1"/>
  <c r="B593" i="1"/>
  <c r="C593" i="1"/>
  <c r="D593" i="1"/>
  <c r="E593" i="1"/>
  <c r="F593" i="1"/>
  <c r="B594" i="1"/>
  <c r="C594" i="1"/>
  <c r="D594" i="1"/>
  <c r="E594" i="1"/>
  <c r="F594" i="1"/>
  <c r="B595" i="1"/>
  <c r="C595" i="1"/>
  <c r="D595" i="1"/>
  <c r="E595" i="1"/>
  <c r="F595" i="1"/>
  <c r="B596" i="1"/>
  <c r="C596" i="1"/>
  <c r="D596" i="1"/>
  <c r="E596" i="1"/>
  <c r="F596" i="1"/>
  <c r="B597" i="1"/>
  <c r="C597" i="1"/>
  <c r="D597" i="1"/>
  <c r="E597" i="1"/>
  <c r="F597" i="1"/>
  <c r="B598" i="1"/>
  <c r="C598" i="1"/>
  <c r="D598" i="1"/>
  <c r="E598" i="1"/>
  <c r="F598" i="1"/>
  <c r="B599" i="1"/>
  <c r="C599" i="1"/>
  <c r="D599" i="1"/>
  <c r="E599" i="1"/>
  <c r="F599" i="1"/>
  <c r="B600" i="1"/>
  <c r="C600" i="1"/>
  <c r="D600" i="1"/>
  <c r="E600" i="1"/>
  <c r="F600" i="1"/>
  <c r="B601" i="1"/>
  <c r="C601" i="1"/>
  <c r="D601" i="1"/>
  <c r="E601" i="1"/>
  <c r="F601" i="1"/>
  <c r="B602" i="1"/>
  <c r="C602" i="1"/>
  <c r="D602" i="1"/>
  <c r="E602" i="1"/>
  <c r="F602" i="1"/>
  <c r="B603" i="1"/>
  <c r="C603" i="1"/>
  <c r="D603" i="1"/>
  <c r="E603" i="1"/>
  <c r="F603" i="1"/>
  <c r="B604" i="1"/>
  <c r="C604" i="1"/>
  <c r="D604" i="1"/>
  <c r="E604" i="1"/>
  <c r="F604" i="1"/>
  <c r="B605" i="1"/>
  <c r="C605" i="1"/>
  <c r="D605" i="1"/>
  <c r="E605" i="1"/>
  <c r="F605" i="1"/>
  <c r="B610" i="1"/>
  <c r="C610" i="1"/>
  <c r="D610" i="1"/>
  <c r="E610" i="1"/>
  <c r="F610" i="1"/>
  <c r="B611" i="1"/>
  <c r="C611" i="1"/>
  <c r="D611" i="1"/>
  <c r="E611" i="1"/>
  <c r="F611" i="1"/>
  <c r="B612" i="1"/>
  <c r="C612" i="1"/>
  <c r="D612" i="1"/>
  <c r="E612" i="1"/>
  <c r="F612" i="1"/>
  <c r="B613" i="1"/>
  <c r="C613" i="1"/>
  <c r="D613" i="1"/>
  <c r="E613" i="1"/>
  <c r="F613" i="1"/>
  <c r="B614" i="1"/>
  <c r="C614" i="1"/>
  <c r="D614" i="1"/>
  <c r="E614" i="1"/>
  <c r="F614" i="1"/>
  <c r="B615" i="1"/>
  <c r="C615" i="1"/>
  <c r="D615" i="1"/>
  <c r="E615" i="1"/>
  <c r="F615" i="1"/>
  <c r="B616" i="1"/>
  <c r="C616" i="1"/>
  <c r="D616" i="1"/>
  <c r="E616" i="1"/>
  <c r="F616" i="1"/>
  <c r="B617" i="1"/>
  <c r="C617" i="1"/>
  <c r="D617" i="1"/>
  <c r="E617" i="1"/>
  <c r="F617" i="1"/>
  <c r="B618" i="1"/>
  <c r="C618" i="1"/>
  <c r="D618" i="1"/>
  <c r="E618" i="1"/>
  <c r="F618" i="1"/>
  <c r="B619" i="1"/>
  <c r="C619" i="1"/>
  <c r="D619" i="1"/>
  <c r="E619" i="1"/>
  <c r="F619" i="1"/>
  <c r="B620" i="1"/>
  <c r="C620" i="1"/>
  <c r="D620" i="1"/>
  <c r="E620" i="1"/>
  <c r="F620" i="1"/>
  <c r="B621" i="1"/>
  <c r="C621" i="1"/>
  <c r="D621" i="1"/>
  <c r="E621" i="1"/>
  <c r="F621" i="1"/>
  <c r="B622" i="1"/>
  <c r="C622" i="1"/>
  <c r="D622" i="1"/>
  <c r="E622" i="1"/>
  <c r="F622" i="1"/>
  <c r="B623" i="1"/>
  <c r="C623" i="1"/>
  <c r="D623" i="1"/>
  <c r="E623" i="1"/>
  <c r="F623" i="1"/>
  <c r="B624" i="1"/>
  <c r="C624" i="1"/>
  <c r="D624" i="1"/>
  <c r="E624" i="1"/>
  <c r="F624" i="1"/>
  <c r="B625" i="1"/>
  <c r="C625" i="1"/>
  <c r="D625" i="1"/>
  <c r="E625" i="1"/>
  <c r="F625" i="1"/>
  <c r="B626" i="1"/>
  <c r="C626" i="1"/>
  <c r="D626" i="1"/>
  <c r="E626" i="1"/>
  <c r="F626" i="1"/>
  <c r="B627" i="1"/>
  <c r="C627" i="1"/>
  <c r="D627" i="1"/>
  <c r="E627" i="1"/>
  <c r="F627" i="1"/>
  <c r="B628" i="1"/>
  <c r="C628" i="1"/>
  <c r="D628" i="1"/>
  <c r="E628" i="1"/>
  <c r="F628" i="1"/>
  <c r="B629" i="1"/>
  <c r="C629" i="1"/>
  <c r="D629" i="1"/>
  <c r="E629" i="1"/>
  <c r="F629" i="1"/>
  <c r="B630" i="1"/>
  <c r="C630" i="1"/>
  <c r="D630" i="1"/>
  <c r="E630" i="1"/>
  <c r="F630" i="1"/>
  <c r="B631" i="1"/>
  <c r="C631" i="1"/>
  <c r="D631" i="1"/>
  <c r="E631" i="1"/>
  <c r="F631" i="1"/>
  <c r="B632" i="1"/>
  <c r="C632" i="1"/>
  <c r="D632" i="1"/>
  <c r="E632" i="1"/>
  <c r="F632" i="1"/>
  <c r="B633" i="1"/>
  <c r="C633" i="1"/>
  <c r="D633" i="1"/>
  <c r="E633" i="1"/>
  <c r="F633" i="1"/>
  <c r="B634" i="1"/>
  <c r="C634" i="1"/>
  <c r="D634" i="1"/>
  <c r="E634" i="1"/>
  <c r="F634" i="1"/>
  <c r="B639" i="1"/>
  <c r="C639" i="1"/>
  <c r="D639" i="1"/>
  <c r="E639" i="1"/>
  <c r="F639" i="1"/>
  <c r="B640" i="1"/>
  <c r="C640" i="1"/>
  <c r="D640" i="1"/>
  <c r="E640" i="1"/>
  <c r="F640" i="1"/>
  <c r="B641" i="1"/>
  <c r="C641" i="1"/>
  <c r="D641" i="1"/>
  <c r="E641" i="1"/>
  <c r="F641" i="1"/>
  <c r="B642" i="1"/>
  <c r="C642" i="1"/>
  <c r="D642" i="1"/>
  <c r="E642" i="1"/>
  <c r="F642" i="1"/>
  <c r="B643" i="1"/>
  <c r="C643" i="1"/>
  <c r="D643" i="1"/>
  <c r="E643" i="1"/>
  <c r="F643" i="1"/>
  <c r="B644" i="1"/>
  <c r="C644" i="1"/>
  <c r="D644" i="1"/>
  <c r="E644" i="1"/>
  <c r="F644" i="1"/>
  <c r="B645" i="1"/>
  <c r="C645" i="1"/>
  <c r="D645" i="1"/>
  <c r="E645" i="1"/>
  <c r="F645" i="1"/>
  <c r="B646" i="1"/>
  <c r="C646" i="1"/>
  <c r="D646" i="1"/>
  <c r="E646" i="1"/>
  <c r="F646" i="1"/>
  <c r="B647" i="1"/>
  <c r="C647" i="1"/>
  <c r="D647" i="1"/>
  <c r="E647" i="1"/>
  <c r="F647" i="1"/>
  <c r="B648" i="1"/>
  <c r="C648" i="1"/>
  <c r="D648" i="1"/>
  <c r="E648" i="1"/>
  <c r="F648" i="1"/>
  <c r="B649" i="1"/>
  <c r="C649" i="1"/>
  <c r="D649" i="1"/>
  <c r="E649" i="1"/>
  <c r="F649" i="1"/>
  <c r="B650" i="1"/>
  <c r="C650" i="1"/>
  <c r="D650" i="1"/>
  <c r="E650" i="1"/>
  <c r="F650" i="1"/>
  <c r="B651" i="1"/>
  <c r="C651" i="1"/>
  <c r="D651" i="1"/>
  <c r="E651" i="1"/>
  <c r="F651" i="1"/>
  <c r="B652" i="1"/>
  <c r="C652" i="1"/>
  <c r="D652" i="1"/>
  <c r="E652" i="1"/>
  <c r="F652" i="1"/>
  <c r="B653" i="1"/>
  <c r="C653" i="1"/>
  <c r="D653" i="1"/>
  <c r="E653" i="1"/>
  <c r="F653" i="1"/>
  <c r="B654" i="1"/>
  <c r="C654" i="1"/>
  <c r="D654" i="1"/>
  <c r="E654" i="1"/>
  <c r="F654" i="1"/>
  <c r="B655" i="1"/>
  <c r="C655" i="1"/>
  <c r="D655" i="1"/>
  <c r="E655" i="1"/>
  <c r="F655" i="1"/>
  <c r="B656" i="1"/>
  <c r="C656" i="1"/>
  <c r="D656" i="1"/>
  <c r="E656" i="1"/>
  <c r="F656" i="1"/>
  <c r="B657" i="1"/>
  <c r="C657" i="1"/>
  <c r="D657" i="1"/>
  <c r="E657" i="1"/>
  <c r="F657" i="1"/>
  <c r="B658" i="1"/>
  <c r="C658" i="1"/>
  <c r="D658" i="1"/>
  <c r="E658" i="1"/>
  <c r="F658" i="1"/>
  <c r="B659" i="1"/>
  <c r="C659" i="1"/>
  <c r="D659" i="1"/>
  <c r="E659" i="1"/>
  <c r="F659" i="1"/>
  <c r="B660" i="1"/>
  <c r="C660" i="1"/>
  <c r="D660" i="1"/>
  <c r="E660" i="1"/>
  <c r="F660" i="1"/>
  <c r="B661" i="1"/>
  <c r="C661" i="1"/>
  <c r="D661" i="1"/>
  <c r="E661" i="1"/>
  <c r="F661" i="1"/>
  <c r="B662" i="1"/>
  <c r="C662" i="1"/>
  <c r="D662" i="1"/>
  <c r="E662" i="1"/>
  <c r="F662" i="1"/>
  <c r="B663" i="1"/>
  <c r="C663" i="1"/>
  <c r="D663" i="1"/>
  <c r="E663" i="1"/>
  <c r="F663" i="1"/>
  <c r="B668" i="1"/>
  <c r="C668" i="1"/>
  <c r="D668" i="1"/>
  <c r="E668" i="1"/>
  <c r="F668" i="1"/>
  <c r="B669" i="1"/>
  <c r="C669" i="1"/>
  <c r="D669" i="1"/>
  <c r="E669" i="1"/>
  <c r="F669" i="1"/>
  <c r="B670" i="1"/>
  <c r="C670" i="1"/>
  <c r="D670" i="1"/>
  <c r="E670" i="1"/>
  <c r="F670" i="1"/>
  <c r="B671" i="1"/>
  <c r="C671" i="1"/>
  <c r="D671" i="1"/>
  <c r="E671" i="1"/>
  <c r="F671" i="1"/>
  <c r="B672" i="1"/>
  <c r="C672" i="1"/>
  <c r="D672" i="1"/>
  <c r="E672" i="1"/>
  <c r="F672" i="1"/>
  <c r="B673" i="1"/>
  <c r="C673" i="1"/>
  <c r="D673" i="1"/>
  <c r="E673" i="1"/>
  <c r="F673" i="1"/>
  <c r="B674" i="1"/>
  <c r="C674" i="1"/>
  <c r="D674" i="1"/>
  <c r="E674" i="1"/>
  <c r="F674" i="1"/>
  <c r="B675" i="1"/>
  <c r="C675" i="1"/>
  <c r="D675" i="1"/>
  <c r="E675" i="1"/>
  <c r="F675" i="1"/>
  <c r="B676" i="1"/>
  <c r="C676" i="1"/>
  <c r="D676" i="1"/>
  <c r="E676" i="1"/>
  <c r="F676" i="1"/>
  <c r="B677" i="1"/>
  <c r="C677" i="1"/>
  <c r="D677" i="1"/>
  <c r="E677" i="1"/>
  <c r="F677" i="1"/>
  <c r="B678" i="1"/>
  <c r="C678" i="1"/>
  <c r="D678" i="1"/>
  <c r="E678" i="1"/>
  <c r="F678" i="1"/>
  <c r="B679" i="1"/>
  <c r="C679" i="1"/>
  <c r="D679" i="1"/>
  <c r="E679" i="1"/>
  <c r="F679" i="1"/>
  <c r="B680" i="1"/>
  <c r="C680" i="1"/>
  <c r="D680" i="1"/>
  <c r="E680" i="1"/>
  <c r="F680" i="1"/>
  <c r="B681" i="1"/>
  <c r="C681" i="1"/>
  <c r="D681" i="1"/>
  <c r="E681" i="1"/>
  <c r="F681" i="1"/>
  <c r="B682" i="1"/>
  <c r="C682" i="1"/>
  <c r="D682" i="1"/>
  <c r="E682" i="1"/>
  <c r="F682" i="1"/>
  <c r="B683" i="1"/>
  <c r="C683" i="1"/>
  <c r="D683" i="1"/>
  <c r="E683" i="1"/>
  <c r="F683" i="1"/>
  <c r="B684" i="1"/>
  <c r="C684" i="1"/>
  <c r="D684" i="1"/>
  <c r="E684" i="1"/>
  <c r="F684" i="1"/>
  <c r="B685" i="1"/>
  <c r="C685" i="1"/>
  <c r="D685" i="1"/>
  <c r="E685" i="1"/>
  <c r="F685" i="1"/>
  <c r="B686" i="1"/>
  <c r="C686" i="1"/>
  <c r="D686" i="1"/>
  <c r="E686" i="1"/>
  <c r="F686" i="1"/>
  <c r="B687" i="1"/>
  <c r="C687" i="1"/>
  <c r="D687" i="1"/>
  <c r="E687" i="1"/>
  <c r="F687" i="1"/>
  <c r="B688" i="1"/>
  <c r="C688" i="1"/>
  <c r="D688" i="1"/>
  <c r="E688" i="1"/>
  <c r="F688" i="1"/>
  <c r="B689" i="1"/>
  <c r="C689" i="1"/>
  <c r="D689" i="1"/>
  <c r="E689" i="1"/>
  <c r="F689" i="1"/>
  <c r="B690" i="1"/>
  <c r="C690" i="1"/>
  <c r="D690" i="1"/>
  <c r="E690" i="1"/>
  <c r="F690" i="1"/>
  <c r="B691" i="1"/>
  <c r="C691" i="1"/>
  <c r="D691" i="1"/>
  <c r="E691" i="1"/>
  <c r="F691" i="1"/>
  <c r="B692" i="1"/>
  <c r="C692" i="1"/>
  <c r="D692" i="1"/>
  <c r="E692" i="1"/>
  <c r="F692" i="1"/>
  <c r="B697" i="1"/>
  <c r="C697" i="1"/>
  <c r="D697" i="1"/>
  <c r="E697" i="1"/>
  <c r="F697" i="1"/>
  <c r="B698" i="1"/>
  <c r="C698" i="1"/>
  <c r="D698" i="1"/>
  <c r="E698" i="1"/>
  <c r="F698" i="1"/>
  <c r="B699" i="1"/>
  <c r="C699" i="1"/>
  <c r="D699" i="1"/>
  <c r="E699" i="1"/>
  <c r="F699" i="1"/>
  <c r="B700" i="1"/>
  <c r="C700" i="1"/>
  <c r="D700" i="1"/>
  <c r="E700" i="1"/>
  <c r="F700" i="1"/>
  <c r="B701" i="1"/>
  <c r="C701" i="1"/>
  <c r="D701" i="1"/>
  <c r="E701" i="1"/>
  <c r="F701" i="1"/>
  <c r="B702" i="1"/>
  <c r="C702" i="1"/>
  <c r="D702" i="1"/>
  <c r="E702" i="1"/>
  <c r="F702" i="1"/>
  <c r="B703" i="1"/>
  <c r="C703" i="1"/>
  <c r="D703" i="1"/>
  <c r="E703" i="1"/>
  <c r="F703" i="1"/>
  <c r="B704" i="1"/>
  <c r="C704" i="1"/>
  <c r="D704" i="1"/>
  <c r="E704" i="1"/>
  <c r="F704" i="1"/>
  <c r="B705" i="1"/>
  <c r="C705" i="1"/>
  <c r="D705" i="1"/>
  <c r="E705" i="1"/>
  <c r="F705" i="1"/>
  <c r="B706" i="1"/>
  <c r="C706" i="1"/>
  <c r="D706" i="1"/>
  <c r="E706" i="1"/>
  <c r="F706" i="1"/>
  <c r="B707" i="1"/>
  <c r="C707" i="1"/>
  <c r="D707" i="1"/>
  <c r="E707" i="1"/>
  <c r="F707" i="1"/>
  <c r="B708" i="1"/>
  <c r="C708" i="1"/>
  <c r="D708" i="1"/>
  <c r="E708" i="1"/>
  <c r="F708" i="1"/>
  <c r="B709" i="1"/>
  <c r="C709" i="1"/>
  <c r="D709" i="1"/>
  <c r="E709" i="1"/>
  <c r="F709" i="1"/>
  <c r="B710" i="1"/>
  <c r="C710" i="1"/>
  <c r="D710" i="1"/>
  <c r="E710" i="1"/>
  <c r="F710" i="1"/>
  <c r="B711" i="1"/>
  <c r="C711" i="1"/>
  <c r="D711" i="1"/>
  <c r="E711" i="1"/>
  <c r="F711" i="1"/>
  <c r="B712" i="1"/>
  <c r="C712" i="1"/>
  <c r="D712" i="1"/>
  <c r="E712" i="1"/>
  <c r="F712" i="1"/>
  <c r="B713" i="1"/>
  <c r="C713" i="1"/>
  <c r="D713" i="1"/>
  <c r="E713" i="1"/>
  <c r="F713" i="1"/>
  <c r="B714" i="1"/>
  <c r="C714" i="1"/>
  <c r="D714" i="1"/>
  <c r="E714" i="1"/>
  <c r="F714" i="1"/>
  <c r="B715" i="1"/>
  <c r="C715" i="1"/>
  <c r="D715" i="1"/>
  <c r="E715" i="1"/>
  <c r="F715" i="1"/>
  <c r="B716" i="1"/>
  <c r="C716" i="1"/>
  <c r="D716" i="1"/>
  <c r="E716" i="1"/>
  <c r="F716" i="1"/>
  <c r="B717" i="1"/>
  <c r="C717" i="1"/>
  <c r="D717" i="1"/>
  <c r="E717" i="1"/>
  <c r="F717" i="1"/>
  <c r="B718" i="1"/>
  <c r="C718" i="1"/>
  <c r="D718" i="1"/>
  <c r="E718" i="1"/>
  <c r="F718" i="1"/>
  <c r="B719" i="1"/>
  <c r="C719" i="1"/>
  <c r="D719" i="1"/>
  <c r="E719" i="1"/>
  <c r="F719" i="1"/>
  <c r="B720" i="1"/>
  <c r="C720" i="1"/>
  <c r="D720" i="1"/>
  <c r="E720" i="1"/>
  <c r="F720" i="1"/>
  <c r="B721" i="1"/>
  <c r="C721" i="1"/>
  <c r="D721" i="1"/>
  <c r="E721" i="1"/>
  <c r="F721" i="1"/>
  <c r="B726" i="1"/>
  <c r="C726" i="1"/>
  <c r="D726" i="1"/>
  <c r="E726" i="1"/>
  <c r="F726" i="1"/>
  <c r="B727" i="1"/>
  <c r="C727" i="1"/>
  <c r="D727" i="1"/>
  <c r="E727" i="1"/>
  <c r="F727" i="1"/>
  <c r="B728" i="1"/>
  <c r="C728" i="1"/>
  <c r="D728" i="1"/>
  <c r="E728" i="1"/>
  <c r="F728" i="1"/>
  <c r="B729" i="1"/>
  <c r="C729" i="1"/>
  <c r="D729" i="1"/>
  <c r="E729" i="1"/>
  <c r="F729" i="1"/>
  <c r="B730" i="1"/>
  <c r="C730" i="1"/>
  <c r="D730" i="1"/>
  <c r="E730" i="1"/>
  <c r="F730" i="1"/>
  <c r="B731" i="1"/>
  <c r="C731" i="1"/>
  <c r="D731" i="1"/>
  <c r="E731" i="1"/>
  <c r="F731" i="1"/>
  <c r="B732" i="1"/>
  <c r="C732" i="1"/>
  <c r="D732" i="1"/>
  <c r="E732" i="1"/>
  <c r="F732" i="1"/>
  <c r="B733" i="1"/>
  <c r="C733" i="1"/>
  <c r="D733" i="1"/>
  <c r="E733" i="1"/>
  <c r="F733" i="1"/>
  <c r="B734" i="1"/>
  <c r="C734" i="1"/>
  <c r="D734" i="1"/>
  <c r="E734" i="1"/>
  <c r="F734" i="1"/>
  <c r="B735" i="1"/>
  <c r="C735" i="1"/>
  <c r="D735" i="1"/>
  <c r="E735" i="1"/>
  <c r="F735" i="1"/>
  <c r="B736" i="1"/>
  <c r="C736" i="1"/>
  <c r="D736" i="1"/>
  <c r="E736" i="1"/>
  <c r="F736" i="1"/>
  <c r="B737" i="1"/>
  <c r="C737" i="1"/>
  <c r="D737" i="1"/>
  <c r="E737" i="1"/>
  <c r="F737" i="1"/>
  <c r="B738" i="1"/>
  <c r="C738" i="1"/>
  <c r="D738" i="1"/>
  <c r="E738" i="1"/>
  <c r="F738" i="1"/>
  <c r="B739" i="1"/>
  <c r="C739" i="1"/>
  <c r="D739" i="1"/>
  <c r="E739" i="1"/>
  <c r="F739" i="1"/>
  <c r="B740" i="1"/>
  <c r="C740" i="1"/>
  <c r="D740" i="1"/>
  <c r="E740" i="1"/>
  <c r="F740" i="1"/>
  <c r="B741" i="1"/>
  <c r="C741" i="1"/>
  <c r="D741" i="1"/>
  <c r="E741" i="1"/>
  <c r="F741" i="1"/>
  <c r="B742" i="1"/>
  <c r="C742" i="1"/>
  <c r="D742" i="1"/>
  <c r="E742" i="1"/>
  <c r="F742" i="1"/>
  <c r="B743" i="1"/>
  <c r="C743" i="1"/>
  <c r="D743" i="1"/>
  <c r="E743" i="1"/>
  <c r="F743" i="1"/>
  <c r="B744" i="1"/>
  <c r="C744" i="1"/>
  <c r="D744" i="1"/>
  <c r="E744" i="1"/>
  <c r="F744" i="1"/>
  <c r="B745" i="1"/>
  <c r="C745" i="1"/>
  <c r="D745" i="1"/>
  <c r="E745" i="1"/>
  <c r="F745" i="1"/>
  <c r="B746" i="1"/>
  <c r="C746" i="1"/>
  <c r="D746" i="1"/>
  <c r="E746" i="1"/>
  <c r="F746" i="1"/>
  <c r="B747" i="1"/>
  <c r="C747" i="1"/>
  <c r="D747" i="1"/>
  <c r="E747" i="1"/>
  <c r="F747" i="1"/>
  <c r="B748" i="1"/>
  <c r="C748" i="1"/>
  <c r="D748" i="1"/>
  <c r="E748" i="1"/>
  <c r="F748" i="1"/>
  <c r="B749" i="1"/>
  <c r="C749" i="1"/>
  <c r="D749" i="1"/>
  <c r="E749" i="1"/>
  <c r="F749" i="1"/>
  <c r="B750" i="1"/>
  <c r="C750" i="1"/>
  <c r="D750" i="1"/>
  <c r="E750" i="1"/>
  <c r="F750" i="1"/>
  <c r="B755" i="1"/>
  <c r="C755" i="1"/>
  <c r="D755" i="1"/>
  <c r="E755" i="1"/>
  <c r="F755" i="1"/>
  <c r="B756" i="1"/>
  <c r="C756" i="1"/>
  <c r="D756" i="1"/>
  <c r="E756" i="1"/>
  <c r="F756" i="1"/>
  <c r="B757" i="1"/>
  <c r="C757" i="1"/>
  <c r="D757" i="1"/>
  <c r="E757" i="1"/>
  <c r="F757" i="1"/>
  <c r="B758" i="1"/>
  <c r="C758" i="1"/>
  <c r="D758" i="1"/>
  <c r="E758" i="1"/>
  <c r="F758" i="1"/>
  <c r="B759" i="1"/>
  <c r="C759" i="1"/>
  <c r="D759" i="1"/>
  <c r="E759" i="1"/>
  <c r="F759" i="1"/>
  <c r="B760" i="1"/>
  <c r="C760" i="1"/>
  <c r="D760" i="1"/>
  <c r="E760" i="1"/>
  <c r="F760" i="1"/>
  <c r="B761" i="1"/>
  <c r="C761" i="1"/>
  <c r="D761" i="1"/>
  <c r="E761" i="1"/>
  <c r="F761" i="1"/>
  <c r="B762" i="1"/>
  <c r="C762" i="1"/>
  <c r="D762" i="1"/>
  <c r="E762" i="1"/>
  <c r="F762" i="1"/>
  <c r="B763" i="1"/>
  <c r="C763" i="1"/>
  <c r="D763" i="1"/>
  <c r="E763" i="1"/>
  <c r="F763" i="1"/>
  <c r="B764" i="1"/>
  <c r="C764" i="1"/>
  <c r="D764" i="1"/>
  <c r="E764" i="1"/>
  <c r="F764" i="1"/>
  <c r="B765" i="1"/>
  <c r="C765" i="1"/>
  <c r="D765" i="1"/>
  <c r="E765" i="1"/>
  <c r="F765" i="1"/>
  <c r="B766" i="1"/>
  <c r="C766" i="1"/>
  <c r="D766" i="1"/>
  <c r="E766" i="1"/>
  <c r="F766" i="1"/>
  <c r="B767" i="1"/>
  <c r="C767" i="1"/>
  <c r="D767" i="1"/>
  <c r="E767" i="1"/>
  <c r="F767" i="1"/>
  <c r="B768" i="1"/>
  <c r="C768" i="1"/>
  <c r="D768" i="1"/>
  <c r="E768" i="1"/>
  <c r="F768" i="1"/>
  <c r="B769" i="1"/>
  <c r="C769" i="1"/>
  <c r="D769" i="1"/>
  <c r="E769" i="1"/>
  <c r="F769" i="1"/>
  <c r="B770" i="1"/>
  <c r="C770" i="1"/>
  <c r="D770" i="1"/>
  <c r="E770" i="1"/>
  <c r="F770" i="1"/>
  <c r="B771" i="1"/>
  <c r="C771" i="1"/>
  <c r="D771" i="1"/>
  <c r="E771" i="1"/>
  <c r="F771" i="1"/>
  <c r="B772" i="1"/>
  <c r="C772" i="1"/>
  <c r="D772" i="1"/>
  <c r="E772" i="1"/>
  <c r="F772" i="1"/>
  <c r="B773" i="1"/>
  <c r="C773" i="1"/>
  <c r="D773" i="1"/>
  <c r="E773" i="1"/>
  <c r="F773" i="1"/>
  <c r="B774" i="1"/>
  <c r="C774" i="1"/>
  <c r="D774" i="1"/>
  <c r="E774" i="1"/>
  <c r="F774" i="1"/>
  <c r="B775" i="1"/>
  <c r="C775" i="1"/>
  <c r="D775" i="1"/>
  <c r="E775" i="1"/>
  <c r="F775" i="1"/>
  <c r="B776" i="1"/>
  <c r="C776" i="1"/>
  <c r="D776" i="1"/>
  <c r="E776" i="1"/>
  <c r="F776" i="1"/>
  <c r="B777" i="1"/>
  <c r="C777" i="1"/>
  <c r="D777" i="1"/>
  <c r="E777" i="1"/>
  <c r="F777" i="1"/>
  <c r="B778" i="1"/>
  <c r="C778" i="1"/>
  <c r="D778" i="1"/>
  <c r="E778" i="1"/>
  <c r="F778" i="1"/>
  <c r="B779" i="1"/>
  <c r="C779" i="1"/>
  <c r="D779" i="1"/>
  <c r="E779" i="1"/>
  <c r="F779" i="1"/>
  <c r="B754" i="1"/>
  <c r="C754" i="1"/>
  <c r="D754" i="1"/>
  <c r="E754" i="1"/>
  <c r="F754" i="1"/>
  <c r="B725" i="1"/>
  <c r="C725" i="1"/>
  <c r="D725" i="1"/>
  <c r="E725" i="1"/>
  <c r="F725" i="1"/>
  <c r="B696" i="1"/>
  <c r="C696" i="1"/>
  <c r="D696" i="1"/>
  <c r="E696" i="1"/>
  <c r="F696" i="1"/>
  <c r="B667" i="1"/>
  <c r="C667" i="1"/>
  <c r="D667" i="1"/>
  <c r="E667" i="1"/>
  <c r="F667" i="1"/>
  <c r="B638" i="1"/>
  <c r="C638" i="1"/>
  <c r="D638" i="1"/>
  <c r="E638" i="1"/>
  <c r="F638" i="1"/>
  <c r="B609" i="1"/>
  <c r="C609" i="1"/>
  <c r="D609" i="1"/>
  <c r="E609" i="1"/>
  <c r="F609" i="1"/>
  <c r="B580" i="1"/>
  <c r="C580" i="1"/>
  <c r="D580" i="1"/>
  <c r="E580" i="1"/>
  <c r="F580" i="1"/>
  <c r="B551" i="1"/>
  <c r="C551" i="1"/>
  <c r="D551" i="1"/>
  <c r="E551" i="1"/>
  <c r="F551" i="1"/>
  <c r="B522" i="1"/>
  <c r="C522" i="1"/>
  <c r="D522" i="1"/>
  <c r="E522" i="1"/>
  <c r="F522" i="1"/>
  <c r="B493" i="1"/>
  <c r="C493" i="1"/>
  <c r="D493" i="1"/>
  <c r="E493" i="1"/>
  <c r="F493" i="1"/>
  <c r="B464" i="1"/>
  <c r="C464" i="1"/>
  <c r="D464" i="1"/>
  <c r="E464" i="1"/>
  <c r="F464" i="1"/>
  <c r="B435" i="1"/>
  <c r="C435" i="1"/>
  <c r="D435" i="1"/>
  <c r="E435" i="1"/>
  <c r="F435" i="1"/>
  <c r="B407" i="1"/>
  <c r="C407" i="1"/>
  <c r="D407" i="1"/>
  <c r="E407" i="1"/>
  <c r="F407" i="1"/>
  <c r="B408" i="1"/>
  <c r="C408" i="1"/>
  <c r="D408" i="1"/>
  <c r="E408" i="1"/>
  <c r="F408" i="1"/>
  <c r="B409" i="1"/>
  <c r="C409" i="1"/>
  <c r="D409" i="1"/>
  <c r="E409" i="1"/>
  <c r="F409" i="1"/>
  <c r="B410" i="1"/>
  <c r="C410" i="1"/>
  <c r="D410" i="1"/>
  <c r="E410" i="1"/>
  <c r="F410" i="1"/>
  <c r="B411" i="1"/>
  <c r="C411" i="1"/>
  <c r="D411" i="1"/>
  <c r="E411" i="1"/>
  <c r="F411" i="1"/>
  <c r="B412" i="1"/>
  <c r="C412" i="1"/>
  <c r="D412" i="1"/>
  <c r="E412" i="1"/>
  <c r="F412" i="1"/>
  <c r="B413" i="1"/>
  <c r="C413" i="1"/>
  <c r="D413" i="1"/>
  <c r="E413" i="1"/>
  <c r="F413" i="1"/>
  <c r="B414" i="1"/>
  <c r="C414" i="1"/>
  <c r="D414" i="1"/>
  <c r="E414" i="1"/>
  <c r="F414" i="1"/>
  <c r="B415" i="1"/>
  <c r="C415" i="1"/>
  <c r="D415" i="1"/>
  <c r="E415" i="1"/>
  <c r="F415" i="1"/>
  <c r="B416" i="1"/>
  <c r="C416" i="1"/>
  <c r="D416" i="1"/>
  <c r="E416" i="1"/>
  <c r="F416" i="1"/>
  <c r="B417" i="1"/>
  <c r="C417" i="1"/>
  <c r="D417" i="1"/>
  <c r="E417" i="1"/>
  <c r="F417" i="1"/>
  <c r="B418" i="1"/>
  <c r="C418" i="1"/>
  <c r="D418" i="1"/>
  <c r="E418" i="1"/>
  <c r="F418" i="1"/>
  <c r="B419" i="1"/>
  <c r="C419" i="1"/>
  <c r="D419" i="1"/>
  <c r="E419" i="1"/>
  <c r="F419" i="1"/>
  <c r="B420" i="1"/>
  <c r="C420" i="1"/>
  <c r="D420" i="1"/>
  <c r="E420" i="1"/>
  <c r="F420" i="1"/>
  <c r="B421" i="1"/>
  <c r="C421" i="1"/>
  <c r="D421" i="1"/>
  <c r="E421" i="1"/>
  <c r="F421" i="1"/>
  <c r="B422" i="1"/>
  <c r="C422" i="1"/>
  <c r="D422" i="1"/>
  <c r="E422" i="1"/>
  <c r="F422" i="1"/>
  <c r="B423" i="1"/>
  <c r="C423" i="1"/>
  <c r="D423" i="1"/>
  <c r="E423" i="1"/>
  <c r="F423" i="1"/>
  <c r="B424" i="1"/>
  <c r="C424" i="1"/>
  <c r="D424" i="1"/>
  <c r="E424" i="1"/>
  <c r="F424" i="1"/>
  <c r="B425" i="1"/>
  <c r="C425" i="1"/>
  <c r="D425" i="1"/>
  <c r="E425" i="1"/>
  <c r="F425" i="1"/>
  <c r="B426" i="1"/>
  <c r="C426" i="1"/>
  <c r="D426" i="1"/>
  <c r="E426" i="1"/>
  <c r="F426" i="1"/>
  <c r="B427" i="1"/>
  <c r="C427" i="1"/>
  <c r="D427" i="1"/>
  <c r="E427" i="1"/>
  <c r="F427" i="1"/>
  <c r="B428" i="1"/>
  <c r="C428" i="1"/>
  <c r="D428" i="1"/>
  <c r="E428" i="1"/>
  <c r="F428" i="1"/>
  <c r="B429" i="1"/>
  <c r="C429" i="1"/>
  <c r="D429" i="1"/>
  <c r="E429" i="1"/>
  <c r="F429" i="1"/>
  <c r="B430" i="1"/>
  <c r="C430" i="1"/>
  <c r="D430" i="1"/>
  <c r="E430" i="1"/>
  <c r="F430" i="1"/>
  <c r="B431" i="1"/>
  <c r="C431" i="1"/>
  <c r="D431" i="1"/>
  <c r="E431" i="1"/>
  <c r="F431" i="1"/>
  <c r="B406" i="1"/>
  <c r="C406" i="1"/>
  <c r="D406" i="1"/>
  <c r="E406" i="1"/>
  <c r="F406" i="1"/>
  <c r="B378" i="1"/>
  <c r="C378" i="1"/>
  <c r="D378" i="1"/>
  <c r="E378" i="1"/>
  <c r="F378" i="1"/>
  <c r="B379" i="1"/>
  <c r="C379" i="1"/>
  <c r="D379" i="1"/>
  <c r="E379" i="1"/>
  <c r="F379" i="1"/>
  <c r="B380" i="1"/>
  <c r="C380" i="1"/>
  <c r="D380" i="1"/>
  <c r="E380" i="1"/>
  <c r="F380" i="1"/>
  <c r="B381" i="1"/>
  <c r="C381" i="1"/>
  <c r="D381" i="1"/>
  <c r="E381" i="1"/>
  <c r="F381" i="1"/>
  <c r="B382" i="1"/>
  <c r="C382" i="1"/>
  <c r="D382" i="1"/>
  <c r="E382" i="1"/>
  <c r="F382" i="1"/>
  <c r="B383" i="1"/>
  <c r="C383" i="1"/>
  <c r="D383" i="1"/>
  <c r="E383" i="1"/>
  <c r="F383" i="1"/>
  <c r="B384" i="1"/>
  <c r="C384" i="1"/>
  <c r="D384" i="1"/>
  <c r="E384" i="1"/>
  <c r="F384" i="1"/>
  <c r="B385" i="1"/>
  <c r="C385" i="1"/>
  <c r="D385" i="1"/>
  <c r="E385" i="1"/>
  <c r="F385" i="1"/>
  <c r="B386" i="1"/>
  <c r="C386" i="1"/>
  <c r="D386" i="1"/>
  <c r="E386" i="1"/>
  <c r="F386" i="1"/>
  <c r="B387" i="1"/>
  <c r="C387" i="1"/>
  <c r="D387" i="1"/>
  <c r="E387" i="1"/>
  <c r="F387" i="1"/>
  <c r="B388" i="1"/>
  <c r="C388" i="1"/>
  <c r="D388" i="1"/>
  <c r="E388" i="1"/>
  <c r="F388" i="1"/>
  <c r="B389" i="1"/>
  <c r="C389" i="1"/>
  <c r="D389" i="1"/>
  <c r="E389" i="1"/>
  <c r="F389" i="1"/>
  <c r="B390" i="1"/>
  <c r="C390" i="1"/>
  <c r="D390" i="1"/>
  <c r="E390" i="1"/>
  <c r="F390" i="1"/>
  <c r="B391" i="1"/>
  <c r="C391" i="1"/>
  <c r="D391" i="1"/>
  <c r="E391" i="1"/>
  <c r="F391" i="1"/>
  <c r="B392" i="1"/>
  <c r="C392" i="1"/>
  <c r="D392" i="1"/>
  <c r="E392" i="1"/>
  <c r="F392" i="1"/>
  <c r="B393" i="1"/>
  <c r="C393" i="1"/>
  <c r="D393" i="1"/>
  <c r="E393" i="1"/>
  <c r="F393" i="1"/>
  <c r="B394" i="1"/>
  <c r="C394" i="1"/>
  <c r="D394" i="1"/>
  <c r="E394" i="1"/>
  <c r="F394" i="1"/>
  <c r="B395" i="1"/>
  <c r="C395" i="1"/>
  <c r="D395" i="1"/>
  <c r="E395" i="1"/>
  <c r="F395" i="1"/>
  <c r="B396" i="1"/>
  <c r="C396" i="1"/>
  <c r="D396" i="1"/>
  <c r="E396" i="1"/>
  <c r="F396" i="1"/>
  <c r="B397" i="1"/>
  <c r="C397" i="1"/>
  <c r="D397" i="1"/>
  <c r="E397" i="1"/>
  <c r="F397" i="1"/>
  <c r="B398" i="1"/>
  <c r="C398" i="1"/>
  <c r="D398" i="1"/>
  <c r="E398" i="1"/>
  <c r="F398" i="1"/>
  <c r="B399" i="1"/>
  <c r="C399" i="1"/>
  <c r="D399" i="1"/>
  <c r="E399" i="1"/>
  <c r="F399" i="1"/>
  <c r="B400" i="1"/>
  <c r="C400" i="1"/>
  <c r="D400" i="1"/>
  <c r="E400" i="1"/>
  <c r="F400" i="1"/>
  <c r="B401" i="1"/>
  <c r="C401" i="1"/>
  <c r="D401" i="1"/>
  <c r="E401" i="1"/>
  <c r="F401" i="1"/>
  <c r="B402" i="1"/>
  <c r="C402" i="1"/>
  <c r="D402" i="1"/>
  <c r="E402" i="1"/>
  <c r="F402" i="1"/>
  <c r="B377" i="1"/>
  <c r="C377" i="1"/>
  <c r="D377" i="1"/>
  <c r="E377" i="1"/>
  <c r="F377" i="1"/>
  <c r="B349" i="1"/>
  <c r="C349" i="1"/>
  <c r="D349" i="1"/>
  <c r="E349" i="1"/>
  <c r="F349" i="1"/>
  <c r="B350" i="1"/>
  <c r="C350" i="1"/>
  <c r="D350" i="1"/>
  <c r="E350" i="1"/>
  <c r="F350" i="1"/>
  <c r="B351" i="1"/>
  <c r="C351" i="1"/>
  <c r="D351" i="1"/>
  <c r="E351" i="1"/>
  <c r="F351" i="1"/>
  <c r="B352" i="1"/>
  <c r="C352" i="1"/>
  <c r="D352" i="1"/>
  <c r="E352" i="1"/>
  <c r="F352" i="1"/>
  <c r="B353" i="1"/>
  <c r="C353" i="1"/>
  <c r="D353" i="1"/>
  <c r="E353" i="1"/>
  <c r="F353" i="1"/>
  <c r="B354" i="1"/>
  <c r="C354" i="1"/>
  <c r="D354" i="1"/>
  <c r="E354" i="1"/>
  <c r="F354" i="1"/>
  <c r="B355" i="1"/>
  <c r="C355" i="1"/>
  <c r="D355" i="1"/>
  <c r="E355" i="1"/>
  <c r="F355" i="1"/>
  <c r="B356" i="1"/>
  <c r="C356" i="1"/>
  <c r="D356" i="1"/>
  <c r="E356" i="1"/>
  <c r="F356" i="1"/>
  <c r="B357" i="1"/>
  <c r="C357" i="1"/>
  <c r="D357" i="1"/>
  <c r="E357" i="1"/>
  <c r="F357" i="1"/>
  <c r="B358" i="1"/>
  <c r="C358" i="1"/>
  <c r="D358" i="1"/>
  <c r="E358" i="1"/>
  <c r="F358" i="1"/>
  <c r="B359" i="1"/>
  <c r="C359" i="1"/>
  <c r="D359" i="1"/>
  <c r="E359" i="1"/>
  <c r="F359" i="1"/>
  <c r="B360" i="1"/>
  <c r="C360" i="1"/>
  <c r="D360" i="1"/>
  <c r="E360" i="1"/>
  <c r="F360" i="1"/>
  <c r="B361" i="1"/>
  <c r="C361" i="1"/>
  <c r="D361" i="1"/>
  <c r="E361" i="1"/>
  <c r="F361" i="1"/>
  <c r="B362" i="1"/>
  <c r="C362" i="1"/>
  <c r="D362" i="1"/>
  <c r="E362" i="1"/>
  <c r="F362" i="1"/>
  <c r="B363" i="1"/>
  <c r="C363" i="1"/>
  <c r="D363" i="1"/>
  <c r="E363" i="1"/>
  <c r="F363" i="1"/>
  <c r="B364" i="1"/>
  <c r="C364" i="1"/>
  <c r="D364" i="1"/>
  <c r="E364" i="1"/>
  <c r="F364" i="1"/>
  <c r="B365" i="1"/>
  <c r="C365" i="1"/>
  <c r="D365" i="1"/>
  <c r="E365" i="1"/>
  <c r="F365" i="1"/>
  <c r="B366" i="1"/>
  <c r="C366" i="1"/>
  <c r="D366" i="1"/>
  <c r="E366" i="1"/>
  <c r="F366" i="1"/>
  <c r="B367" i="1"/>
  <c r="C367" i="1"/>
  <c r="D367" i="1"/>
  <c r="E367" i="1"/>
  <c r="F367" i="1"/>
  <c r="B368" i="1"/>
  <c r="C368" i="1"/>
  <c r="D368" i="1"/>
  <c r="E368" i="1"/>
  <c r="F368" i="1"/>
  <c r="B369" i="1"/>
  <c r="C369" i="1"/>
  <c r="D369" i="1"/>
  <c r="E369" i="1"/>
  <c r="F369" i="1"/>
  <c r="B370" i="1"/>
  <c r="C370" i="1"/>
  <c r="D370" i="1"/>
  <c r="E370" i="1"/>
  <c r="F370" i="1"/>
  <c r="B371" i="1"/>
  <c r="C371" i="1"/>
  <c r="D371" i="1"/>
  <c r="E371" i="1"/>
  <c r="F371" i="1"/>
  <c r="B372" i="1"/>
  <c r="C372" i="1"/>
  <c r="D372" i="1"/>
  <c r="E372" i="1"/>
  <c r="F372" i="1"/>
  <c r="B373" i="1"/>
  <c r="C373" i="1"/>
  <c r="D373" i="1"/>
  <c r="E373" i="1"/>
  <c r="F373" i="1"/>
  <c r="B348" i="1"/>
  <c r="C348" i="1"/>
  <c r="D348" i="1"/>
  <c r="E348" i="1"/>
  <c r="F348" i="1"/>
  <c r="B320" i="1"/>
  <c r="C320" i="1"/>
  <c r="D320" i="1"/>
  <c r="E320" i="1"/>
  <c r="F320" i="1"/>
  <c r="B321" i="1"/>
  <c r="C321" i="1"/>
  <c r="D321" i="1"/>
  <c r="E321" i="1"/>
  <c r="F321" i="1"/>
  <c r="B322" i="1"/>
  <c r="C322" i="1"/>
  <c r="D322" i="1"/>
  <c r="E322" i="1"/>
  <c r="F322" i="1"/>
  <c r="B323" i="1"/>
  <c r="C323" i="1"/>
  <c r="D323" i="1"/>
  <c r="E323" i="1"/>
  <c r="F323" i="1"/>
  <c r="B324" i="1"/>
  <c r="C324" i="1"/>
  <c r="D324" i="1"/>
  <c r="E324" i="1"/>
  <c r="F324" i="1"/>
  <c r="B325" i="1"/>
  <c r="C325" i="1"/>
  <c r="D325" i="1"/>
  <c r="E325" i="1"/>
  <c r="F325" i="1"/>
  <c r="B326" i="1"/>
  <c r="C326" i="1"/>
  <c r="D326" i="1"/>
  <c r="E326" i="1"/>
  <c r="F326" i="1"/>
  <c r="B327" i="1"/>
  <c r="C327" i="1"/>
  <c r="D327" i="1"/>
  <c r="E327" i="1"/>
  <c r="F327" i="1"/>
  <c r="B328" i="1"/>
  <c r="C328" i="1"/>
  <c r="D328" i="1"/>
  <c r="E328" i="1"/>
  <c r="F328" i="1"/>
  <c r="B329" i="1"/>
  <c r="C329" i="1"/>
  <c r="D329" i="1"/>
  <c r="E329" i="1"/>
  <c r="F329" i="1"/>
  <c r="B330" i="1"/>
  <c r="C330" i="1"/>
  <c r="D330" i="1"/>
  <c r="E330" i="1"/>
  <c r="F330" i="1"/>
  <c r="B331" i="1"/>
  <c r="C331" i="1"/>
  <c r="D331" i="1"/>
  <c r="E331" i="1"/>
  <c r="F331" i="1"/>
  <c r="B332" i="1"/>
  <c r="C332" i="1"/>
  <c r="D332" i="1"/>
  <c r="E332" i="1"/>
  <c r="F332" i="1"/>
  <c r="B333" i="1"/>
  <c r="C333" i="1"/>
  <c r="D333" i="1"/>
  <c r="E333" i="1"/>
  <c r="F333" i="1"/>
  <c r="B334" i="1"/>
  <c r="C334" i="1"/>
  <c r="D334" i="1"/>
  <c r="E334" i="1"/>
  <c r="F334" i="1"/>
  <c r="B335" i="1"/>
  <c r="C335" i="1"/>
  <c r="D335" i="1"/>
  <c r="E335" i="1"/>
  <c r="F335" i="1"/>
  <c r="B336" i="1"/>
  <c r="C336" i="1"/>
  <c r="D336" i="1"/>
  <c r="E336" i="1"/>
  <c r="F336" i="1"/>
  <c r="B337" i="1"/>
  <c r="C337" i="1"/>
  <c r="D337" i="1"/>
  <c r="E337" i="1"/>
  <c r="F337" i="1"/>
  <c r="B338" i="1"/>
  <c r="C338" i="1"/>
  <c r="D338" i="1"/>
  <c r="E338" i="1"/>
  <c r="F338" i="1"/>
  <c r="B339" i="1"/>
  <c r="C339" i="1"/>
  <c r="D339" i="1"/>
  <c r="E339" i="1"/>
  <c r="F339" i="1"/>
  <c r="B340" i="1"/>
  <c r="C340" i="1"/>
  <c r="D340" i="1"/>
  <c r="E340" i="1"/>
  <c r="F340" i="1"/>
  <c r="B341" i="1"/>
  <c r="C341" i="1"/>
  <c r="D341" i="1"/>
  <c r="E341" i="1"/>
  <c r="F341" i="1"/>
  <c r="B342" i="1"/>
  <c r="C342" i="1"/>
  <c r="D342" i="1"/>
  <c r="E342" i="1"/>
  <c r="F342" i="1"/>
  <c r="B343" i="1"/>
  <c r="C343" i="1"/>
  <c r="D343" i="1"/>
  <c r="E343" i="1"/>
  <c r="F343" i="1"/>
  <c r="B344" i="1"/>
  <c r="C344" i="1"/>
  <c r="D344" i="1"/>
  <c r="E344" i="1"/>
  <c r="F344" i="1"/>
  <c r="B319" i="1"/>
  <c r="C319" i="1"/>
  <c r="D319" i="1"/>
  <c r="E319" i="1"/>
  <c r="F319" i="1"/>
  <c r="B291" i="1"/>
  <c r="C291" i="1"/>
  <c r="D291" i="1"/>
  <c r="E291" i="1"/>
  <c r="F291" i="1"/>
  <c r="B292" i="1"/>
  <c r="C292" i="1"/>
  <c r="D292" i="1"/>
  <c r="E292" i="1"/>
  <c r="F292" i="1"/>
  <c r="B293" i="1"/>
  <c r="C293" i="1"/>
  <c r="D293" i="1"/>
  <c r="E293" i="1"/>
  <c r="F293" i="1"/>
  <c r="B294" i="1"/>
  <c r="C294" i="1"/>
  <c r="D294" i="1"/>
  <c r="E294" i="1"/>
  <c r="F294" i="1"/>
  <c r="B295" i="1"/>
  <c r="C295" i="1"/>
  <c r="D295" i="1"/>
  <c r="E295" i="1"/>
  <c r="F295" i="1"/>
  <c r="B296" i="1"/>
  <c r="C296" i="1"/>
  <c r="D296" i="1"/>
  <c r="E296" i="1"/>
  <c r="F296" i="1"/>
  <c r="B297" i="1"/>
  <c r="C297" i="1"/>
  <c r="D297" i="1"/>
  <c r="E297" i="1"/>
  <c r="F297" i="1"/>
  <c r="B298" i="1"/>
  <c r="C298" i="1"/>
  <c r="D298" i="1"/>
  <c r="E298" i="1"/>
  <c r="F298" i="1"/>
  <c r="B299" i="1"/>
  <c r="C299" i="1"/>
  <c r="D299" i="1"/>
  <c r="E299" i="1"/>
  <c r="F299" i="1"/>
  <c r="B300" i="1"/>
  <c r="C300" i="1"/>
  <c r="D300" i="1"/>
  <c r="E300" i="1"/>
  <c r="F300" i="1"/>
  <c r="B301" i="1"/>
  <c r="C301" i="1"/>
  <c r="D301" i="1"/>
  <c r="E301" i="1"/>
  <c r="F301" i="1"/>
  <c r="B302" i="1"/>
  <c r="C302" i="1"/>
  <c r="D302" i="1"/>
  <c r="E302" i="1"/>
  <c r="F302" i="1"/>
  <c r="B303" i="1"/>
  <c r="C303" i="1"/>
  <c r="D303" i="1"/>
  <c r="E303" i="1"/>
  <c r="F303" i="1"/>
  <c r="B304" i="1"/>
  <c r="C304" i="1"/>
  <c r="D304" i="1"/>
  <c r="E304" i="1"/>
  <c r="F304" i="1"/>
  <c r="B305" i="1"/>
  <c r="C305" i="1"/>
  <c r="D305" i="1"/>
  <c r="E305" i="1"/>
  <c r="F305" i="1"/>
  <c r="B306" i="1"/>
  <c r="C306" i="1"/>
  <c r="D306" i="1"/>
  <c r="E306" i="1"/>
  <c r="F306" i="1"/>
  <c r="B307" i="1"/>
  <c r="C307" i="1"/>
  <c r="D307" i="1"/>
  <c r="E307" i="1"/>
  <c r="F307" i="1"/>
  <c r="B308" i="1"/>
  <c r="C308" i="1"/>
  <c r="D308" i="1"/>
  <c r="E308" i="1"/>
  <c r="F308" i="1"/>
  <c r="B309" i="1"/>
  <c r="C309" i="1"/>
  <c r="D309" i="1"/>
  <c r="E309" i="1"/>
  <c r="F309" i="1"/>
  <c r="B310" i="1"/>
  <c r="C310" i="1"/>
  <c r="D310" i="1"/>
  <c r="E310" i="1"/>
  <c r="F310" i="1"/>
  <c r="B311" i="1"/>
  <c r="C311" i="1"/>
  <c r="D311" i="1"/>
  <c r="E311" i="1"/>
  <c r="F311" i="1"/>
  <c r="B312" i="1"/>
  <c r="C312" i="1"/>
  <c r="D312" i="1"/>
  <c r="E312" i="1"/>
  <c r="F312" i="1"/>
  <c r="B313" i="1"/>
  <c r="C313" i="1"/>
  <c r="D313" i="1"/>
  <c r="E313" i="1"/>
  <c r="F313" i="1"/>
  <c r="B314" i="1"/>
  <c r="C314" i="1"/>
  <c r="D314" i="1"/>
  <c r="E314" i="1"/>
  <c r="F314" i="1"/>
  <c r="B315" i="1"/>
  <c r="C315" i="1"/>
  <c r="D315" i="1"/>
  <c r="E315" i="1"/>
  <c r="F315" i="1"/>
  <c r="B290" i="1"/>
  <c r="C290" i="1"/>
  <c r="D290" i="1"/>
  <c r="E290" i="1"/>
  <c r="F290" i="1"/>
  <c r="B262" i="1"/>
  <c r="C262" i="1"/>
  <c r="D262" i="1"/>
  <c r="E262" i="1"/>
  <c r="F262" i="1"/>
  <c r="B263" i="1"/>
  <c r="C263" i="1"/>
  <c r="D263" i="1"/>
  <c r="E263" i="1"/>
  <c r="F263" i="1"/>
  <c r="B264" i="1"/>
  <c r="C264" i="1"/>
  <c r="D264" i="1"/>
  <c r="E264" i="1"/>
  <c r="F264" i="1"/>
  <c r="B265" i="1"/>
  <c r="C265" i="1"/>
  <c r="D265" i="1"/>
  <c r="E265" i="1"/>
  <c r="F265" i="1"/>
  <c r="B266" i="1"/>
  <c r="C266" i="1"/>
  <c r="D266" i="1"/>
  <c r="E266" i="1"/>
  <c r="F266" i="1"/>
  <c r="B267" i="1"/>
  <c r="C267" i="1"/>
  <c r="D267" i="1"/>
  <c r="E267" i="1"/>
  <c r="F267" i="1"/>
  <c r="B268" i="1"/>
  <c r="C268" i="1"/>
  <c r="D268" i="1"/>
  <c r="E268" i="1"/>
  <c r="F268" i="1"/>
  <c r="B269" i="1"/>
  <c r="C269" i="1"/>
  <c r="D269" i="1"/>
  <c r="E269" i="1"/>
  <c r="F269" i="1"/>
  <c r="B270" i="1"/>
  <c r="C270" i="1"/>
  <c r="D270" i="1"/>
  <c r="E270" i="1"/>
  <c r="F270" i="1"/>
  <c r="B271" i="1"/>
  <c r="C271" i="1"/>
  <c r="D271" i="1"/>
  <c r="E271" i="1"/>
  <c r="F271" i="1"/>
  <c r="B272" i="1"/>
  <c r="C272" i="1"/>
  <c r="D272" i="1"/>
  <c r="E272" i="1"/>
  <c r="F272" i="1"/>
  <c r="B273" i="1"/>
  <c r="C273" i="1"/>
  <c r="D273" i="1"/>
  <c r="E273" i="1"/>
  <c r="F273" i="1"/>
  <c r="B274" i="1"/>
  <c r="C274" i="1"/>
  <c r="D274" i="1"/>
  <c r="E274" i="1"/>
  <c r="F274" i="1"/>
  <c r="B275" i="1"/>
  <c r="C275" i="1"/>
  <c r="D275" i="1"/>
  <c r="E275" i="1"/>
  <c r="F275" i="1"/>
  <c r="B276" i="1"/>
  <c r="C276" i="1"/>
  <c r="D276" i="1"/>
  <c r="E276" i="1"/>
  <c r="F276" i="1"/>
  <c r="B277" i="1"/>
  <c r="C277" i="1"/>
  <c r="D277" i="1"/>
  <c r="E277" i="1"/>
  <c r="F277" i="1"/>
  <c r="B278" i="1"/>
  <c r="C278" i="1"/>
  <c r="D278" i="1"/>
  <c r="E278" i="1"/>
  <c r="F278" i="1"/>
  <c r="B279" i="1"/>
  <c r="C279" i="1"/>
  <c r="D279" i="1"/>
  <c r="E279" i="1"/>
  <c r="F279" i="1"/>
  <c r="B280" i="1"/>
  <c r="C280" i="1"/>
  <c r="D280" i="1"/>
  <c r="E280" i="1"/>
  <c r="F280" i="1"/>
  <c r="B281" i="1"/>
  <c r="C281" i="1"/>
  <c r="D281" i="1"/>
  <c r="E281" i="1"/>
  <c r="F281" i="1"/>
  <c r="B282" i="1"/>
  <c r="C282" i="1"/>
  <c r="D282" i="1"/>
  <c r="E282" i="1"/>
  <c r="F282" i="1"/>
  <c r="B283" i="1"/>
  <c r="C283" i="1"/>
  <c r="D283" i="1"/>
  <c r="E283" i="1"/>
  <c r="F283" i="1"/>
  <c r="B284" i="1"/>
  <c r="C284" i="1"/>
  <c r="D284" i="1"/>
  <c r="E284" i="1"/>
  <c r="F284" i="1"/>
  <c r="B285" i="1"/>
  <c r="C285" i="1"/>
  <c r="D285" i="1"/>
  <c r="E285" i="1"/>
  <c r="F285" i="1"/>
  <c r="B286" i="1"/>
  <c r="C286" i="1"/>
  <c r="D286" i="1"/>
  <c r="E286" i="1"/>
  <c r="F286" i="1"/>
  <c r="B261" i="1"/>
  <c r="C261" i="1"/>
  <c r="D261" i="1"/>
  <c r="E261" i="1"/>
  <c r="F261" i="1"/>
  <c r="B233" i="1"/>
  <c r="C233" i="1"/>
  <c r="D233" i="1"/>
  <c r="E233" i="1"/>
  <c r="F233" i="1"/>
  <c r="B234" i="1"/>
  <c r="C234" i="1"/>
  <c r="D234" i="1"/>
  <c r="E234" i="1"/>
  <c r="F234" i="1"/>
  <c r="B235" i="1"/>
  <c r="C235" i="1"/>
  <c r="D235" i="1"/>
  <c r="E235" i="1"/>
  <c r="F235" i="1"/>
  <c r="B236" i="1"/>
  <c r="C236" i="1"/>
  <c r="D236" i="1"/>
  <c r="E236" i="1"/>
  <c r="F236" i="1"/>
  <c r="B237" i="1"/>
  <c r="C237" i="1"/>
  <c r="D237" i="1"/>
  <c r="E237" i="1"/>
  <c r="F237" i="1"/>
  <c r="B238" i="1"/>
  <c r="C238" i="1"/>
  <c r="D238" i="1"/>
  <c r="E238" i="1"/>
  <c r="F238" i="1"/>
  <c r="B239" i="1"/>
  <c r="C239" i="1"/>
  <c r="D239" i="1"/>
  <c r="E239" i="1"/>
  <c r="F239" i="1"/>
  <c r="B240" i="1"/>
  <c r="C240" i="1"/>
  <c r="D240" i="1"/>
  <c r="E240" i="1"/>
  <c r="F240" i="1"/>
  <c r="B241" i="1"/>
  <c r="C241" i="1"/>
  <c r="D241" i="1"/>
  <c r="E241" i="1"/>
  <c r="F241" i="1"/>
  <c r="B242" i="1"/>
  <c r="C242" i="1"/>
  <c r="D242" i="1"/>
  <c r="E242" i="1"/>
  <c r="F242" i="1"/>
  <c r="B243" i="1"/>
  <c r="C243" i="1"/>
  <c r="D243" i="1"/>
  <c r="E243" i="1"/>
  <c r="F243" i="1"/>
  <c r="B244" i="1"/>
  <c r="C244" i="1"/>
  <c r="D244" i="1"/>
  <c r="E244" i="1"/>
  <c r="F244" i="1"/>
  <c r="B245" i="1"/>
  <c r="C245" i="1"/>
  <c r="D245" i="1"/>
  <c r="E245" i="1"/>
  <c r="F245" i="1"/>
  <c r="B246" i="1"/>
  <c r="C246" i="1"/>
  <c r="D246" i="1"/>
  <c r="E246" i="1"/>
  <c r="F246" i="1"/>
  <c r="B247" i="1"/>
  <c r="C247" i="1"/>
  <c r="D247" i="1"/>
  <c r="E247" i="1"/>
  <c r="F247" i="1"/>
  <c r="B248" i="1"/>
  <c r="C248" i="1"/>
  <c r="D248" i="1"/>
  <c r="E248" i="1"/>
  <c r="F248" i="1"/>
  <c r="B249" i="1"/>
  <c r="C249" i="1"/>
  <c r="D249" i="1"/>
  <c r="E249" i="1"/>
  <c r="F249" i="1"/>
  <c r="B250" i="1"/>
  <c r="C250" i="1"/>
  <c r="D250" i="1"/>
  <c r="E250" i="1"/>
  <c r="F250" i="1"/>
  <c r="B251" i="1"/>
  <c r="C251" i="1"/>
  <c r="D251" i="1"/>
  <c r="E251" i="1"/>
  <c r="F251" i="1"/>
  <c r="B252" i="1"/>
  <c r="C252" i="1"/>
  <c r="D252" i="1"/>
  <c r="E252" i="1"/>
  <c r="F252" i="1"/>
  <c r="B253" i="1"/>
  <c r="C253" i="1"/>
  <c r="D253" i="1"/>
  <c r="E253" i="1"/>
  <c r="F253" i="1"/>
  <c r="B254" i="1"/>
  <c r="C254" i="1"/>
  <c r="D254" i="1"/>
  <c r="E254" i="1"/>
  <c r="F254" i="1"/>
  <c r="B255" i="1"/>
  <c r="C255" i="1"/>
  <c r="D255" i="1"/>
  <c r="E255" i="1"/>
  <c r="F255" i="1"/>
  <c r="B256" i="1"/>
  <c r="C256" i="1"/>
  <c r="D256" i="1"/>
  <c r="E256" i="1"/>
  <c r="F256" i="1"/>
  <c r="B257" i="1"/>
  <c r="C257" i="1"/>
  <c r="D257" i="1"/>
  <c r="E257" i="1"/>
  <c r="F257" i="1"/>
  <c r="B232" i="1"/>
  <c r="C232" i="1"/>
  <c r="D232" i="1"/>
  <c r="E232" i="1"/>
  <c r="F232" i="1"/>
  <c r="B204" i="1"/>
  <c r="C204" i="1"/>
  <c r="D204" i="1"/>
  <c r="E204" i="1"/>
  <c r="F204" i="1"/>
  <c r="B205" i="1"/>
  <c r="C205" i="1"/>
  <c r="D205" i="1"/>
  <c r="E205" i="1"/>
  <c r="F205" i="1"/>
  <c r="B206" i="1"/>
  <c r="C206" i="1"/>
  <c r="D206" i="1"/>
  <c r="E206" i="1"/>
  <c r="F206" i="1"/>
  <c r="B207" i="1"/>
  <c r="C207" i="1"/>
  <c r="D207" i="1"/>
  <c r="E207" i="1"/>
  <c r="F207" i="1"/>
  <c r="B208" i="1"/>
  <c r="C208" i="1"/>
  <c r="D208" i="1"/>
  <c r="E208" i="1"/>
  <c r="F208" i="1"/>
  <c r="B209" i="1"/>
  <c r="C209" i="1"/>
  <c r="D209" i="1"/>
  <c r="E209" i="1"/>
  <c r="F209" i="1"/>
  <c r="B210" i="1"/>
  <c r="C210" i="1"/>
  <c r="D210" i="1"/>
  <c r="E210" i="1"/>
  <c r="F210" i="1"/>
  <c r="B211" i="1"/>
  <c r="C211" i="1"/>
  <c r="D211" i="1"/>
  <c r="E211" i="1"/>
  <c r="F211" i="1"/>
  <c r="B212" i="1"/>
  <c r="C212" i="1"/>
  <c r="D212" i="1"/>
  <c r="E212" i="1"/>
  <c r="F212" i="1"/>
  <c r="B213" i="1"/>
  <c r="C213" i="1"/>
  <c r="D213" i="1"/>
  <c r="E213" i="1"/>
  <c r="F213" i="1"/>
  <c r="B214" i="1"/>
  <c r="C214" i="1"/>
  <c r="D214" i="1"/>
  <c r="E214" i="1"/>
  <c r="F214" i="1"/>
  <c r="B215" i="1"/>
  <c r="C215" i="1"/>
  <c r="D215" i="1"/>
  <c r="E215" i="1"/>
  <c r="F215" i="1"/>
  <c r="B216" i="1"/>
  <c r="C216" i="1"/>
  <c r="D216" i="1"/>
  <c r="E216" i="1"/>
  <c r="F216" i="1"/>
  <c r="B217" i="1"/>
  <c r="C217" i="1"/>
  <c r="D217" i="1"/>
  <c r="E217" i="1"/>
  <c r="F217" i="1"/>
  <c r="B218" i="1"/>
  <c r="C218" i="1"/>
  <c r="D218" i="1"/>
  <c r="E218" i="1"/>
  <c r="F218" i="1"/>
  <c r="B219" i="1"/>
  <c r="C219" i="1"/>
  <c r="D219" i="1"/>
  <c r="E219" i="1"/>
  <c r="F219" i="1"/>
  <c r="B220" i="1"/>
  <c r="C220" i="1"/>
  <c r="D220" i="1"/>
  <c r="E220" i="1"/>
  <c r="F220" i="1"/>
  <c r="B221" i="1"/>
  <c r="C221" i="1"/>
  <c r="D221" i="1"/>
  <c r="E221" i="1"/>
  <c r="F221" i="1"/>
  <c r="B222" i="1"/>
  <c r="C222" i="1"/>
  <c r="D222" i="1"/>
  <c r="E222" i="1"/>
  <c r="F222" i="1"/>
  <c r="B223" i="1"/>
  <c r="C223" i="1"/>
  <c r="D223" i="1"/>
  <c r="E223" i="1"/>
  <c r="F223" i="1"/>
  <c r="B224" i="1"/>
  <c r="C224" i="1"/>
  <c r="D224" i="1"/>
  <c r="E224" i="1"/>
  <c r="F224" i="1"/>
  <c r="B225" i="1"/>
  <c r="C225" i="1"/>
  <c r="D225" i="1"/>
  <c r="E225" i="1"/>
  <c r="F225" i="1"/>
  <c r="B226" i="1"/>
  <c r="C226" i="1"/>
  <c r="D226" i="1"/>
  <c r="E226" i="1"/>
  <c r="F226" i="1"/>
  <c r="B227" i="1"/>
  <c r="C227" i="1"/>
  <c r="D227" i="1"/>
  <c r="E227" i="1"/>
  <c r="F227" i="1"/>
  <c r="B228" i="1"/>
  <c r="C228" i="1"/>
  <c r="D228" i="1"/>
  <c r="E228" i="1"/>
  <c r="F228" i="1"/>
  <c r="B203" i="1"/>
  <c r="C203" i="1"/>
  <c r="D203" i="1"/>
  <c r="E203" i="1"/>
  <c r="F203" i="1"/>
  <c r="B175" i="1"/>
  <c r="C175" i="1"/>
  <c r="D175" i="1"/>
  <c r="E175" i="1"/>
  <c r="F175" i="1"/>
  <c r="B176" i="1"/>
  <c r="C176" i="1"/>
  <c r="D176" i="1"/>
  <c r="E176" i="1"/>
  <c r="F176" i="1"/>
  <c r="B177" i="1"/>
  <c r="C177" i="1"/>
  <c r="D177" i="1"/>
  <c r="E177" i="1"/>
  <c r="F177" i="1"/>
  <c r="B178" i="1"/>
  <c r="C178" i="1"/>
  <c r="D178" i="1"/>
  <c r="E178" i="1"/>
  <c r="F178" i="1"/>
  <c r="B179" i="1"/>
  <c r="C179" i="1"/>
  <c r="D179" i="1"/>
  <c r="E179" i="1"/>
  <c r="F179" i="1"/>
  <c r="B180" i="1"/>
  <c r="C180" i="1"/>
  <c r="D180" i="1"/>
  <c r="E180" i="1"/>
  <c r="F180" i="1"/>
  <c r="B181" i="1"/>
  <c r="C181" i="1"/>
  <c r="D181" i="1"/>
  <c r="E181" i="1"/>
  <c r="F181" i="1"/>
  <c r="B182" i="1"/>
  <c r="C182" i="1"/>
  <c r="D182" i="1"/>
  <c r="E182" i="1"/>
  <c r="F182" i="1"/>
  <c r="B183" i="1"/>
  <c r="C183" i="1"/>
  <c r="D183" i="1"/>
  <c r="E183" i="1"/>
  <c r="F183" i="1"/>
  <c r="B184" i="1"/>
  <c r="C184" i="1"/>
  <c r="D184" i="1"/>
  <c r="E184" i="1"/>
  <c r="F184" i="1"/>
  <c r="B185" i="1"/>
  <c r="C185" i="1"/>
  <c r="D185" i="1"/>
  <c r="E185" i="1"/>
  <c r="F185" i="1"/>
  <c r="B186" i="1"/>
  <c r="C186" i="1"/>
  <c r="D186" i="1"/>
  <c r="E186" i="1"/>
  <c r="F186" i="1"/>
  <c r="B187" i="1"/>
  <c r="C187" i="1"/>
  <c r="D187" i="1"/>
  <c r="E187" i="1"/>
  <c r="F187" i="1"/>
  <c r="B188" i="1"/>
  <c r="C188" i="1"/>
  <c r="D188" i="1"/>
  <c r="E188" i="1"/>
  <c r="F188" i="1"/>
  <c r="B189" i="1"/>
  <c r="C189" i="1"/>
  <c r="D189" i="1"/>
  <c r="E189" i="1"/>
  <c r="F189" i="1"/>
  <c r="B190" i="1"/>
  <c r="C190" i="1"/>
  <c r="D190" i="1"/>
  <c r="E190" i="1"/>
  <c r="F190" i="1"/>
  <c r="B191" i="1"/>
  <c r="C191" i="1"/>
  <c r="D191" i="1"/>
  <c r="E191" i="1"/>
  <c r="F191" i="1"/>
  <c r="B192" i="1"/>
  <c r="C192" i="1"/>
  <c r="D192" i="1"/>
  <c r="E192" i="1"/>
  <c r="F192" i="1"/>
  <c r="B193" i="1"/>
  <c r="C193" i="1"/>
  <c r="D193" i="1"/>
  <c r="E193" i="1"/>
  <c r="F193" i="1"/>
  <c r="B194" i="1"/>
  <c r="C194" i="1"/>
  <c r="D194" i="1"/>
  <c r="E194" i="1"/>
  <c r="F194" i="1"/>
  <c r="B195" i="1"/>
  <c r="C195" i="1"/>
  <c r="D195" i="1"/>
  <c r="E195" i="1"/>
  <c r="F195" i="1"/>
  <c r="B196" i="1"/>
  <c r="C196" i="1"/>
  <c r="D196" i="1"/>
  <c r="E196" i="1"/>
  <c r="F196" i="1"/>
  <c r="B197" i="1"/>
  <c r="C197" i="1"/>
  <c r="D197" i="1"/>
  <c r="E197" i="1"/>
  <c r="F197" i="1"/>
  <c r="B198" i="1"/>
  <c r="C198" i="1"/>
  <c r="D198" i="1"/>
  <c r="E198" i="1"/>
  <c r="F198" i="1"/>
  <c r="B199" i="1"/>
  <c r="C199" i="1"/>
  <c r="D199" i="1"/>
  <c r="E199" i="1"/>
  <c r="F199" i="1"/>
  <c r="B174" i="1"/>
  <c r="C174" i="1"/>
  <c r="D174" i="1"/>
  <c r="E174" i="1"/>
  <c r="F174" i="1"/>
  <c r="B146" i="1"/>
  <c r="C146" i="1"/>
  <c r="D146" i="1"/>
  <c r="E146" i="1"/>
  <c r="F146" i="1"/>
  <c r="B147" i="1"/>
  <c r="C147" i="1"/>
  <c r="D147" i="1"/>
  <c r="E147" i="1"/>
  <c r="F147" i="1"/>
  <c r="B148" i="1"/>
  <c r="C148" i="1"/>
  <c r="D148" i="1"/>
  <c r="E148" i="1"/>
  <c r="F148" i="1"/>
  <c r="B149" i="1"/>
  <c r="C149" i="1"/>
  <c r="D149" i="1"/>
  <c r="E149" i="1"/>
  <c r="F149" i="1"/>
  <c r="B150" i="1"/>
  <c r="C150" i="1"/>
  <c r="D150" i="1"/>
  <c r="E150" i="1"/>
  <c r="F150" i="1"/>
  <c r="B151" i="1"/>
  <c r="C151" i="1"/>
  <c r="D151" i="1"/>
  <c r="E151" i="1"/>
  <c r="F151" i="1"/>
  <c r="B152" i="1"/>
  <c r="C152" i="1"/>
  <c r="D152" i="1"/>
  <c r="E152" i="1"/>
  <c r="F152" i="1"/>
  <c r="B153" i="1"/>
  <c r="C153" i="1"/>
  <c r="D153" i="1"/>
  <c r="E153" i="1"/>
  <c r="F153" i="1"/>
  <c r="B154" i="1"/>
  <c r="C154" i="1"/>
  <c r="D154" i="1"/>
  <c r="E154" i="1"/>
  <c r="F154" i="1"/>
  <c r="B155" i="1"/>
  <c r="C155" i="1"/>
  <c r="D155" i="1"/>
  <c r="E155" i="1"/>
  <c r="F155" i="1"/>
  <c r="B156" i="1"/>
  <c r="C156" i="1"/>
  <c r="D156" i="1"/>
  <c r="E156" i="1"/>
  <c r="F156" i="1"/>
  <c r="B157" i="1"/>
  <c r="C157" i="1"/>
  <c r="D157" i="1"/>
  <c r="E157" i="1"/>
  <c r="F157" i="1"/>
  <c r="B158" i="1"/>
  <c r="C158" i="1"/>
  <c r="D158" i="1"/>
  <c r="E158" i="1"/>
  <c r="F158" i="1"/>
  <c r="B159" i="1"/>
  <c r="C159" i="1"/>
  <c r="D159" i="1"/>
  <c r="E159" i="1"/>
  <c r="F159" i="1"/>
  <c r="B160" i="1"/>
  <c r="C160" i="1"/>
  <c r="D160" i="1"/>
  <c r="E160" i="1"/>
  <c r="F160" i="1"/>
  <c r="B161" i="1"/>
  <c r="C161" i="1"/>
  <c r="D161" i="1"/>
  <c r="E161" i="1"/>
  <c r="F161" i="1"/>
  <c r="B162" i="1"/>
  <c r="C162" i="1"/>
  <c r="D162" i="1"/>
  <c r="E162" i="1"/>
  <c r="F162" i="1"/>
  <c r="B163" i="1"/>
  <c r="C163" i="1"/>
  <c r="D163" i="1"/>
  <c r="E163" i="1"/>
  <c r="F163" i="1"/>
  <c r="B164" i="1"/>
  <c r="C164" i="1"/>
  <c r="D164" i="1"/>
  <c r="E164" i="1"/>
  <c r="F164" i="1"/>
  <c r="B165" i="1"/>
  <c r="C165" i="1"/>
  <c r="D165" i="1"/>
  <c r="E165" i="1"/>
  <c r="F165" i="1"/>
  <c r="B166" i="1"/>
  <c r="C166" i="1"/>
  <c r="D166" i="1"/>
  <c r="E166" i="1"/>
  <c r="F166" i="1"/>
  <c r="B167" i="1"/>
  <c r="C167" i="1"/>
  <c r="D167" i="1"/>
  <c r="E167" i="1"/>
  <c r="F167" i="1"/>
  <c r="B168" i="1"/>
  <c r="C168" i="1"/>
  <c r="D168" i="1"/>
  <c r="E168" i="1"/>
  <c r="F168" i="1"/>
  <c r="B169" i="1"/>
  <c r="C169" i="1"/>
  <c r="D169" i="1"/>
  <c r="E169" i="1"/>
  <c r="F169" i="1"/>
  <c r="B170" i="1"/>
  <c r="C170" i="1"/>
  <c r="D170" i="1"/>
  <c r="E170" i="1"/>
  <c r="F170" i="1"/>
  <c r="B145" i="1"/>
  <c r="C145" i="1"/>
  <c r="D145" i="1"/>
  <c r="E145" i="1"/>
  <c r="F145" i="1"/>
  <c r="B117" i="1"/>
  <c r="C117" i="1"/>
  <c r="D117" i="1"/>
  <c r="E117" i="1"/>
  <c r="F117" i="1"/>
  <c r="B118" i="1"/>
  <c r="C118" i="1"/>
  <c r="D118" i="1"/>
  <c r="E118" i="1"/>
  <c r="F118" i="1"/>
  <c r="B119" i="1"/>
  <c r="C119" i="1"/>
  <c r="D119" i="1"/>
  <c r="E119" i="1"/>
  <c r="F119" i="1"/>
  <c r="B120" i="1"/>
  <c r="C120" i="1"/>
  <c r="D120" i="1"/>
  <c r="E120" i="1"/>
  <c r="F120" i="1"/>
  <c r="B121" i="1"/>
  <c r="C121" i="1"/>
  <c r="D121" i="1"/>
  <c r="E121" i="1"/>
  <c r="F121" i="1"/>
  <c r="B122" i="1"/>
  <c r="C122" i="1"/>
  <c r="D122" i="1"/>
  <c r="E122" i="1"/>
  <c r="F122" i="1"/>
  <c r="B123" i="1"/>
  <c r="C123" i="1"/>
  <c r="D123" i="1"/>
  <c r="E123" i="1"/>
  <c r="F123" i="1"/>
  <c r="B124" i="1"/>
  <c r="C124" i="1"/>
  <c r="D124" i="1"/>
  <c r="E124" i="1"/>
  <c r="F124" i="1"/>
  <c r="B125" i="1"/>
  <c r="C125" i="1"/>
  <c r="D125" i="1"/>
  <c r="E125" i="1"/>
  <c r="F125" i="1"/>
  <c r="B126" i="1"/>
  <c r="C126" i="1"/>
  <c r="D126" i="1"/>
  <c r="E126" i="1"/>
  <c r="F126" i="1"/>
  <c r="B127" i="1"/>
  <c r="C127" i="1"/>
  <c r="D127" i="1"/>
  <c r="E127" i="1"/>
  <c r="F127" i="1"/>
  <c r="B128" i="1"/>
  <c r="C128" i="1"/>
  <c r="D128" i="1"/>
  <c r="E128" i="1"/>
  <c r="F128" i="1"/>
  <c r="B129" i="1"/>
  <c r="C129" i="1"/>
  <c r="D129" i="1"/>
  <c r="E129" i="1"/>
  <c r="F129" i="1"/>
  <c r="B130" i="1"/>
  <c r="C130" i="1"/>
  <c r="D130" i="1"/>
  <c r="E130" i="1"/>
  <c r="F130" i="1"/>
  <c r="B131" i="1"/>
  <c r="C131" i="1"/>
  <c r="D131" i="1"/>
  <c r="E131" i="1"/>
  <c r="F131" i="1"/>
  <c r="B132" i="1"/>
  <c r="C132" i="1"/>
  <c r="D132" i="1"/>
  <c r="E132" i="1"/>
  <c r="F132" i="1"/>
  <c r="B133" i="1"/>
  <c r="C133" i="1"/>
  <c r="D133" i="1"/>
  <c r="E133" i="1"/>
  <c r="F133" i="1"/>
  <c r="B134" i="1"/>
  <c r="C134" i="1"/>
  <c r="D134" i="1"/>
  <c r="E134" i="1"/>
  <c r="F134" i="1"/>
  <c r="B135" i="1"/>
  <c r="C135" i="1"/>
  <c r="D135" i="1"/>
  <c r="E135" i="1"/>
  <c r="F135" i="1"/>
  <c r="B136" i="1"/>
  <c r="C136" i="1"/>
  <c r="D136" i="1"/>
  <c r="E136" i="1"/>
  <c r="F136" i="1"/>
  <c r="B137" i="1"/>
  <c r="C137" i="1"/>
  <c r="D137" i="1"/>
  <c r="E137" i="1"/>
  <c r="F137" i="1"/>
  <c r="B138" i="1"/>
  <c r="C138" i="1"/>
  <c r="D138" i="1"/>
  <c r="E138" i="1"/>
  <c r="F138" i="1"/>
  <c r="B139" i="1"/>
  <c r="C139" i="1"/>
  <c r="D139" i="1"/>
  <c r="E139" i="1"/>
  <c r="F139" i="1"/>
  <c r="B140" i="1"/>
  <c r="C140" i="1"/>
  <c r="D140" i="1"/>
  <c r="E140" i="1"/>
  <c r="F140" i="1"/>
  <c r="B141" i="1"/>
  <c r="C141" i="1"/>
  <c r="D141" i="1"/>
  <c r="E141" i="1"/>
  <c r="F141" i="1"/>
  <c r="B116" i="1"/>
  <c r="C116" i="1"/>
  <c r="D116" i="1"/>
  <c r="E116" i="1"/>
  <c r="F116" i="1"/>
  <c r="B103" i="1"/>
  <c r="C103" i="1"/>
  <c r="D103" i="1"/>
  <c r="E103" i="1"/>
  <c r="F103" i="1"/>
  <c r="B88" i="1"/>
  <c r="C88" i="1"/>
  <c r="D88" i="1"/>
  <c r="E88" i="1"/>
  <c r="F88" i="1"/>
  <c r="B89" i="1"/>
  <c r="C89" i="1"/>
  <c r="D89" i="1"/>
  <c r="E89" i="1"/>
  <c r="F89" i="1"/>
  <c r="B90" i="1"/>
  <c r="C90" i="1"/>
  <c r="D90" i="1"/>
  <c r="E90" i="1"/>
  <c r="F90" i="1"/>
  <c r="B91" i="1"/>
  <c r="C91" i="1"/>
  <c r="D91" i="1"/>
  <c r="E91" i="1"/>
  <c r="F91" i="1"/>
  <c r="B92" i="1"/>
  <c r="C92" i="1"/>
  <c r="D92" i="1"/>
  <c r="E92" i="1"/>
  <c r="F92" i="1"/>
  <c r="B93" i="1"/>
  <c r="C93" i="1"/>
  <c r="D93" i="1"/>
  <c r="E93" i="1"/>
  <c r="F93" i="1"/>
  <c r="B94" i="1"/>
  <c r="C94" i="1"/>
  <c r="D94" i="1"/>
  <c r="E94" i="1"/>
  <c r="F94" i="1"/>
  <c r="B95" i="1"/>
  <c r="C95" i="1"/>
  <c r="D95" i="1"/>
  <c r="E95" i="1"/>
  <c r="F95" i="1"/>
  <c r="B96" i="1"/>
  <c r="C96" i="1"/>
  <c r="D96" i="1"/>
  <c r="E96" i="1"/>
  <c r="F96" i="1"/>
  <c r="B97" i="1"/>
  <c r="C97" i="1"/>
  <c r="D97" i="1"/>
  <c r="E97" i="1"/>
  <c r="F97" i="1"/>
  <c r="B98" i="1"/>
  <c r="C98" i="1"/>
  <c r="D98" i="1"/>
  <c r="E98" i="1"/>
  <c r="F98" i="1"/>
  <c r="B99" i="1"/>
  <c r="C99" i="1"/>
  <c r="D99" i="1"/>
  <c r="E99" i="1"/>
  <c r="F99" i="1"/>
  <c r="B100" i="1"/>
  <c r="C100" i="1"/>
  <c r="D100" i="1"/>
  <c r="E100" i="1"/>
  <c r="F100" i="1"/>
  <c r="B101" i="1"/>
  <c r="C101" i="1"/>
  <c r="D101" i="1"/>
  <c r="E101" i="1"/>
  <c r="F101" i="1"/>
  <c r="B102" i="1"/>
  <c r="C102" i="1"/>
  <c r="D102" i="1"/>
  <c r="E102" i="1"/>
  <c r="F102" i="1"/>
  <c r="B104" i="1"/>
  <c r="C104" i="1"/>
  <c r="D104" i="1"/>
  <c r="E104" i="1"/>
  <c r="F104" i="1"/>
  <c r="B105" i="1"/>
  <c r="C105" i="1"/>
  <c r="D105" i="1"/>
  <c r="E105" i="1"/>
  <c r="F105" i="1"/>
  <c r="B106" i="1"/>
  <c r="C106" i="1"/>
  <c r="D106" i="1"/>
  <c r="E106" i="1"/>
  <c r="F106" i="1"/>
  <c r="B107" i="1"/>
  <c r="C107" i="1"/>
  <c r="D107" i="1"/>
  <c r="E107" i="1"/>
  <c r="F107" i="1"/>
  <c r="B108" i="1"/>
  <c r="C108" i="1"/>
  <c r="D108" i="1"/>
  <c r="E108" i="1"/>
  <c r="F108" i="1"/>
  <c r="B109" i="1"/>
  <c r="C109" i="1"/>
  <c r="D109" i="1"/>
  <c r="E109" i="1"/>
  <c r="F109" i="1"/>
  <c r="B110" i="1"/>
  <c r="C110" i="1"/>
  <c r="D110" i="1"/>
  <c r="E110" i="1"/>
  <c r="F110" i="1"/>
  <c r="B111" i="1"/>
  <c r="C111" i="1"/>
  <c r="D111" i="1"/>
  <c r="E111" i="1"/>
  <c r="F111" i="1"/>
  <c r="B112" i="1"/>
  <c r="C112" i="1"/>
  <c r="D112" i="1"/>
  <c r="E112" i="1"/>
  <c r="F112" i="1"/>
  <c r="B87" i="1"/>
  <c r="C87" i="1"/>
  <c r="D87" i="1"/>
  <c r="E87" i="1"/>
  <c r="F87" i="1"/>
  <c r="B59" i="1"/>
  <c r="C59" i="1"/>
  <c r="D59" i="1"/>
  <c r="E59" i="1"/>
  <c r="F59" i="1"/>
  <c r="B60" i="1"/>
  <c r="C60" i="1"/>
  <c r="D60" i="1"/>
  <c r="E60" i="1"/>
  <c r="F60" i="1"/>
  <c r="B61" i="1"/>
  <c r="C61" i="1"/>
  <c r="D61" i="1"/>
  <c r="E61" i="1"/>
  <c r="F61" i="1"/>
  <c r="B62" i="1"/>
  <c r="C62" i="1"/>
  <c r="D62" i="1"/>
  <c r="E62" i="1"/>
  <c r="F62" i="1"/>
  <c r="B63" i="1"/>
  <c r="C63" i="1"/>
  <c r="D63" i="1"/>
  <c r="E63" i="1"/>
  <c r="F63" i="1"/>
  <c r="B64" i="1"/>
  <c r="C64" i="1"/>
  <c r="D64" i="1"/>
  <c r="E64" i="1"/>
  <c r="F64" i="1"/>
  <c r="B65" i="1"/>
  <c r="C65" i="1"/>
  <c r="D65" i="1"/>
  <c r="E65" i="1"/>
  <c r="F65" i="1"/>
  <c r="B66" i="1"/>
  <c r="C66" i="1"/>
  <c r="D66" i="1"/>
  <c r="E66" i="1"/>
  <c r="F66" i="1"/>
  <c r="B67" i="1"/>
  <c r="C67" i="1"/>
  <c r="D67" i="1"/>
  <c r="E67" i="1"/>
  <c r="F67" i="1"/>
  <c r="B68" i="1"/>
  <c r="C68" i="1"/>
  <c r="D68" i="1"/>
  <c r="E68" i="1"/>
  <c r="F68" i="1"/>
  <c r="B69" i="1"/>
  <c r="C69" i="1"/>
  <c r="D69" i="1"/>
  <c r="E69" i="1"/>
  <c r="F69" i="1"/>
  <c r="B70" i="1"/>
  <c r="C70" i="1"/>
  <c r="D70" i="1"/>
  <c r="E70" i="1"/>
  <c r="F70" i="1"/>
  <c r="B71" i="1"/>
  <c r="C71" i="1"/>
  <c r="D71" i="1"/>
  <c r="E71" i="1"/>
  <c r="F71" i="1"/>
  <c r="B72" i="1"/>
  <c r="C72" i="1"/>
  <c r="D72" i="1"/>
  <c r="E72" i="1"/>
  <c r="F72" i="1"/>
  <c r="B73" i="1"/>
  <c r="C73" i="1"/>
  <c r="D73" i="1"/>
  <c r="E73" i="1"/>
  <c r="F73" i="1"/>
  <c r="B74" i="1"/>
  <c r="C74" i="1"/>
  <c r="D74" i="1"/>
  <c r="E74" i="1"/>
  <c r="F74" i="1"/>
  <c r="B75" i="1"/>
  <c r="C75" i="1"/>
  <c r="D75" i="1"/>
  <c r="E75" i="1"/>
  <c r="F75" i="1"/>
  <c r="B76" i="1"/>
  <c r="C76" i="1"/>
  <c r="D76" i="1"/>
  <c r="E76" i="1"/>
  <c r="F76" i="1"/>
  <c r="B77" i="1"/>
  <c r="C77" i="1"/>
  <c r="D77" i="1"/>
  <c r="E77" i="1"/>
  <c r="F77" i="1"/>
  <c r="B78" i="1"/>
  <c r="C78" i="1"/>
  <c r="D78" i="1"/>
  <c r="E78" i="1"/>
  <c r="F78" i="1"/>
  <c r="B79" i="1"/>
  <c r="C79" i="1"/>
  <c r="D79" i="1"/>
  <c r="E79" i="1"/>
  <c r="F79" i="1"/>
  <c r="B80" i="1"/>
  <c r="C80" i="1"/>
  <c r="D80" i="1"/>
  <c r="E80" i="1"/>
  <c r="F80" i="1"/>
  <c r="B81" i="1"/>
  <c r="C81" i="1"/>
  <c r="D81" i="1"/>
  <c r="E81" i="1"/>
  <c r="F81" i="1"/>
  <c r="B82" i="1"/>
  <c r="C82" i="1"/>
  <c r="D82" i="1"/>
  <c r="E82" i="1"/>
  <c r="F82" i="1"/>
  <c r="B83" i="1"/>
  <c r="C83" i="1"/>
  <c r="D83" i="1"/>
  <c r="E83" i="1"/>
  <c r="F83" i="1"/>
  <c r="B58" i="1"/>
  <c r="C58" i="1"/>
  <c r="D58" i="1"/>
  <c r="E58" i="1"/>
  <c r="F58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9" i="1"/>
  <c r="B10" i="1"/>
  <c r="B11" i="1"/>
  <c r="B12" i="1"/>
  <c r="B13" i="1"/>
  <c r="B14" i="1"/>
  <c r="B15" i="1"/>
  <c r="B16" i="1"/>
  <c r="B17" i="1"/>
  <c r="B18" i="1"/>
  <c r="B19" i="1"/>
  <c r="B9" i="1"/>
  <c r="U3" i="2"/>
  <c r="X12" i="2"/>
  <c r="V23" i="2"/>
  <c r="Z13" i="2"/>
  <c r="BW12" i="2"/>
  <c r="Z34" i="2"/>
  <c r="BW33" i="2"/>
  <c r="U67" i="2"/>
  <c r="Z78" i="2"/>
  <c r="BW77" i="2"/>
  <c r="U90" i="2"/>
  <c r="Z101" i="2"/>
  <c r="BW100" i="2"/>
  <c r="O16" i="1"/>
  <c r="O17" i="1"/>
  <c r="Y13" i="2"/>
  <c r="BE12" i="2"/>
  <c r="Y34" i="2"/>
  <c r="BE33" i="2"/>
  <c r="U45" i="2"/>
  <c r="Y56" i="2"/>
  <c r="BE55" i="2"/>
  <c r="Y78" i="2"/>
  <c r="BE77" i="2"/>
  <c r="Y101" i="2"/>
  <c r="BE100" i="2"/>
  <c r="O13" i="1"/>
  <c r="O14" i="1"/>
  <c r="O11" i="1"/>
  <c r="BI95" i="2"/>
  <c r="W97" i="2"/>
  <c r="BC96" i="2"/>
  <c r="X97" i="2"/>
  <c r="BD96" i="2"/>
  <c r="Y97" i="2"/>
  <c r="BE96" i="2"/>
  <c r="Z97" i="2"/>
  <c r="BF96" i="2"/>
  <c r="AA97" i="2"/>
  <c r="BG96" i="2"/>
  <c r="AB97" i="2"/>
  <c r="BH96" i="2"/>
  <c r="BI96" i="2"/>
  <c r="W98" i="2"/>
  <c r="BC97" i="2"/>
  <c r="X98" i="2"/>
  <c r="BD97" i="2"/>
  <c r="Y98" i="2"/>
  <c r="BE97" i="2"/>
  <c r="Z98" i="2"/>
  <c r="BF97" i="2"/>
  <c r="AA98" i="2"/>
  <c r="BG97" i="2"/>
  <c r="AB98" i="2"/>
  <c r="BH97" i="2"/>
  <c r="BI97" i="2"/>
  <c r="W99" i="2"/>
  <c r="BC98" i="2"/>
  <c r="X99" i="2"/>
  <c r="BD98" i="2"/>
  <c r="Y99" i="2"/>
  <c r="BE98" i="2"/>
  <c r="Z99" i="2"/>
  <c r="BF98" i="2"/>
  <c r="AA99" i="2"/>
  <c r="BG98" i="2"/>
  <c r="AB99" i="2"/>
  <c r="BH98" i="2"/>
  <c r="BI98" i="2"/>
  <c r="W100" i="2"/>
  <c r="BC99" i="2"/>
  <c r="X100" i="2"/>
  <c r="BD99" i="2"/>
  <c r="Y100" i="2"/>
  <c r="BE99" i="2"/>
  <c r="Z100" i="2"/>
  <c r="BF99" i="2"/>
  <c r="AA100" i="2"/>
  <c r="BG99" i="2"/>
  <c r="AB100" i="2"/>
  <c r="BH99" i="2"/>
  <c r="BI99" i="2"/>
  <c r="W101" i="2"/>
  <c r="BC100" i="2"/>
  <c r="X101" i="2"/>
  <c r="BD100" i="2"/>
  <c r="BF100" i="2"/>
  <c r="AA101" i="2"/>
  <c r="BG100" i="2"/>
  <c r="AB101" i="2"/>
  <c r="BH100" i="2"/>
  <c r="BI100" i="2"/>
  <c r="BC101" i="2"/>
  <c r="X102" i="2"/>
  <c r="BD101" i="2"/>
  <c r="Y102" i="2"/>
  <c r="BE101" i="2"/>
  <c r="Z102" i="2"/>
  <c r="BF101" i="2"/>
  <c r="AA102" i="2"/>
  <c r="BG101" i="2"/>
  <c r="AB102" i="2"/>
  <c r="BH101" i="2"/>
  <c r="BI101" i="2"/>
  <c r="BC102" i="2"/>
  <c r="X103" i="2"/>
  <c r="BD102" i="2"/>
  <c r="Y103" i="2"/>
  <c r="BE102" i="2"/>
  <c r="Z103" i="2"/>
  <c r="BF102" i="2"/>
  <c r="AA103" i="2"/>
  <c r="BG102" i="2"/>
  <c r="AB103" i="2"/>
  <c r="BH102" i="2"/>
  <c r="BI102" i="2"/>
  <c r="BC103" i="2"/>
  <c r="X104" i="2"/>
  <c r="BD103" i="2"/>
  <c r="Y104" i="2"/>
  <c r="BE103" i="2"/>
  <c r="Z104" i="2"/>
  <c r="BF103" i="2"/>
  <c r="AA104" i="2"/>
  <c r="BG103" i="2"/>
  <c r="AB104" i="2"/>
  <c r="BH103" i="2"/>
  <c r="BI103" i="2"/>
  <c r="BC104" i="2"/>
  <c r="BD104" i="2"/>
  <c r="BE104" i="2"/>
  <c r="Z105" i="2"/>
  <c r="BF104" i="2"/>
  <c r="AA105" i="2"/>
  <c r="BG104" i="2"/>
  <c r="AB105" i="2"/>
  <c r="BH104" i="2"/>
  <c r="BI104" i="2"/>
  <c r="BC105" i="2"/>
  <c r="BD105" i="2"/>
  <c r="Y106" i="2"/>
  <c r="BE105" i="2"/>
  <c r="Z106" i="2"/>
  <c r="BF105" i="2"/>
  <c r="AA106" i="2"/>
  <c r="BG105" i="2"/>
  <c r="AB106" i="2"/>
  <c r="BH105" i="2"/>
  <c r="BI105" i="2"/>
  <c r="BI106" i="2"/>
  <c r="BI109" i="2"/>
  <c r="BI111" i="2"/>
  <c r="BI72" i="2"/>
  <c r="W74" i="2"/>
  <c r="BC73" i="2"/>
  <c r="X74" i="2"/>
  <c r="BD73" i="2"/>
  <c r="Y74" i="2"/>
  <c r="BE73" i="2"/>
  <c r="Z74" i="2"/>
  <c r="BF73" i="2"/>
  <c r="AA74" i="2"/>
  <c r="BG73" i="2"/>
  <c r="AB74" i="2"/>
  <c r="BH73" i="2"/>
  <c r="BI73" i="2"/>
  <c r="W75" i="2"/>
  <c r="BC74" i="2"/>
  <c r="X75" i="2"/>
  <c r="BD74" i="2"/>
  <c r="Y75" i="2"/>
  <c r="BE74" i="2"/>
  <c r="Z75" i="2"/>
  <c r="BF74" i="2"/>
  <c r="AA75" i="2"/>
  <c r="BG74" i="2"/>
  <c r="AB75" i="2"/>
  <c r="BH74" i="2"/>
  <c r="BI74" i="2"/>
  <c r="W76" i="2"/>
  <c r="BC75" i="2"/>
  <c r="X76" i="2"/>
  <c r="BD75" i="2"/>
  <c r="Y76" i="2"/>
  <c r="BE75" i="2"/>
  <c r="Z76" i="2"/>
  <c r="BF75" i="2"/>
  <c r="AA76" i="2"/>
  <c r="BG75" i="2"/>
  <c r="AB76" i="2"/>
  <c r="BH75" i="2"/>
  <c r="BI75" i="2"/>
  <c r="W77" i="2"/>
  <c r="BC76" i="2"/>
  <c r="X77" i="2"/>
  <c r="BD76" i="2"/>
  <c r="Y77" i="2"/>
  <c r="BE76" i="2"/>
  <c r="Z77" i="2"/>
  <c r="BF76" i="2"/>
  <c r="AA77" i="2"/>
  <c r="BG76" i="2"/>
  <c r="AB77" i="2"/>
  <c r="BH76" i="2"/>
  <c r="BI76" i="2"/>
  <c r="W78" i="2"/>
  <c r="BC77" i="2"/>
  <c r="X78" i="2"/>
  <c r="BD77" i="2"/>
  <c r="BF77" i="2"/>
  <c r="AA78" i="2"/>
  <c r="BG77" i="2"/>
  <c r="AB78" i="2"/>
  <c r="BH77" i="2"/>
  <c r="BI77" i="2"/>
  <c r="W79" i="2"/>
  <c r="BC78" i="2"/>
  <c r="X79" i="2"/>
  <c r="BD78" i="2"/>
  <c r="Y79" i="2"/>
  <c r="BE78" i="2"/>
  <c r="Z79" i="2"/>
  <c r="BF78" i="2"/>
  <c r="AA79" i="2"/>
  <c r="BG78" i="2"/>
  <c r="AB79" i="2"/>
  <c r="BH78" i="2"/>
  <c r="BI78" i="2"/>
  <c r="BC79" i="2"/>
  <c r="X80" i="2"/>
  <c r="BD79" i="2"/>
  <c r="Y80" i="2"/>
  <c r="BE79" i="2"/>
  <c r="Z80" i="2"/>
  <c r="BF79" i="2"/>
  <c r="AA80" i="2"/>
  <c r="BG79" i="2"/>
  <c r="AB80" i="2"/>
  <c r="BH79" i="2"/>
  <c r="BI79" i="2"/>
  <c r="W81" i="2"/>
  <c r="BC80" i="2"/>
  <c r="BD80" i="2"/>
  <c r="Y81" i="2"/>
  <c r="BE80" i="2"/>
  <c r="Z81" i="2"/>
  <c r="BF80" i="2"/>
  <c r="AA81" i="2"/>
  <c r="BG80" i="2"/>
  <c r="AB81" i="2"/>
  <c r="BH80" i="2"/>
  <c r="BI80" i="2"/>
  <c r="BC81" i="2"/>
  <c r="X82" i="2"/>
  <c r="BD81" i="2"/>
  <c r="Y82" i="2"/>
  <c r="BE81" i="2"/>
  <c r="Z82" i="2"/>
  <c r="BF81" i="2"/>
  <c r="AA82" i="2"/>
  <c r="BG81" i="2"/>
  <c r="AB82" i="2"/>
  <c r="BH81" i="2"/>
  <c r="BI81" i="2"/>
  <c r="BC82" i="2"/>
  <c r="BD82" i="2"/>
  <c r="Y83" i="2"/>
  <c r="BE82" i="2"/>
  <c r="Z83" i="2"/>
  <c r="BF82" i="2"/>
  <c r="AA83" i="2"/>
  <c r="BG82" i="2"/>
  <c r="AB83" i="2"/>
  <c r="BH82" i="2"/>
  <c r="BI82" i="2"/>
  <c r="BI83" i="2"/>
  <c r="BI86" i="2"/>
  <c r="BI88" i="2"/>
  <c r="BI50" i="2"/>
  <c r="W52" i="2"/>
  <c r="BC51" i="2"/>
  <c r="X52" i="2"/>
  <c r="BD51" i="2"/>
  <c r="Y52" i="2"/>
  <c r="BE51" i="2"/>
  <c r="Z52" i="2"/>
  <c r="BF51" i="2"/>
  <c r="AA52" i="2"/>
  <c r="BG51" i="2"/>
  <c r="AB52" i="2"/>
  <c r="BH51" i="2"/>
  <c r="BI51" i="2"/>
  <c r="W53" i="2"/>
  <c r="BC52" i="2"/>
  <c r="X53" i="2"/>
  <c r="BD52" i="2"/>
  <c r="Y53" i="2"/>
  <c r="BE52" i="2"/>
  <c r="Z53" i="2"/>
  <c r="BF52" i="2"/>
  <c r="AA53" i="2"/>
  <c r="BG52" i="2"/>
  <c r="AB53" i="2"/>
  <c r="BH52" i="2"/>
  <c r="BI52" i="2"/>
  <c r="W54" i="2"/>
  <c r="BC53" i="2"/>
  <c r="X54" i="2"/>
  <c r="BD53" i="2"/>
  <c r="Y54" i="2"/>
  <c r="BE53" i="2"/>
  <c r="Z54" i="2"/>
  <c r="BF53" i="2"/>
  <c r="AA54" i="2"/>
  <c r="BG53" i="2"/>
  <c r="AB54" i="2"/>
  <c r="BH53" i="2"/>
  <c r="BI53" i="2"/>
  <c r="W55" i="2"/>
  <c r="BC54" i="2"/>
  <c r="X55" i="2"/>
  <c r="BD54" i="2"/>
  <c r="Y55" i="2"/>
  <c r="BE54" i="2"/>
  <c r="Z55" i="2"/>
  <c r="BF54" i="2"/>
  <c r="AA55" i="2"/>
  <c r="BG54" i="2"/>
  <c r="AB55" i="2"/>
  <c r="BH54" i="2"/>
  <c r="BI54" i="2"/>
  <c r="W56" i="2"/>
  <c r="BC55" i="2"/>
  <c r="X56" i="2"/>
  <c r="BD55" i="2"/>
  <c r="Z56" i="2"/>
  <c r="BF55" i="2"/>
  <c r="AA56" i="2"/>
  <c r="BG55" i="2"/>
  <c r="AB56" i="2"/>
  <c r="BH55" i="2"/>
  <c r="BI55" i="2"/>
  <c r="BC56" i="2"/>
  <c r="X57" i="2"/>
  <c r="BD56" i="2"/>
  <c r="Y57" i="2"/>
  <c r="BE56" i="2"/>
  <c r="Z57" i="2"/>
  <c r="BF56" i="2"/>
  <c r="AA57" i="2"/>
  <c r="BG56" i="2"/>
  <c r="AB57" i="2"/>
  <c r="BH56" i="2"/>
  <c r="BI56" i="2"/>
  <c r="BC57" i="2"/>
  <c r="BD57" i="2"/>
  <c r="Y58" i="2"/>
  <c r="BE57" i="2"/>
  <c r="Z58" i="2"/>
  <c r="BF57" i="2"/>
  <c r="AA58" i="2"/>
  <c r="BG57" i="2"/>
  <c r="AB58" i="2"/>
  <c r="BH57" i="2"/>
  <c r="BI57" i="2"/>
  <c r="BC58" i="2"/>
  <c r="BD58" i="2"/>
  <c r="Y59" i="2"/>
  <c r="BE58" i="2"/>
  <c r="Z59" i="2"/>
  <c r="BF58" i="2"/>
  <c r="AA59" i="2"/>
  <c r="BG58" i="2"/>
  <c r="AB59" i="2"/>
  <c r="BH58" i="2"/>
  <c r="BI58" i="2"/>
  <c r="BC59" i="2"/>
  <c r="BD59" i="2"/>
  <c r="Y60" i="2"/>
  <c r="BE59" i="2"/>
  <c r="Z60" i="2"/>
  <c r="BF59" i="2"/>
  <c r="AA60" i="2"/>
  <c r="BG59" i="2"/>
  <c r="AB60" i="2"/>
  <c r="BH59" i="2"/>
  <c r="BI59" i="2"/>
  <c r="BC60" i="2"/>
  <c r="BD60" i="2"/>
  <c r="BE60" i="2"/>
  <c r="Z61" i="2"/>
  <c r="BF60" i="2"/>
  <c r="AA61" i="2"/>
  <c r="BG60" i="2"/>
  <c r="AB61" i="2"/>
  <c r="BH60" i="2"/>
  <c r="BI60" i="2"/>
  <c r="BI61" i="2"/>
  <c r="BI64" i="2"/>
  <c r="BI66" i="2"/>
  <c r="BI28" i="2"/>
  <c r="W30" i="2"/>
  <c r="BC29" i="2"/>
  <c r="X30" i="2"/>
  <c r="BD29" i="2"/>
  <c r="Y30" i="2"/>
  <c r="BE29" i="2"/>
  <c r="Z30" i="2"/>
  <c r="BF29" i="2"/>
  <c r="AA30" i="2"/>
  <c r="BG29" i="2"/>
  <c r="AB30" i="2"/>
  <c r="BH29" i="2"/>
  <c r="BI29" i="2"/>
  <c r="W31" i="2"/>
  <c r="BC30" i="2"/>
  <c r="X31" i="2"/>
  <c r="BD30" i="2"/>
  <c r="Y31" i="2"/>
  <c r="BE30" i="2"/>
  <c r="Z31" i="2"/>
  <c r="BF30" i="2"/>
  <c r="AA31" i="2"/>
  <c r="BG30" i="2"/>
  <c r="AB31" i="2"/>
  <c r="BH30" i="2"/>
  <c r="BI30" i="2"/>
  <c r="W32" i="2"/>
  <c r="BC31" i="2"/>
  <c r="X32" i="2"/>
  <c r="BD31" i="2"/>
  <c r="Y32" i="2"/>
  <c r="BE31" i="2"/>
  <c r="Z32" i="2"/>
  <c r="BF31" i="2"/>
  <c r="AA32" i="2"/>
  <c r="BG31" i="2"/>
  <c r="AB32" i="2"/>
  <c r="BH31" i="2"/>
  <c r="BI31" i="2"/>
  <c r="W33" i="2"/>
  <c r="BC32" i="2"/>
  <c r="X33" i="2"/>
  <c r="BD32" i="2"/>
  <c r="Y33" i="2"/>
  <c r="BE32" i="2"/>
  <c r="Z33" i="2"/>
  <c r="BF32" i="2"/>
  <c r="AA33" i="2"/>
  <c r="BG32" i="2"/>
  <c r="AB33" i="2"/>
  <c r="BH32" i="2"/>
  <c r="BI32" i="2"/>
  <c r="W34" i="2"/>
  <c r="BC33" i="2"/>
  <c r="X34" i="2"/>
  <c r="BD33" i="2"/>
  <c r="BF33" i="2"/>
  <c r="AA34" i="2"/>
  <c r="BG33" i="2"/>
  <c r="AB34" i="2"/>
  <c r="BH33" i="2"/>
  <c r="BI33" i="2"/>
  <c r="BC34" i="2"/>
  <c r="X35" i="2"/>
  <c r="BD34" i="2"/>
  <c r="Y35" i="2"/>
  <c r="BE34" i="2"/>
  <c r="Z35" i="2"/>
  <c r="BF34" i="2"/>
  <c r="AA35" i="2"/>
  <c r="BG34" i="2"/>
  <c r="AB35" i="2"/>
  <c r="BH34" i="2"/>
  <c r="BI34" i="2"/>
  <c r="BC35" i="2"/>
  <c r="BD35" i="2"/>
  <c r="Y36" i="2"/>
  <c r="BE35" i="2"/>
  <c r="Z36" i="2"/>
  <c r="BF35" i="2"/>
  <c r="AA36" i="2"/>
  <c r="BG35" i="2"/>
  <c r="AB36" i="2"/>
  <c r="BH35" i="2"/>
  <c r="BI35" i="2"/>
  <c r="BC36" i="2"/>
  <c r="BD36" i="2"/>
  <c r="BE36" i="2"/>
  <c r="Z37" i="2"/>
  <c r="BF36" i="2"/>
  <c r="AA37" i="2"/>
  <c r="BG36" i="2"/>
  <c r="AB37" i="2"/>
  <c r="BH36" i="2"/>
  <c r="BI36" i="2"/>
  <c r="BC37" i="2"/>
  <c r="BD37" i="2"/>
  <c r="BE37" i="2"/>
  <c r="Z38" i="2"/>
  <c r="BF37" i="2"/>
  <c r="AA38" i="2"/>
  <c r="BG37" i="2"/>
  <c r="AB38" i="2"/>
  <c r="BH37" i="2"/>
  <c r="BI37" i="2"/>
  <c r="BC38" i="2"/>
  <c r="BD38" i="2"/>
  <c r="BE38" i="2"/>
  <c r="Z39" i="2"/>
  <c r="BF38" i="2"/>
  <c r="AA39" i="2"/>
  <c r="BG38" i="2"/>
  <c r="AB39" i="2"/>
  <c r="BH38" i="2"/>
  <c r="BI38" i="2"/>
  <c r="BI39" i="2"/>
  <c r="BI42" i="2"/>
  <c r="BI44" i="2"/>
  <c r="BI7" i="2"/>
  <c r="W9" i="2"/>
  <c r="BC8" i="2"/>
  <c r="X9" i="2"/>
  <c r="BD8" i="2"/>
  <c r="Y9" i="2"/>
  <c r="BE8" i="2"/>
  <c r="Z9" i="2"/>
  <c r="BF8" i="2"/>
  <c r="AA9" i="2"/>
  <c r="BG8" i="2"/>
  <c r="AB9" i="2"/>
  <c r="BH8" i="2"/>
  <c r="BI8" i="2"/>
  <c r="W10" i="2"/>
  <c r="BC9" i="2"/>
  <c r="X10" i="2"/>
  <c r="BD9" i="2"/>
  <c r="Y10" i="2"/>
  <c r="BE9" i="2"/>
  <c r="Z10" i="2"/>
  <c r="BF9" i="2"/>
  <c r="AA10" i="2"/>
  <c r="BG9" i="2"/>
  <c r="AB10" i="2"/>
  <c r="BH9" i="2"/>
  <c r="BI9" i="2"/>
  <c r="W11" i="2"/>
  <c r="BC10" i="2"/>
  <c r="X11" i="2"/>
  <c r="BD10" i="2"/>
  <c r="Y11" i="2"/>
  <c r="BE10" i="2"/>
  <c r="Z11" i="2"/>
  <c r="BF10" i="2"/>
  <c r="AA11" i="2"/>
  <c r="BG10" i="2"/>
  <c r="AB11" i="2"/>
  <c r="BH10" i="2"/>
  <c r="BI10" i="2"/>
  <c r="W12" i="2"/>
  <c r="BC11" i="2"/>
  <c r="BD11" i="2"/>
  <c r="Y12" i="2"/>
  <c r="BE11" i="2"/>
  <c r="Z12" i="2"/>
  <c r="BF11" i="2"/>
  <c r="AA12" i="2"/>
  <c r="BG11" i="2"/>
  <c r="AB12" i="2"/>
  <c r="BH11" i="2"/>
  <c r="BI11" i="2"/>
  <c r="W13" i="2"/>
  <c r="BC12" i="2"/>
  <c r="X13" i="2"/>
  <c r="BD12" i="2"/>
  <c r="BF12" i="2"/>
  <c r="AA13" i="2"/>
  <c r="BG12" i="2"/>
  <c r="AB13" i="2"/>
  <c r="BH12" i="2"/>
  <c r="BI12" i="2"/>
  <c r="W14" i="2"/>
  <c r="BC13" i="2"/>
  <c r="X14" i="2"/>
  <c r="BD13" i="2"/>
  <c r="Y14" i="2"/>
  <c r="BE13" i="2"/>
  <c r="Z14" i="2"/>
  <c r="BF13" i="2"/>
  <c r="AA14" i="2"/>
  <c r="BG13" i="2"/>
  <c r="AB14" i="2"/>
  <c r="BH13" i="2"/>
  <c r="BI13" i="2"/>
  <c r="BC14" i="2"/>
  <c r="BD14" i="2"/>
  <c r="Y15" i="2"/>
  <c r="BE14" i="2"/>
  <c r="Z15" i="2"/>
  <c r="BF14" i="2"/>
  <c r="AA15" i="2"/>
  <c r="BG14" i="2"/>
  <c r="AB15" i="2"/>
  <c r="BH14" i="2"/>
  <c r="BI14" i="2"/>
  <c r="BC15" i="2"/>
  <c r="BD15" i="2"/>
  <c r="BE15" i="2"/>
  <c r="Z16" i="2"/>
  <c r="BF15" i="2"/>
  <c r="AA16" i="2"/>
  <c r="BG15" i="2"/>
  <c r="AB16" i="2"/>
  <c r="BH15" i="2"/>
  <c r="BI15" i="2"/>
  <c r="BC16" i="2"/>
  <c r="BD16" i="2"/>
  <c r="BE16" i="2"/>
  <c r="Z17" i="2"/>
  <c r="BF16" i="2"/>
  <c r="AA17" i="2"/>
  <c r="BG16" i="2"/>
  <c r="AB17" i="2"/>
  <c r="BH16" i="2"/>
  <c r="BI16" i="2"/>
  <c r="BC17" i="2"/>
  <c r="BD17" i="2"/>
  <c r="BE17" i="2"/>
  <c r="Z18" i="2"/>
  <c r="BF17" i="2"/>
  <c r="AA18" i="2"/>
  <c r="BG17" i="2"/>
  <c r="AB18" i="2"/>
  <c r="BH17" i="2"/>
  <c r="BI17" i="2"/>
  <c r="BI18" i="2"/>
  <c r="BI21" i="2"/>
  <c r="BI23" i="2"/>
  <c r="BQ95" i="2"/>
  <c r="BR95" i="2"/>
  <c r="BS95" i="2"/>
  <c r="BT95" i="2"/>
  <c r="X96" i="2"/>
  <c r="BU95" i="2"/>
  <c r="BV95" i="2"/>
  <c r="BW95" i="2"/>
  <c r="BX95" i="2"/>
  <c r="BY95" i="2"/>
  <c r="AC96" i="2"/>
  <c r="BZ95" i="2"/>
  <c r="CA95" i="2"/>
  <c r="BQ96" i="2"/>
  <c r="BR96" i="2"/>
  <c r="V97" i="2"/>
  <c r="BS96" i="2"/>
  <c r="BT96" i="2"/>
  <c r="BU96" i="2"/>
  <c r="BV96" i="2"/>
  <c r="BW96" i="2"/>
  <c r="BX96" i="2"/>
  <c r="BY96" i="2"/>
  <c r="AC97" i="2"/>
  <c r="BZ96" i="2"/>
  <c r="CA96" i="2"/>
  <c r="BQ97" i="2"/>
  <c r="U98" i="2"/>
  <c r="BR97" i="2"/>
  <c r="V98" i="2"/>
  <c r="BS97" i="2"/>
  <c r="BT97" i="2"/>
  <c r="BU97" i="2"/>
  <c r="BV97" i="2"/>
  <c r="BW97" i="2"/>
  <c r="BX97" i="2"/>
  <c r="BY97" i="2"/>
  <c r="AC98" i="2"/>
  <c r="BZ97" i="2"/>
  <c r="CA97" i="2"/>
  <c r="BQ98" i="2"/>
  <c r="BR98" i="2"/>
  <c r="V99" i="2"/>
  <c r="BS98" i="2"/>
  <c r="BT98" i="2"/>
  <c r="BU98" i="2"/>
  <c r="BV98" i="2"/>
  <c r="BW98" i="2"/>
  <c r="BX98" i="2"/>
  <c r="BY98" i="2"/>
  <c r="AC99" i="2"/>
  <c r="BZ98" i="2"/>
  <c r="CA98" i="2"/>
  <c r="BQ99" i="2"/>
  <c r="BR99" i="2"/>
  <c r="BS99" i="2"/>
  <c r="BT99" i="2"/>
  <c r="BU99" i="2"/>
  <c r="BV99" i="2"/>
  <c r="BW99" i="2"/>
  <c r="BX99" i="2"/>
  <c r="BY99" i="2"/>
  <c r="AC100" i="2"/>
  <c r="BZ99" i="2"/>
  <c r="CA99" i="2"/>
  <c r="BQ100" i="2"/>
  <c r="BR100" i="2"/>
  <c r="BS100" i="2"/>
  <c r="BT100" i="2"/>
  <c r="BU100" i="2"/>
  <c r="BV100" i="2"/>
  <c r="BX100" i="2"/>
  <c r="BY100" i="2"/>
  <c r="AC101" i="2"/>
  <c r="BZ100" i="2"/>
  <c r="CA100" i="2"/>
  <c r="BQ101" i="2"/>
  <c r="BR101" i="2"/>
  <c r="BS101" i="2"/>
  <c r="BT101" i="2"/>
  <c r="BU101" i="2"/>
  <c r="BV101" i="2"/>
  <c r="BW101" i="2"/>
  <c r="BX101" i="2"/>
  <c r="BY101" i="2"/>
  <c r="AC102" i="2"/>
  <c r="BZ101" i="2"/>
  <c r="CA101" i="2"/>
  <c r="BQ102" i="2"/>
  <c r="BR102" i="2"/>
  <c r="BS102" i="2"/>
  <c r="BT102" i="2"/>
  <c r="BU102" i="2"/>
  <c r="BV102" i="2"/>
  <c r="BW102" i="2"/>
  <c r="BX102" i="2"/>
  <c r="BY102" i="2"/>
  <c r="AC103" i="2"/>
  <c r="BZ102" i="2"/>
  <c r="CA102" i="2"/>
  <c r="BQ103" i="2"/>
  <c r="BR103" i="2"/>
  <c r="BS103" i="2"/>
  <c r="BT103" i="2"/>
  <c r="BU103" i="2"/>
  <c r="BV103" i="2"/>
  <c r="BW103" i="2"/>
  <c r="BX103" i="2"/>
  <c r="BY103" i="2"/>
  <c r="AC104" i="2"/>
  <c r="BZ103" i="2"/>
  <c r="CA103" i="2"/>
  <c r="BQ104" i="2"/>
  <c r="BR104" i="2"/>
  <c r="BS104" i="2"/>
  <c r="BT104" i="2"/>
  <c r="BU104" i="2"/>
  <c r="BV104" i="2"/>
  <c r="BW104" i="2"/>
  <c r="BX104" i="2"/>
  <c r="BY104" i="2"/>
  <c r="AC105" i="2"/>
  <c r="BZ104" i="2"/>
  <c r="CA104" i="2"/>
  <c r="BQ105" i="2"/>
  <c r="BR105" i="2"/>
  <c r="BS105" i="2"/>
  <c r="BT105" i="2"/>
  <c r="BU105" i="2"/>
  <c r="BV105" i="2"/>
  <c r="BW105" i="2"/>
  <c r="BX105" i="2"/>
  <c r="BY105" i="2"/>
  <c r="AC106" i="2"/>
  <c r="BZ105" i="2"/>
  <c r="CA105" i="2"/>
  <c r="CA106" i="2"/>
  <c r="CA109" i="2"/>
  <c r="CA111" i="2"/>
  <c r="BQ72" i="2"/>
  <c r="U73" i="2"/>
  <c r="BR72" i="2"/>
  <c r="V73" i="2"/>
  <c r="BS72" i="2"/>
  <c r="W73" i="2"/>
  <c r="BT72" i="2"/>
  <c r="X73" i="2"/>
  <c r="BU72" i="2"/>
  <c r="Y73" i="2"/>
  <c r="BV72" i="2"/>
  <c r="Z73" i="2"/>
  <c r="BW72" i="2"/>
  <c r="AA73" i="2"/>
  <c r="BX72" i="2"/>
  <c r="AB73" i="2"/>
  <c r="BY72" i="2"/>
  <c r="AC73" i="2"/>
  <c r="BZ72" i="2"/>
  <c r="CA72" i="2"/>
  <c r="BQ73" i="2"/>
  <c r="U74" i="2"/>
  <c r="BR73" i="2"/>
  <c r="V74" i="2"/>
  <c r="BS73" i="2"/>
  <c r="BT73" i="2"/>
  <c r="BU73" i="2"/>
  <c r="BV73" i="2"/>
  <c r="BW73" i="2"/>
  <c r="BX73" i="2"/>
  <c r="BY73" i="2"/>
  <c r="AC74" i="2"/>
  <c r="BZ73" i="2"/>
  <c r="CA73" i="2"/>
  <c r="BQ74" i="2"/>
  <c r="U75" i="2"/>
  <c r="BR74" i="2"/>
  <c r="V75" i="2"/>
  <c r="BS74" i="2"/>
  <c r="BT74" i="2"/>
  <c r="BU74" i="2"/>
  <c r="BV74" i="2"/>
  <c r="BW74" i="2"/>
  <c r="BX74" i="2"/>
  <c r="BY74" i="2"/>
  <c r="AC75" i="2"/>
  <c r="BZ74" i="2"/>
  <c r="CA74" i="2"/>
  <c r="BQ75" i="2"/>
  <c r="BR75" i="2"/>
  <c r="V76" i="2"/>
  <c r="BS75" i="2"/>
  <c r="BT75" i="2"/>
  <c r="BU75" i="2"/>
  <c r="BV75" i="2"/>
  <c r="BW75" i="2"/>
  <c r="BX75" i="2"/>
  <c r="BY75" i="2"/>
  <c r="AC76" i="2"/>
  <c r="BZ75" i="2"/>
  <c r="CA75" i="2"/>
  <c r="BQ76" i="2"/>
  <c r="BR76" i="2"/>
  <c r="V77" i="2"/>
  <c r="BS76" i="2"/>
  <c r="BT76" i="2"/>
  <c r="BU76" i="2"/>
  <c r="BV76" i="2"/>
  <c r="BW76" i="2"/>
  <c r="BX76" i="2"/>
  <c r="BY76" i="2"/>
  <c r="AC77" i="2"/>
  <c r="BZ76" i="2"/>
  <c r="CA76" i="2"/>
  <c r="BQ77" i="2"/>
  <c r="BR77" i="2"/>
  <c r="V78" i="2"/>
  <c r="BS77" i="2"/>
  <c r="BT77" i="2"/>
  <c r="BU77" i="2"/>
  <c r="BV77" i="2"/>
  <c r="BX77" i="2"/>
  <c r="BY77" i="2"/>
  <c r="AC78" i="2"/>
  <c r="BZ77" i="2"/>
  <c r="CA77" i="2"/>
  <c r="BQ78" i="2"/>
  <c r="BR78" i="2"/>
  <c r="V79" i="2"/>
  <c r="BS78" i="2"/>
  <c r="BT78" i="2"/>
  <c r="BU78" i="2"/>
  <c r="BV78" i="2"/>
  <c r="BW78" i="2"/>
  <c r="BX78" i="2"/>
  <c r="BY78" i="2"/>
  <c r="AC79" i="2"/>
  <c r="BZ78" i="2"/>
  <c r="CA78" i="2"/>
  <c r="BQ79" i="2"/>
  <c r="BR79" i="2"/>
  <c r="BS79" i="2"/>
  <c r="BT79" i="2"/>
  <c r="BU79" i="2"/>
  <c r="BV79" i="2"/>
  <c r="BW79" i="2"/>
  <c r="BX79" i="2"/>
  <c r="BY79" i="2"/>
  <c r="AC80" i="2"/>
  <c r="BZ79" i="2"/>
  <c r="CA79" i="2"/>
  <c r="BQ80" i="2"/>
  <c r="BR80" i="2"/>
  <c r="BS80" i="2"/>
  <c r="BT80" i="2"/>
  <c r="BU80" i="2"/>
  <c r="BV80" i="2"/>
  <c r="BW80" i="2"/>
  <c r="BX80" i="2"/>
  <c r="BY80" i="2"/>
  <c r="AC81" i="2"/>
  <c r="BZ80" i="2"/>
  <c r="CA80" i="2"/>
  <c r="BQ81" i="2"/>
  <c r="BR81" i="2"/>
  <c r="BS81" i="2"/>
  <c r="BT81" i="2"/>
  <c r="BU81" i="2"/>
  <c r="BV81" i="2"/>
  <c r="BW81" i="2"/>
  <c r="BX81" i="2"/>
  <c r="BY81" i="2"/>
  <c r="AC82" i="2"/>
  <c r="BZ81" i="2"/>
  <c r="CA81" i="2"/>
  <c r="BQ82" i="2"/>
  <c r="BR82" i="2"/>
  <c r="BS82" i="2"/>
  <c r="BT82" i="2"/>
  <c r="BU82" i="2"/>
  <c r="BV82" i="2"/>
  <c r="BW82" i="2"/>
  <c r="BX82" i="2"/>
  <c r="BY82" i="2"/>
  <c r="AC83" i="2"/>
  <c r="BZ82" i="2"/>
  <c r="CA82" i="2"/>
  <c r="CA83" i="2"/>
  <c r="CA86" i="2"/>
  <c r="CA88" i="2"/>
  <c r="BQ50" i="2"/>
  <c r="U51" i="2"/>
  <c r="BR50" i="2"/>
  <c r="V51" i="2"/>
  <c r="BS50" i="2"/>
  <c r="W51" i="2"/>
  <c r="BT50" i="2"/>
  <c r="X51" i="2"/>
  <c r="BU50" i="2"/>
  <c r="BV50" i="2"/>
  <c r="BW50" i="2"/>
  <c r="AA51" i="2"/>
  <c r="BX50" i="2"/>
  <c r="AB51" i="2"/>
  <c r="BY50" i="2"/>
  <c r="AC51" i="2"/>
  <c r="BZ50" i="2"/>
  <c r="CA50" i="2"/>
  <c r="BQ51" i="2"/>
  <c r="U52" i="2"/>
  <c r="BR51" i="2"/>
  <c r="V52" i="2"/>
  <c r="BS51" i="2"/>
  <c r="BT51" i="2"/>
  <c r="BU51" i="2"/>
  <c r="BV51" i="2"/>
  <c r="BW51" i="2"/>
  <c r="BX51" i="2"/>
  <c r="BY51" i="2"/>
  <c r="AC52" i="2"/>
  <c r="BZ51" i="2"/>
  <c r="CA51" i="2"/>
  <c r="BQ52" i="2"/>
  <c r="U53" i="2"/>
  <c r="BR52" i="2"/>
  <c r="V53" i="2"/>
  <c r="BS52" i="2"/>
  <c r="BT52" i="2"/>
  <c r="BU52" i="2"/>
  <c r="BV52" i="2"/>
  <c r="BW52" i="2"/>
  <c r="BX52" i="2"/>
  <c r="BY52" i="2"/>
  <c r="AC53" i="2"/>
  <c r="BZ52" i="2"/>
  <c r="CA52" i="2"/>
  <c r="BQ53" i="2"/>
  <c r="BR53" i="2"/>
  <c r="V54" i="2"/>
  <c r="BS53" i="2"/>
  <c r="BT53" i="2"/>
  <c r="BU53" i="2"/>
  <c r="BV53" i="2"/>
  <c r="BW53" i="2"/>
  <c r="BX53" i="2"/>
  <c r="BY53" i="2"/>
  <c r="AC54" i="2"/>
  <c r="BZ53" i="2"/>
  <c r="CA53" i="2"/>
  <c r="BQ54" i="2"/>
  <c r="BR54" i="2"/>
  <c r="V55" i="2"/>
  <c r="BS54" i="2"/>
  <c r="BT54" i="2"/>
  <c r="BU54" i="2"/>
  <c r="BV54" i="2"/>
  <c r="BW54" i="2"/>
  <c r="BX54" i="2"/>
  <c r="BY54" i="2"/>
  <c r="AC55" i="2"/>
  <c r="BZ54" i="2"/>
  <c r="CA54" i="2"/>
  <c r="BQ55" i="2"/>
  <c r="BR55" i="2"/>
  <c r="BS55" i="2"/>
  <c r="BT55" i="2"/>
  <c r="BU55" i="2"/>
  <c r="BV55" i="2"/>
  <c r="BW55" i="2"/>
  <c r="BX55" i="2"/>
  <c r="BY55" i="2"/>
  <c r="AC56" i="2"/>
  <c r="BZ55" i="2"/>
  <c r="CA55" i="2"/>
  <c r="BQ56" i="2"/>
  <c r="BR56" i="2"/>
  <c r="BS56" i="2"/>
  <c r="BT56" i="2"/>
  <c r="BU56" i="2"/>
  <c r="BV56" i="2"/>
  <c r="BW56" i="2"/>
  <c r="BX56" i="2"/>
  <c r="BY56" i="2"/>
  <c r="AC57" i="2"/>
  <c r="BZ56" i="2"/>
  <c r="CA56" i="2"/>
  <c r="BQ57" i="2"/>
  <c r="BR57" i="2"/>
  <c r="BS57" i="2"/>
  <c r="BT57" i="2"/>
  <c r="BU57" i="2"/>
  <c r="BV57" i="2"/>
  <c r="BW57" i="2"/>
  <c r="BX57" i="2"/>
  <c r="BY57" i="2"/>
  <c r="AC58" i="2"/>
  <c r="BZ57" i="2"/>
  <c r="CA57" i="2"/>
  <c r="BQ58" i="2"/>
  <c r="BR58" i="2"/>
  <c r="BS58" i="2"/>
  <c r="BT58" i="2"/>
  <c r="BU58" i="2"/>
  <c r="BV58" i="2"/>
  <c r="BW58" i="2"/>
  <c r="BX58" i="2"/>
  <c r="BY58" i="2"/>
  <c r="AC59" i="2"/>
  <c r="BZ58" i="2"/>
  <c r="CA58" i="2"/>
  <c r="BQ59" i="2"/>
  <c r="BR59" i="2"/>
  <c r="BS59" i="2"/>
  <c r="BT59" i="2"/>
  <c r="BU59" i="2"/>
  <c r="BV59" i="2"/>
  <c r="BW59" i="2"/>
  <c r="BX59" i="2"/>
  <c r="BY59" i="2"/>
  <c r="AC60" i="2"/>
  <c r="BZ59" i="2"/>
  <c r="CA59" i="2"/>
  <c r="BQ60" i="2"/>
  <c r="BR60" i="2"/>
  <c r="BS60" i="2"/>
  <c r="BT60" i="2"/>
  <c r="BU60" i="2"/>
  <c r="BV60" i="2"/>
  <c r="BW60" i="2"/>
  <c r="BX60" i="2"/>
  <c r="BY60" i="2"/>
  <c r="AC61" i="2"/>
  <c r="BZ60" i="2"/>
  <c r="CA60" i="2"/>
  <c r="CA61" i="2"/>
  <c r="CA64" i="2"/>
  <c r="CA66" i="2"/>
  <c r="BQ28" i="2"/>
  <c r="BR28" i="2"/>
  <c r="BS28" i="2"/>
  <c r="BT28" i="2"/>
  <c r="X29" i="2"/>
  <c r="BU28" i="2"/>
  <c r="BV28" i="2"/>
  <c r="BW28" i="2"/>
  <c r="AA29" i="2"/>
  <c r="BX28" i="2"/>
  <c r="BY28" i="2"/>
  <c r="AC29" i="2"/>
  <c r="BZ28" i="2"/>
  <c r="CA28" i="2"/>
  <c r="BQ29" i="2"/>
  <c r="U30" i="2"/>
  <c r="BR29" i="2"/>
  <c r="V30" i="2"/>
  <c r="BS29" i="2"/>
  <c r="BT29" i="2"/>
  <c r="BU29" i="2"/>
  <c r="BV29" i="2"/>
  <c r="BW29" i="2"/>
  <c r="BX29" i="2"/>
  <c r="BY29" i="2"/>
  <c r="AC30" i="2"/>
  <c r="BZ29" i="2"/>
  <c r="CA29" i="2"/>
  <c r="BQ30" i="2"/>
  <c r="BR30" i="2"/>
  <c r="V31" i="2"/>
  <c r="BS30" i="2"/>
  <c r="BT30" i="2"/>
  <c r="BU30" i="2"/>
  <c r="BV30" i="2"/>
  <c r="BW30" i="2"/>
  <c r="BX30" i="2"/>
  <c r="BY30" i="2"/>
  <c r="AC31" i="2"/>
  <c r="BZ30" i="2"/>
  <c r="CA30" i="2"/>
  <c r="BQ31" i="2"/>
  <c r="BR31" i="2"/>
  <c r="V32" i="2"/>
  <c r="BS31" i="2"/>
  <c r="BT31" i="2"/>
  <c r="BU31" i="2"/>
  <c r="BV31" i="2"/>
  <c r="BW31" i="2"/>
  <c r="BX31" i="2"/>
  <c r="BY31" i="2"/>
  <c r="AC32" i="2"/>
  <c r="BZ31" i="2"/>
  <c r="CA31" i="2"/>
  <c r="BQ32" i="2"/>
  <c r="BR32" i="2"/>
  <c r="V33" i="2"/>
  <c r="BS32" i="2"/>
  <c r="BT32" i="2"/>
  <c r="BU32" i="2"/>
  <c r="BV32" i="2"/>
  <c r="BW32" i="2"/>
  <c r="BX32" i="2"/>
  <c r="BY32" i="2"/>
  <c r="AC33" i="2"/>
  <c r="BZ32" i="2"/>
  <c r="CA32" i="2"/>
  <c r="BQ33" i="2"/>
  <c r="BR33" i="2"/>
  <c r="BS33" i="2"/>
  <c r="BT33" i="2"/>
  <c r="BU33" i="2"/>
  <c r="BV33" i="2"/>
  <c r="BX33" i="2"/>
  <c r="BY33" i="2"/>
  <c r="AC34" i="2"/>
  <c r="BZ33" i="2"/>
  <c r="CA33" i="2"/>
  <c r="BQ34" i="2"/>
  <c r="BR34" i="2"/>
  <c r="BS34" i="2"/>
  <c r="BT34" i="2"/>
  <c r="BU34" i="2"/>
  <c r="BV34" i="2"/>
  <c r="BW34" i="2"/>
  <c r="BX34" i="2"/>
  <c r="BY34" i="2"/>
  <c r="AC35" i="2"/>
  <c r="BZ34" i="2"/>
  <c r="CA34" i="2"/>
  <c r="BQ35" i="2"/>
  <c r="BR35" i="2"/>
  <c r="BS35" i="2"/>
  <c r="BT35" i="2"/>
  <c r="BU35" i="2"/>
  <c r="BV35" i="2"/>
  <c r="BW35" i="2"/>
  <c r="BX35" i="2"/>
  <c r="BY35" i="2"/>
  <c r="AC36" i="2"/>
  <c r="BZ35" i="2"/>
  <c r="CA35" i="2"/>
  <c r="BQ36" i="2"/>
  <c r="BR36" i="2"/>
  <c r="BS36" i="2"/>
  <c r="BT36" i="2"/>
  <c r="BU36" i="2"/>
  <c r="BV36" i="2"/>
  <c r="BW36" i="2"/>
  <c r="BX36" i="2"/>
  <c r="BY36" i="2"/>
  <c r="AC37" i="2"/>
  <c r="BZ36" i="2"/>
  <c r="CA36" i="2"/>
  <c r="BQ37" i="2"/>
  <c r="BR37" i="2"/>
  <c r="BS37" i="2"/>
  <c r="BT37" i="2"/>
  <c r="BU37" i="2"/>
  <c r="BV37" i="2"/>
  <c r="BW37" i="2"/>
  <c r="BX37" i="2"/>
  <c r="BY37" i="2"/>
  <c r="AC38" i="2"/>
  <c r="BZ37" i="2"/>
  <c r="CA37" i="2"/>
  <c r="BQ38" i="2"/>
  <c r="BR38" i="2"/>
  <c r="BS38" i="2"/>
  <c r="BT38" i="2"/>
  <c r="BU38" i="2"/>
  <c r="BV38" i="2"/>
  <c r="BW38" i="2"/>
  <c r="BX38" i="2"/>
  <c r="BY38" i="2"/>
  <c r="AC39" i="2"/>
  <c r="BZ38" i="2"/>
  <c r="CA38" i="2"/>
  <c r="CA39" i="2"/>
  <c r="CA42" i="2"/>
  <c r="CA44" i="2"/>
  <c r="BQ7" i="2"/>
  <c r="BR7" i="2"/>
  <c r="BS7" i="2"/>
  <c r="W8" i="2"/>
  <c r="BT7" i="2"/>
  <c r="BU7" i="2"/>
  <c r="BV7" i="2"/>
  <c r="BW7" i="2"/>
  <c r="BX7" i="2"/>
  <c r="BY7" i="2"/>
  <c r="AC8" i="2"/>
  <c r="BZ7" i="2"/>
  <c r="CA7" i="2"/>
  <c r="BQ8" i="2"/>
  <c r="U9" i="2"/>
  <c r="BR8" i="2"/>
  <c r="V9" i="2"/>
  <c r="BS8" i="2"/>
  <c r="BT8" i="2"/>
  <c r="BU8" i="2"/>
  <c r="BV8" i="2"/>
  <c r="BW8" i="2"/>
  <c r="BX8" i="2"/>
  <c r="BY8" i="2"/>
  <c r="AC9" i="2"/>
  <c r="BZ8" i="2"/>
  <c r="CA8" i="2"/>
  <c r="BQ9" i="2"/>
  <c r="BR9" i="2"/>
  <c r="V10" i="2"/>
  <c r="BS9" i="2"/>
  <c r="BT9" i="2"/>
  <c r="BU9" i="2"/>
  <c r="BV9" i="2"/>
  <c r="BW9" i="2"/>
  <c r="BX9" i="2"/>
  <c r="BY9" i="2"/>
  <c r="AC10" i="2"/>
  <c r="BZ9" i="2"/>
  <c r="CA9" i="2"/>
  <c r="BQ10" i="2"/>
  <c r="BR10" i="2"/>
  <c r="V11" i="2"/>
  <c r="BS10" i="2"/>
  <c r="BT10" i="2"/>
  <c r="BU10" i="2"/>
  <c r="BV10" i="2"/>
  <c r="BW10" i="2"/>
  <c r="BX10" i="2"/>
  <c r="BY10" i="2"/>
  <c r="AC11" i="2"/>
  <c r="BZ10" i="2"/>
  <c r="CA10" i="2"/>
  <c r="BQ11" i="2"/>
  <c r="BR11" i="2"/>
  <c r="V12" i="2"/>
  <c r="BS11" i="2"/>
  <c r="BT11" i="2"/>
  <c r="BU11" i="2"/>
  <c r="BV11" i="2"/>
  <c r="BW11" i="2"/>
  <c r="BX11" i="2"/>
  <c r="BY11" i="2"/>
  <c r="AC12" i="2"/>
  <c r="BZ11" i="2"/>
  <c r="CA11" i="2"/>
  <c r="BQ12" i="2"/>
  <c r="BR12" i="2"/>
  <c r="BS12" i="2"/>
  <c r="BT12" i="2"/>
  <c r="BU12" i="2"/>
  <c r="BV12" i="2"/>
  <c r="BX12" i="2"/>
  <c r="BY12" i="2"/>
  <c r="AC13" i="2"/>
  <c r="BZ12" i="2"/>
  <c r="CA12" i="2"/>
  <c r="BQ13" i="2"/>
  <c r="BR13" i="2"/>
  <c r="BS13" i="2"/>
  <c r="BT13" i="2"/>
  <c r="BU13" i="2"/>
  <c r="BV13" i="2"/>
  <c r="BW13" i="2"/>
  <c r="BX13" i="2"/>
  <c r="BY13" i="2"/>
  <c r="AC14" i="2"/>
  <c r="BZ13" i="2"/>
  <c r="CA13" i="2"/>
  <c r="BQ14" i="2"/>
  <c r="BR14" i="2"/>
  <c r="BS14" i="2"/>
  <c r="BT14" i="2"/>
  <c r="BU14" i="2"/>
  <c r="BV14" i="2"/>
  <c r="BW14" i="2"/>
  <c r="BX14" i="2"/>
  <c r="BY14" i="2"/>
  <c r="AC15" i="2"/>
  <c r="BZ14" i="2"/>
  <c r="CA14" i="2"/>
  <c r="BQ15" i="2"/>
  <c r="BR15" i="2"/>
  <c r="BS15" i="2"/>
  <c r="BT15" i="2"/>
  <c r="BU15" i="2"/>
  <c r="BV15" i="2"/>
  <c r="BW15" i="2"/>
  <c r="BX15" i="2"/>
  <c r="BY15" i="2"/>
  <c r="AC16" i="2"/>
  <c r="BZ15" i="2"/>
  <c r="CA15" i="2"/>
  <c r="BQ16" i="2"/>
  <c r="BR16" i="2"/>
  <c r="BS16" i="2"/>
  <c r="BT16" i="2"/>
  <c r="BU16" i="2"/>
  <c r="BV16" i="2"/>
  <c r="BW16" i="2"/>
  <c r="BX16" i="2"/>
  <c r="BY16" i="2"/>
  <c r="AC17" i="2"/>
  <c r="BZ16" i="2"/>
  <c r="CA16" i="2"/>
  <c r="BQ17" i="2"/>
  <c r="BR17" i="2"/>
  <c r="BS17" i="2"/>
  <c r="BT17" i="2"/>
  <c r="BU17" i="2"/>
  <c r="BV17" i="2"/>
  <c r="BW17" i="2"/>
  <c r="BX17" i="2"/>
  <c r="BY17" i="2"/>
  <c r="AC18" i="2"/>
  <c r="BZ17" i="2"/>
  <c r="CA17" i="2"/>
  <c r="CA18" i="2"/>
  <c r="CA21" i="2"/>
  <c r="CA23" i="2"/>
  <c r="BP96" i="2"/>
  <c r="BP97" i="2"/>
  <c r="BP98" i="2"/>
  <c r="BP99" i="2"/>
  <c r="BP100" i="2"/>
  <c r="BP101" i="2"/>
  <c r="BP102" i="2"/>
  <c r="BP103" i="2"/>
  <c r="BP104" i="2"/>
  <c r="BP105" i="2"/>
  <c r="BP95" i="2"/>
  <c r="BP73" i="2"/>
  <c r="BP74" i="2"/>
  <c r="BP75" i="2"/>
  <c r="BP76" i="2"/>
  <c r="BP77" i="2"/>
  <c r="BP78" i="2"/>
  <c r="BP79" i="2"/>
  <c r="BP80" i="2"/>
  <c r="BP81" i="2"/>
  <c r="BP82" i="2"/>
  <c r="BP72" i="2"/>
  <c r="BP51" i="2"/>
  <c r="BP52" i="2"/>
  <c r="BP53" i="2"/>
  <c r="BP54" i="2"/>
  <c r="BP55" i="2"/>
  <c r="BP56" i="2"/>
  <c r="BP57" i="2"/>
  <c r="BP58" i="2"/>
  <c r="BP59" i="2"/>
  <c r="BP60" i="2"/>
  <c r="BP50" i="2"/>
  <c r="BP29" i="2"/>
  <c r="BP30" i="2"/>
  <c r="BP31" i="2"/>
  <c r="BP32" i="2"/>
  <c r="BP33" i="2"/>
  <c r="BP34" i="2"/>
  <c r="BP35" i="2"/>
  <c r="BP36" i="2"/>
  <c r="BP37" i="2"/>
  <c r="BP38" i="2"/>
  <c r="BP28" i="2"/>
  <c r="BP8" i="2"/>
  <c r="BP9" i="2"/>
  <c r="BP10" i="2"/>
  <c r="BP11" i="2"/>
  <c r="BP12" i="2"/>
  <c r="BP13" i="2"/>
  <c r="BP14" i="2"/>
  <c r="BP15" i="2"/>
  <c r="BP16" i="2"/>
  <c r="BP17" i="2"/>
  <c r="BP7" i="2"/>
  <c r="AG43" i="2"/>
  <c r="AC107" i="2"/>
  <c r="AC84" i="2"/>
  <c r="AC62" i="2"/>
  <c r="AC40" i="2"/>
  <c r="AC19" i="2"/>
</calcChain>
</file>

<file path=xl/sharedStrings.xml><?xml version="1.0" encoding="utf-8"?>
<sst xmlns="http://schemas.openxmlformats.org/spreadsheetml/2006/main" count="1444" uniqueCount="166">
  <si>
    <t>Years In Hours</t>
  </si>
  <si>
    <t>Aquabuoy Performance Matrix</t>
  </si>
  <si>
    <t>Aquabuoy Power Output</t>
  </si>
  <si>
    <t>A</t>
  </si>
  <si>
    <t>Pelamis Power Output</t>
  </si>
  <si>
    <t xml:space="preserve">Spain - Bay Of Bicay </t>
  </si>
  <si>
    <t>North of Gijon</t>
  </si>
  <si>
    <t>Tp (s)</t>
  </si>
  <si>
    <t>Aquabuoy</t>
  </si>
  <si>
    <t>&lt;=1.0</t>
  </si>
  <si>
    <t>&gt;10</t>
  </si>
  <si>
    <t>Total (KWh/(5*Annum))</t>
  </si>
  <si>
    <t>Hs (m)</t>
  </si>
  <si>
    <t>Total (Hours)</t>
  </si>
  <si>
    <t>&lt;=0.5</t>
  </si>
  <si>
    <t>&gt;5</t>
  </si>
  <si>
    <t>Total</t>
  </si>
  <si>
    <t>KWh/Annum</t>
  </si>
  <si>
    <t>MWh/Annum</t>
  </si>
  <si>
    <t>Spain - Canary Islands</t>
  </si>
  <si>
    <t>North of Santa Cruz De Tenerife</t>
  </si>
  <si>
    <t>Pelamis Performance Matrix</t>
  </si>
  <si>
    <t>Pelamis</t>
  </si>
  <si>
    <t>France - Brest</t>
  </si>
  <si>
    <t>East of Brest</t>
  </si>
  <si>
    <t>Scotland - Tiree</t>
  </si>
  <si>
    <t>East of Tiree</t>
  </si>
  <si>
    <t>Scotland - North Uist</t>
  </si>
  <si>
    <t>Southeast of Uist</t>
  </si>
  <si>
    <t>Wave Resources Data Sheet</t>
  </si>
  <si>
    <t>Theoretical Power Check</t>
  </si>
  <si>
    <t>Wave Site Power Curves</t>
  </si>
  <si>
    <t>Power (kW)</t>
  </si>
  <si>
    <t>Hz</t>
  </si>
  <si>
    <t>Te</t>
  </si>
  <si>
    <t>f=1/T</t>
  </si>
  <si>
    <t>w=(2*pi)/T</t>
  </si>
  <si>
    <t>Power</t>
  </si>
  <si>
    <t>kW/m</t>
  </si>
  <si>
    <t>Hmo = 3</t>
  </si>
  <si>
    <t>Te=8</t>
  </si>
  <si>
    <t>Average Power From Point Absorber</t>
  </si>
  <si>
    <t>KW/m</t>
  </si>
  <si>
    <t>Average Power From Attenuator</t>
  </si>
  <si>
    <t>Point Absorber</t>
  </si>
  <si>
    <t>Attenuator</t>
  </si>
  <si>
    <t xml:space="preserve">Point Absorber </t>
  </si>
  <si>
    <t>Attunuator</t>
  </si>
  <si>
    <t>Float Diameter</t>
  </si>
  <si>
    <t>meters</t>
  </si>
  <si>
    <t>Water Density</t>
  </si>
  <si>
    <t>Overall Length</t>
  </si>
  <si>
    <t>m</t>
  </si>
  <si>
    <t>System Voltage</t>
  </si>
  <si>
    <t>415/690Vac 50/60Hz</t>
  </si>
  <si>
    <t>3-phase</t>
  </si>
  <si>
    <t>Point Absorber With Power Limiter (250kW)</t>
  </si>
  <si>
    <t>Attunuator With P-Limite (750kW)</t>
  </si>
  <si>
    <t>Float Height</t>
  </si>
  <si>
    <t>gravity</t>
  </si>
  <si>
    <t>Diameter</t>
  </si>
  <si>
    <t>Transformer</t>
  </si>
  <si>
    <t>Displaced Volume</t>
  </si>
  <si>
    <t>m^3</t>
  </si>
  <si>
    <t>i</t>
  </si>
  <si>
    <t>Displacement</t>
  </si>
  <si>
    <t>tones</t>
  </si>
  <si>
    <t>Depth</t>
  </si>
  <si>
    <t>Power Curves @ Te 1</t>
  </si>
  <si>
    <t>Power Curve @ Te 1</t>
  </si>
  <si>
    <t>Accelerator Tube Diameter</t>
  </si>
  <si>
    <t>meter</t>
  </si>
  <si>
    <t>Nose</t>
  </si>
  <si>
    <t>Current</t>
  </si>
  <si>
    <t>knot</t>
  </si>
  <si>
    <t>Dynamic Pressure (Pdyn)</t>
  </si>
  <si>
    <t>Froude Kyrlov</t>
  </si>
  <si>
    <t>Force</t>
  </si>
  <si>
    <t>heave Displacement (z)</t>
  </si>
  <si>
    <t>Accelerator Tube Length</t>
  </si>
  <si>
    <t>Power Take off Units</t>
  </si>
  <si>
    <t>Mooring System</t>
  </si>
  <si>
    <t>compliant</t>
  </si>
  <si>
    <t>slack moored</t>
  </si>
  <si>
    <t>Rated Absorbed Power</t>
  </si>
  <si>
    <t>kW</t>
  </si>
  <si>
    <t>Power Take off</t>
  </si>
  <si>
    <t>(2 heave, 2 sway</t>
  </si>
  <si>
    <t>Equivalent Gas Turbine - Fuel</t>
  </si>
  <si>
    <t>tonnes/year</t>
  </si>
  <si>
    <t>Significant Wave Height (At Rated Power)</t>
  </si>
  <si>
    <t>Power Smoothing/Storage</t>
  </si>
  <si>
    <t>m/s</t>
  </si>
  <si>
    <t>EGT - CO2 Emissions</t>
  </si>
  <si>
    <t>Average Wave Period (At Rated Power)</t>
  </si>
  <si>
    <t>seconds</t>
  </si>
  <si>
    <t>Working Pressure</t>
  </si>
  <si>
    <t>bar</t>
  </si>
  <si>
    <t>Waterplane Area</t>
  </si>
  <si>
    <t>m^2</t>
  </si>
  <si>
    <t>Power Conversion</t>
  </si>
  <si>
    <t>Float Draft hf</t>
  </si>
  <si>
    <t>Generator</t>
  </si>
  <si>
    <t>157kVa/125kW</t>
  </si>
  <si>
    <t>Heave Stiffness (k)</t>
  </si>
  <si>
    <t>Speed</t>
  </si>
  <si>
    <t>rpm</t>
  </si>
  <si>
    <t>Structeral Mass (Ms)</t>
  </si>
  <si>
    <t>Overall Power Rating</t>
  </si>
  <si>
    <t>Added Mass (Ma)</t>
  </si>
  <si>
    <t>Annual Output</t>
  </si>
  <si>
    <t>GWh</t>
  </si>
  <si>
    <t>Damping Ratio (ζ)</t>
  </si>
  <si>
    <t>Nominal Wave Power</t>
  </si>
  <si>
    <t>c</t>
  </si>
  <si>
    <t>Hydrostatic Power Limiting</t>
  </si>
  <si>
    <t>Generator type</t>
  </si>
  <si>
    <t>Asynchronous</t>
  </si>
  <si>
    <t>Power Curves @ Te 2</t>
  </si>
  <si>
    <t>Power Curve @ Te 2</t>
  </si>
  <si>
    <t>Power Curves @ Te 3</t>
  </si>
  <si>
    <t>Power Curve @ Te 3</t>
  </si>
  <si>
    <t>Power Curves @ Te 4</t>
  </si>
  <si>
    <t>Power Curve @ Te 4</t>
  </si>
  <si>
    <t>Power Curves @ Te 5</t>
  </si>
  <si>
    <t>Power Curve @ Te 5</t>
  </si>
  <si>
    <t>Power Curves @ Te 6</t>
  </si>
  <si>
    <t>Power Curve @ Te 6</t>
  </si>
  <si>
    <t>Power Curves @ Te 7</t>
  </si>
  <si>
    <t>Power Curve @ Te 7</t>
  </si>
  <si>
    <t>Power Curves @ Te 8</t>
  </si>
  <si>
    <t>Power Curve @ Te 8</t>
  </si>
  <si>
    <t>Power Curves @ Te 9</t>
  </si>
  <si>
    <t>Power Curve @ Te 9</t>
  </si>
  <si>
    <t>Power Curves @ Te 10</t>
  </si>
  <si>
    <t>Power Curve @ Te 10</t>
  </si>
  <si>
    <t>Power Curves @ Te 11</t>
  </si>
  <si>
    <t>Power Curve @ Te 11</t>
  </si>
  <si>
    <t>Power Curves @ Te 12</t>
  </si>
  <si>
    <t>Power Curve @ Te 12</t>
  </si>
  <si>
    <t>Power Curves @ Te 13</t>
  </si>
  <si>
    <t>Power Curve @ Te 13</t>
  </si>
  <si>
    <t>Power Curves @ Te 14</t>
  </si>
  <si>
    <t>Power Curve @ Te 14</t>
  </si>
  <si>
    <t>Power Curves @ Te 15</t>
  </si>
  <si>
    <t>Power Curve @ Te 15</t>
  </si>
  <si>
    <t>Power Curves @ Te 16</t>
  </si>
  <si>
    <t>Power Curve @ Te 16</t>
  </si>
  <si>
    <t>Power Curves @ Te 17</t>
  </si>
  <si>
    <t>Power Curve @ Te 17</t>
  </si>
  <si>
    <t>Power Curves @ Te 18</t>
  </si>
  <si>
    <t>Power Curve @ Te 18</t>
  </si>
  <si>
    <t>Power Curves @ Te 19</t>
  </si>
  <si>
    <t>Power Curve @ Te 19</t>
  </si>
  <si>
    <t>Power Curves @ Te 20</t>
  </si>
  <si>
    <t>Power Curve @ Te 20</t>
  </si>
  <si>
    <t>Power Curves @ Te 21</t>
  </si>
  <si>
    <t>Power Curve @ Te 21</t>
  </si>
  <si>
    <t>Power Curves @ Te 22</t>
  </si>
  <si>
    <t>Power Curve @ Te 22</t>
  </si>
  <si>
    <t>Power Curves @ Te 23</t>
  </si>
  <si>
    <t>Power Curve @ Te 23</t>
  </si>
  <si>
    <t>Power Curves @ Te 24</t>
  </si>
  <si>
    <t>Power Curve @ Te 24</t>
  </si>
  <si>
    <t>Power Curves @ Te 25</t>
  </si>
  <si>
    <t>Power Curve @ Te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</si>
</sst>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4">
    <font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09">
    <xf numFmtId="0" fontId="0" fillId="0" borderId="0"/>
    <xf numFmtId="164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/>
    <xf numFmtId="0" fontId="0" fillId="0" borderId="1" xfId="0" applyBorder="1"/>
    <xf numFmtId="0" fontId="0" fillId="0" borderId="0" xfId="0" applyBorder="1"/>
    <xf numFmtId="0" fontId="0" fillId="0" borderId="6" xfId="0" applyBorder="1"/>
    <xf numFmtId="0" fontId="0" fillId="0" borderId="3" xfId="0" applyBorder="1"/>
    <xf numFmtId="164" fontId="0" fillId="0" borderId="1" xfId="1" applyFont="1" applyBorder="1"/>
    <xf numFmtId="164" fontId="0" fillId="0" borderId="1" xfId="0" applyNumberFormat="1" applyBorder="1"/>
    <xf numFmtId="0" fontId="8" fillId="0" borderId="0" xfId="0" applyFont="1"/>
    <xf numFmtId="0" fontId="0" fillId="0" borderId="1" xfId="0" applyBorder="1" applyAlignment="1">
      <alignment horizontal="right"/>
    </xf>
    <xf numFmtId="0" fontId="0" fillId="0" borderId="9" xfId="0" applyBorder="1"/>
    <xf numFmtId="0" fontId="0" fillId="0" borderId="10" xfId="0" applyBorder="1" applyAlignment="1">
      <alignment horizontal="right"/>
    </xf>
    <xf numFmtId="0" fontId="0" fillId="0" borderId="12" xfId="0" applyBorder="1" applyAlignment="1">
      <alignment vertical="center"/>
    </xf>
    <xf numFmtId="0" fontId="4" fillId="2" borderId="0" xfId="2"/>
    <xf numFmtId="1" fontId="0" fillId="0" borderId="0" xfId="0" applyNumberFormat="1" applyBorder="1" applyAlignment="1"/>
    <xf numFmtId="1" fontId="0" fillId="0" borderId="3" xfId="0" applyNumberFormat="1" applyBorder="1" applyAlignment="1"/>
    <xf numFmtId="1" fontId="0" fillId="0" borderId="6" xfId="0" applyNumberFormat="1" applyBorder="1" applyAlignment="1"/>
    <xf numFmtId="164" fontId="0" fillId="0" borderId="11" xfId="0" applyNumberFormat="1" applyBorder="1"/>
    <xf numFmtId="164" fontId="0" fillId="0" borderId="0" xfId="0" applyNumberFormat="1" applyBorder="1"/>
    <xf numFmtId="164" fontId="0" fillId="0" borderId="3" xfId="0" applyNumberFormat="1" applyBorder="1"/>
    <xf numFmtId="164" fontId="0" fillId="0" borderId="6" xfId="0" applyNumberFormat="1" applyBorder="1"/>
    <xf numFmtId="0" fontId="0" fillId="0" borderId="0" xfId="0" applyBorder="1" applyAlignment="1"/>
    <xf numFmtId="0" fontId="0" fillId="0" borderId="0" xfId="0" applyBorder="1" applyAlignment="1">
      <alignment vertical="center"/>
    </xf>
    <xf numFmtId="164" fontId="0" fillId="0" borderId="0" xfId="0" applyNumberFormat="1"/>
    <xf numFmtId="0" fontId="9" fillId="0" borderId="0" xfId="0" applyFont="1" applyBorder="1" applyAlignment="1">
      <alignment vertical="center"/>
    </xf>
    <xf numFmtId="0" fontId="0" fillId="0" borderId="2" xfId="0" applyBorder="1"/>
    <xf numFmtId="0" fontId="2" fillId="0" borderId="3" xfId="0" applyFont="1" applyBorder="1"/>
    <xf numFmtId="0" fontId="0" fillId="0" borderId="4" xfId="0" applyBorder="1"/>
    <xf numFmtId="0" fontId="0" fillId="0" borderId="14" xfId="0" applyBorder="1"/>
    <xf numFmtId="0" fontId="0" fillId="0" borderId="15" xfId="0" applyBorder="1"/>
    <xf numFmtId="0" fontId="0" fillId="0" borderId="7" xfId="0" applyBorder="1"/>
    <xf numFmtId="0" fontId="0" fillId="0" borderId="13" xfId="0" applyBorder="1"/>
    <xf numFmtId="164" fontId="0" fillId="0" borderId="4" xfId="0" applyNumberFormat="1" applyBorder="1"/>
    <xf numFmtId="2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2" fontId="9" fillId="0" borderId="1" xfId="0" applyNumberFormat="1" applyFont="1" applyBorder="1" applyAlignment="1">
      <alignment horizontal="center"/>
    </xf>
    <xf numFmtId="164" fontId="0" fillId="3" borderId="5" xfId="0" applyNumberFormat="1" applyFill="1" applyBorder="1"/>
    <xf numFmtId="0" fontId="0" fillId="3" borderId="9" xfId="0" applyFill="1" applyBorder="1"/>
    <xf numFmtId="0" fontId="0" fillId="3" borderId="5" xfId="0" applyFill="1" applyBorder="1"/>
    <xf numFmtId="0" fontId="0" fillId="3" borderId="8" xfId="0" applyFill="1" applyBorder="1"/>
    <xf numFmtId="0" fontId="12" fillId="0" borderId="0" xfId="0" applyFont="1"/>
    <xf numFmtId="0" fontId="12" fillId="0" borderId="0" xfId="0" applyFont="1" applyAlignment="1"/>
    <xf numFmtId="0" fontId="13" fillId="0" borderId="1" xfId="0" applyFont="1" applyBorder="1" applyAlignment="1">
      <alignment horizontal="right"/>
    </xf>
    <xf numFmtId="0" fontId="0" fillId="0" borderId="1" xfId="0" applyFill="1" applyBorder="1"/>
    <xf numFmtId="0" fontId="9" fillId="0" borderId="1" xfId="0" applyFont="1" applyBorder="1"/>
    <xf numFmtId="0" fontId="0" fillId="0" borderId="11" xfId="0" applyBorder="1"/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1" fillId="0" borderId="13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209">
    <cellStyle name="Comma" xfId="1" builtinId="3"/>
    <cellStyle name="Followed Hyperlink" xfId="70" builtinId="9" hidden="1"/>
    <cellStyle name="Followed Hyperlink" xfId="74" builtinId="9" hidden="1"/>
    <cellStyle name="Followed Hyperlink" xfId="78" builtinId="9" hidden="1"/>
    <cellStyle name="Followed Hyperlink" xfId="82" builtinId="9" hidden="1"/>
    <cellStyle name="Followed Hyperlink" xfId="86" builtinId="9" hidden="1"/>
    <cellStyle name="Followed Hyperlink" xfId="90" builtinId="9" hidden="1"/>
    <cellStyle name="Followed Hyperlink" xfId="94" builtinId="9" hidden="1"/>
    <cellStyle name="Followed Hyperlink" xfId="98" builtinId="9" hidden="1"/>
    <cellStyle name="Followed Hyperlink" xfId="102" builtinId="9" hidden="1"/>
    <cellStyle name="Followed Hyperlink" xfId="106" builtinId="9" hidden="1"/>
    <cellStyle name="Followed Hyperlink" xfId="110" builtinId="9" hidden="1"/>
    <cellStyle name="Followed Hyperlink" xfId="114" builtinId="9" hidden="1"/>
    <cellStyle name="Followed Hyperlink" xfId="118" builtinId="9" hidden="1"/>
    <cellStyle name="Followed Hyperlink" xfId="122" builtinId="9" hidden="1"/>
    <cellStyle name="Followed Hyperlink" xfId="126" builtinId="9" hidden="1"/>
    <cellStyle name="Followed Hyperlink" xfId="130" builtinId="9" hidden="1"/>
    <cellStyle name="Followed Hyperlink" xfId="134" builtinId="9" hidden="1"/>
    <cellStyle name="Followed Hyperlink" xfId="138" builtinId="9" hidden="1"/>
    <cellStyle name="Followed Hyperlink" xfId="142" builtinId="9" hidden="1"/>
    <cellStyle name="Followed Hyperlink" xfId="146" builtinId="9" hidden="1"/>
    <cellStyle name="Followed Hyperlink" xfId="150" builtinId="9" hidden="1"/>
    <cellStyle name="Followed Hyperlink" xfId="154" builtinId="9" hidden="1"/>
    <cellStyle name="Followed Hyperlink" xfId="158" builtinId="9" hidden="1"/>
    <cellStyle name="Followed Hyperlink" xfId="162" builtinId="9" hidden="1"/>
    <cellStyle name="Followed Hyperlink" xfId="166" builtinId="9" hidden="1"/>
    <cellStyle name="Followed Hyperlink" xfId="170" builtinId="9" hidden="1"/>
    <cellStyle name="Followed Hyperlink" xfId="174" builtinId="9" hidden="1"/>
    <cellStyle name="Followed Hyperlink" xfId="178" builtinId="9" hidden="1"/>
    <cellStyle name="Followed Hyperlink" xfId="182" builtinId="9" hidden="1"/>
    <cellStyle name="Followed Hyperlink" xfId="186" builtinId="9" hidden="1"/>
    <cellStyle name="Followed Hyperlink" xfId="190" builtinId="9" hidden="1"/>
    <cellStyle name="Followed Hyperlink" xfId="194" builtinId="9" hidden="1"/>
    <cellStyle name="Followed Hyperlink" xfId="198" builtinId="9" hidden="1"/>
    <cellStyle name="Followed Hyperlink" xfId="202" builtinId="9" hidden="1"/>
    <cellStyle name="Followed Hyperlink" xfId="206" builtinId="9" hidden="1"/>
    <cellStyle name="Followed Hyperlink" xfId="208" builtinId="9" hidden="1"/>
    <cellStyle name="Followed Hyperlink" xfId="204" builtinId="9" hidden="1"/>
    <cellStyle name="Followed Hyperlink" xfId="200" builtinId="9" hidden="1"/>
    <cellStyle name="Followed Hyperlink" xfId="196" builtinId="9" hidden="1"/>
    <cellStyle name="Followed Hyperlink" xfId="192" builtinId="9" hidden="1"/>
    <cellStyle name="Followed Hyperlink" xfId="188" builtinId="9" hidden="1"/>
    <cellStyle name="Followed Hyperlink" xfId="184" builtinId="9" hidden="1"/>
    <cellStyle name="Followed Hyperlink" xfId="180" builtinId="9" hidden="1"/>
    <cellStyle name="Followed Hyperlink" xfId="176" builtinId="9" hidden="1"/>
    <cellStyle name="Followed Hyperlink" xfId="172" builtinId="9" hidden="1"/>
    <cellStyle name="Followed Hyperlink" xfId="168" builtinId="9" hidden="1"/>
    <cellStyle name="Followed Hyperlink" xfId="164" builtinId="9" hidden="1"/>
    <cellStyle name="Followed Hyperlink" xfId="160" builtinId="9" hidden="1"/>
    <cellStyle name="Followed Hyperlink" xfId="156" builtinId="9" hidden="1"/>
    <cellStyle name="Followed Hyperlink" xfId="152" builtinId="9" hidden="1"/>
    <cellStyle name="Followed Hyperlink" xfId="148" builtinId="9" hidden="1"/>
    <cellStyle name="Followed Hyperlink" xfId="144" builtinId="9" hidden="1"/>
    <cellStyle name="Followed Hyperlink" xfId="140" builtinId="9" hidden="1"/>
    <cellStyle name="Followed Hyperlink" xfId="136" builtinId="9" hidden="1"/>
    <cellStyle name="Followed Hyperlink" xfId="132" builtinId="9" hidden="1"/>
    <cellStyle name="Followed Hyperlink" xfId="128" builtinId="9" hidden="1"/>
    <cellStyle name="Followed Hyperlink" xfId="124" builtinId="9" hidden="1"/>
    <cellStyle name="Followed Hyperlink" xfId="120" builtinId="9" hidden="1"/>
    <cellStyle name="Followed Hyperlink" xfId="116" builtinId="9" hidden="1"/>
    <cellStyle name="Followed Hyperlink" xfId="112" builtinId="9" hidden="1"/>
    <cellStyle name="Followed Hyperlink" xfId="108" builtinId="9" hidden="1"/>
    <cellStyle name="Followed Hyperlink" xfId="104" builtinId="9" hidden="1"/>
    <cellStyle name="Followed Hyperlink" xfId="100" builtinId="9" hidden="1"/>
    <cellStyle name="Followed Hyperlink" xfId="96" builtinId="9" hidden="1"/>
    <cellStyle name="Followed Hyperlink" xfId="92" builtinId="9" hidden="1"/>
    <cellStyle name="Followed Hyperlink" xfId="88" builtinId="9" hidden="1"/>
    <cellStyle name="Followed Hyperlink" xfId="84" builtinId="9" hidden="1"/>
    <cellStyle name="Followed Hyperlink" xfId="80" builtinId="9" hidden="1"/>
    <cellStyle name="Followed Hyperlink" xfId="76" builtinId="9" hidden="1"/>
    <cellStyle name="Followed Hyperlink" xfId="72" builtinId="9" hidden="1"/>
    <cellStyle name="Followed Hyperlink" xfId="68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6" builtinId="9" hidden="1"/>
    <cellStyle name="Followed Hyperlink" xfId="64" builtinId="9" hidden="1"/>
    <cellStyle name="Followed Hyperlink" xfId="56" builtinId="9" hidden="1"/>
    <cellStyle name="Followed Hyperlink" xfId="48" builtinId="9" hidden="1"/>
    <cellStyle name="Followed Hyperlink" xfId="40" builtinId="9" hidden="1"/>
    <cellStyle name="Followed Hyperlink" xfId="32" builtinId="9" hidden="1"/>
    <cellStyle name="Followed Hyperlink" xfId="24" builtinId="9" hidden="1"/>
    <cellStyle name="Followed Hyperlink" xfId="12" builtinId="9" hidden="1"/>
    <cellStyle name="Followed Hyperlink" xfId="14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16" builtinId="9" hidden="1"/>
    <cellStyle name="Followed Hyperlink" xfId="8" builtinId="9" hidden="1"/>
    <cellStyle name="Followed Hyperlink" xfId="10" builtinId="9" hidden="1"/>
    <cellStyle name="Followed Hyperlink" xfId="6" builtinId="9" hidden="1"/>
    <cellStyle name="Followed Hyperlink" xfId="4" builtinId="9" hidden="1"/>
    <cellStyle name="Good" xfId="2" builtinId="26"/>
    <cellStyle name="Hyperlink" xfId="97" builtinId="8" hidden="1"/>
    <cellStyle name="Hyperlink" xfId="99" builtinId="8" hidden="1"/>
    <cellStyle name="Hyperlink" xfId="103" builtinId="8" hidden="1"/>
    <cellStyle name="Hyperlink" xfId="105" builtinId="8" hidden="1"/>
    <cellStyle name="Hyperlink" xfId="107" builtinId="8" hidden="1"/>
    <cellStyle name="Hyperlink" xfId="111" builtinId="8" hidden="1"/>
    <cellStyle name="Hyperlink" xfId="113" builtinId="8" hidden="1"/>
    <cellStyle name="Hyperlink" xfId="115" builtinId="8" hidden="1"/>
    <cellStyle name="Hyperlink" xfId="119" builtinId="8" hidden="1"/>
    <cellStyle name="Hyperlink" xfId="121" builtinId="8" hidden="1"/>
    <cellStyle name="Hyperlink" xfId="123" builtinId="8" hidden="1"/>
    <cellStyle name="Hyperlink" xfId="127" builtinId="8" hidden="1"/>
    <cellStyle name="Hyperlink" xfId="129" builtinId="8" hidden="1"/>
    <cellStyle name="Hyperlink" xfId="131" builtinId="8" hidden="1"/>
    <cellStyle name="Hyperlink" xfId="135" builtinId="8" hidden="1"/>
    <cellStyle name="Hyperlink" xfId="137" builtinId="8" hidden="1"/>
    <cellStyle name="Hyperlink" xfId="139" builtinId="8" hidden="1"/>
    <cellStyle name="Hyperlink" xfId="143" builtinId="8" hidden="1"/>
    <cellStyle name="Hyperlink" xfId="145" builtinId="8" hidden="1"/>
    <cellStyle name="Hyperlink" xfId="147" builtinId="8" hidden="1"/>
    <cellStyle name="Hyperlink" xfId="151" builtinId="8" hidden="1"/>
    <cellStyle name="Hyperlink" xfId="153" builtinId="8" hidden="1"/>
    <cellStyle name="Hyperlink" xfId="155" builtinId="8" hidden="1"/>
    <cellStyle name="Hyperlink" xfId="159" builtinId="8" hidden="1"/>
    <cellStyle name="Hyperlink" xfId="161" builtinId="8" hidden="1"/>
    <cellStyle name="Hyperlink" xfId="163" builtinId="8" hidden="1"/>
    <cellStyle name="Hyperlink" xfId="167" builtinId="8" hidden="1"/>
    <cellStyle name="Hyperlink" xfId="169" builtinId="8" hidden="1"/>
    <cellStyle name="Hyperlink" xfId="171" builtinId="8" hidden="1"/>
    <cellStyle name="Hyperlink" xfId="175" builtinId="8" hidden="1"/>
    <cellStyle name="Hyperlink" xfId="177" builtinId="8" hidden="1"/>
    <cellStyle name="Hyperlink" xfId="179" builtinId="8" hidden="1"/>
    <cellStyle name="Hyperlink" xfId="183" builtinId="8" hidden="1"/>
    <cellStyle name="Hyperlink" xfId="185" builtinId="8" hidden="1"/>
    <cellStyle name="Hyperlink" xfId="187" builtinId="8" hidden="1"/>
    <cellStyle name="Hyperlink" xfId="191" builtinId="8" hidden="1"/>
    <cellStyle name="Hyperlink" xfId="193" builtinId="8" hidden="1"/>
    <cellStyle name="Hyperlink" xfId="195" builtinId="8" hidden="1"/>
    <cellStyle name="Hyperlink" xfId="199" builtinId="8" hidden="1"/>
    <cellStyle name="Hyperlink" xfId="201" builtinId="8" hidden="1"/>
    <cellStyle name="Hyperlink" xfId="203" builtinId="8" hidden="1"/>
    <cellStyle name="Hyperlink" xfId="207" builtinId="8" hidden="1"/>
    <cellStyle name="Hyperlink" xfId="205" builtinId="8" hidden="1"/>
    <cellStyle name="Hyperlink" xfId="197" builtinId="8" hidden="1"/>
    <cellStyle name="Hyperlink" xfId="189" builtinId="8" hidden="1"/>
    <cellStyle name="Hyperlink" xfId="181" builtinId="8" hidden="1"/>
    <cellStyle name="Hyperlink" xfId="173" builtinId="8" hidden="1"/>
    <cellStyle name="Hyperlink" xfId="165" builtinId="8" hidden="1"/>
    <cellStyle name="Hyperlink" xfId="157" builtinId="8" hidden="1"/>
    <cellStyle name="Hyperlink" xfId="149" builtinId="8" hidden="1"/>
    <cellStyle name="Hyperlink" xfId="141" builtinId="8" hidden="1"/>
    <cellStyle name="Hyperlink" xfId="133" builtinId="8" hidden="1"/>
    <cellStyle name="Hyperlink" xfId="125" builtinId="8" hidden="1"/>
    <cellStyle name="Hyperlink" xfId="117" builtinId="8" hidden="1"/>
    <cellStyle name="Hyperlink" xfId="109" builtinId="8" hidden="1"/>
    <cellStyle name="Hyperlink" xfId="10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85" builtinId="8" hidden="1"/>
    <cellStyle name="Hyperlink" xfId="69" builtinId="8" hidden="1"/>
    <cellStyle name="Hyperlink" xfId="53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9" builtinId="8" hidden="1"/>
    <cellStyle name="Hyperlink" xfId="41" builtinId="8" hidden="1"/>
    <cellStyle name="Hyperlink" xfId="37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7" builtinId="8" hidden="1"/>
    <cellStyle name="Hyperlink" xfId="9" builtinId="8" hidden="1"/>
    <cellStyle name="Hyperlink" xfId="5" builtinId="8" hidden="1"/>
    <cellStyle name="Hyperlink" xfId="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 - Power Curves @ Te 1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'Calculated Data'!$T$40</c:f>
              <c:strCache>
                <c:ptCount val="1"/>
                <c:pt idx="0">
                  <c:v>Power Curves @ Te 1</c:v>
                </c:pt>
              </c:strCache>
            </c:strRef>
          </c:tx>
          <c:marker>
            <c:symbol val="none"/>
          </c:marker>
          <c:cat>
            <c:numRef>
              <c:f>'Calculated Data'!$AC$42:$AC$66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Data'!$X$42:$X$66</c:f>
              <c:numCache>
                <c:formatCode>General</c:formatCode>
                <c:ptCount val="25"/>
                <c:pt idx="0">
                  <c:v>42.840220121123217</c:v>
                </c:pt>
                <c:pt idx="1">
                  <c:v>60.646047171050562</c:v>
                </c:pt>
                <c:pt idx="2">
                  <c:v>81.538557985457942</c:v>
                </c:pt>
                <c:pt idx="3">
                  <c:v>105.51775256434547</c:v>
                </c:pt>
                <c:pt idx="4">
                  <c:v>132.58363090771306</c:v>
                </c:pt>
                <c:pt idx="5">
                  <c:v>162.73619301556073</c:v>
                </c:pt>
                <c:pt idx="6">
                  <c:v>195.97543888788852</c:v>
                </c:pt>
                <c:pt idx="7">
                  <c:v>232.30136852469641</c:v>
                </c:pt>
                <c:pt idx="8">
                  <c:v>250</c:v>
                </c:pt>
                <c:pt idx="9">
                  <c:v>250</c:v>
                </c:pt>
                <c:pt idx="10">
                  <c:v>250</c:v>
                </c:pt>
                <c:pt idx="11">
                  <c:v>250</c:v>
                </c:pt>
                <c:pt idx="12">
                  <c:v>250</c:v>
                </c:pt>
                <c:pt idx="13">
                  <c:v>250</c:v>
                </c:pt>
                <c:pt idx="14">
                  <c:v>250</c:v>
                </c:pt>
                <c:pt idx="15">
                  <c:v>250</c:v>
                </c:pt>
                <c:pt idx="16">
                  <c:v>250</c:v>
                </c:pt>
                <c:pt idx="17">
                  <c:v>250</c:v>
                </c:pt>
                <c:pt idx="18">
                  <c:v>250</c:v>
                </c:pt>
                <c:pt idx="19">
                  <c:v>250</c:v>
                </c:pt>
                <c:pt idx="20">
                  <c:v>250</c:v>
                </c:pt>
                <c:pt idx="21">
                  <c:v>250</c:v>
                </c:pt>
                <c:pt idx="22">
                  <c:v>250</c:v>
                </c:pt>
                <c:pt idx="23">
                  <c:v>250</c:v>
                </c:pt>
                <c:pt idx="24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29-4FEB-870E-B021ED51F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82240"/>
        <c:axId val="44794624"/>
      </c:lineChart>
      <c:catAx>
        <c:axId val="44682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794624"/>
        <c:crosses val="autoZero"/>
        <c:auto val="1"/>
        <c:lblAlgn val="ctr"/>
        <c:lblOffset val="100"/>
        <c:noMultiLvlLbl val="0"/>
      </c:catAx>
      <c:valAx>
        <c:axId val="44794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6822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 - Power Curves @ Te 10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'Calculated Data'!$T$301</c:f>
              <c:strCache>
                <c:ptCount val="1"/>
                <c:pt idx="0">
                  <c:v>Power Curves @ Te 10</c:v>
                </c:pt>
              </c:strCache>
            </c:strRef>
          </c:tx>
          <c:marker>
            <c:symbol val="none"/>
          </c:marker>
          <c:cat>
            <c:numRef>
              <c:f>'Calculated Data'!$AC$42:$AC$66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Data'!$X$303:$X$327</c:f>
              <c:numCache>
                <c:formatCode>General</c:formatCode>
                <c:ptCount val="25"/>
                <c:pt idx="0">
                  <c:v>9.0518877142186156</c:v>
                </c:pt>
                <c:pt idx="1">
                  <c:v>12.814154730098574</c:v>
                </c:pt>
                <c:pt idx="2">
                  <c:v>17.228619955193579</c:v>
                </c:pt>
                <c:pt idx="3">
                  <c:v>22.295283389503641</c:v>
                </c:pt>
                <c:pt idx="4">
                  <c:v>28.014145033028775</c:v>
                </c:pt>
                <c:pt idx="5">
                  <c:v>34.385204885768957</c:v>
                </c:pt>
                <c:pt idx="6">
                  <c:v>41.408462947724196</c:v>
                </c:pt>
                <c:pt idx="7">
                  <c:v>49.083919218894508</c:v>
                </c:pt>
                <c:pt idx="8">
                  <c:v>57.41157369927982</c:v>
                </c:pt>
                <c:pt idx="9">
                  <c:v>66.391426388880262</c:v>
                </c:pt>
                <c:pt idx="10">
                  <c:v>76.023477287695698</c:v>
                </c:pt>
                <c:pt idx="11">
                  <c:v>86.30772639572622</c:v>
                </c:pt>
                <c:pt idx="12">
                  <c:v>97.244173712971801</c:v>
                </c:pt>
                <c:pt idx="13">
                  <c:v>108.83281923943244</c:v>
                </c:pt>
                <c:pt idx="14">
                  <c:v>121.07366297510816</c:v>
                </c:pt>
                <c:pt idx="15">
                  <c:v>133.96670491999888</c:v>
                </c:pt>
                <c:pt idx="16">
                  <c:v>147.51194507410469</c:v>
                </c:pt>
                <c:pt idx="17">
                  <c:v>161.70938343742557</c:v>
                </c:pt>
                <c:pt idx="18">
                  <c:v>176.55902000996147</c:v>
                </c:pt>
                <c:pt idx="19">
                  <c:v>192.06085479171253</c:v>
                </c:pt>
                <c:pt idx="20">
                  <c:v>208.21488778267846</c:v>
                </c:pt>
                <c:pt idx="21">
                  <c:v>225.02111898285955</c:v>
                </c:pt>
                <c:pt idx="22">
                  <c:v>242.47954839225568</c:v>
                </c:pt>
                <c:pt idx="23">
                  <c:v>250</c:v>
                </c:pt>
                <c:pt idx="24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EA-42BB-8433-60F470FB5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666240"/>
        <c:axId val="62667776"/>
      </c:lineChart>
      <c:catAx>
        <c:axId val="62666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2667776"/>
        <c:crosses val="autoZero"/>
        <c:auto val="1"/>
        <c:lblAlgn val="ctr"/>
        <c:lblOffset val="100"/>
        <c:noMultiLvlLbl val="0"/>
      </c:catAx>
      <c:valAx>
        <c:axId val="62667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26662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 - Power Curves @ Te 11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'Calculated Data'!$T$330</c:f>
              <c:strCache>
                <c:ptCount val="1"/>
                <c:pt idx="0">
                  <c:v>Power Curves @ Te 11</c:v>
                </c:pt>
              </c:strCache>
            </c:strRef>
          </c:tx>
          <c:marker>
            <c:symbol val="none"/>
          </c:marker>
          <c:cat>
            <c:numRef>
              <c:f>'Calculated Data'!$AC$42:$AC$66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Data'!$X$332:$X$356</c:f>
              <c:numCache>
                <c:formatCode>General</c:formatCode>
                <c:ptCount val="25"/>
                <c:pt idx="0">
                  <c:v>7.3907895124625549</c:v>
                </c:pt>
                <c:pt idx="1">
                  <c:v>10.462648607706502</c:v>
                </c:pt>
                <c:pt idx="2">
                  <c:v>14.067022006805752</c:v>
                </c:pt>
                <c:pt idx="3">
                  <c:v>18.203909709760296</c:v>
                </c:pt>
                <c:pt idx="4">
                  <c:v>22.873311716570147</c:v>
                </c:pt>
                <c:pt idx="5">
                  <c:v>28.075228027235315</c:v>
                </c:pt>
                <c:pt idx="6">
                  <c:v>33.809658641755767</c:v>
                </c:pt>
                <c:pt idx="7">
                  <c:v>40.076603560131545</c:v>
                </c:pt>
                <c:pt idx="8">
                  <c:v>46.876062782362595</c:v>
                </c:pt>
                <c:pt idx="9">
                  <c:v>54.208036308448989</c:v>
                </c:pt>
                <c:pt idx="10">
                  <c:v>62.072524138390641</c:v>
                </c:pt>
                <c:pt idx="11">
                  <c:v>70.469526272187622</c:v>
                </c:pt>
                <c:pt idx="12">
                  <c:v>79.399042709839904</c:v>
                </c:pt>
                <c:pt idx="13">
                  <c:v>88.861073451347494</c:v>
                </c:pt>
                <c:pt idx="14">
                  <c:v>98.85561849671042</c:v>
                </c:pt>
                <c:pt idx="15">
                  <c:v>109.38267784592858</c:v>
                </c:pt>
                <c:pt idx="16">
                  <c:v>120.44225149900208</c:v>
                </c:pt>
                <c:pt idx="17">
                  <c:v>132.0343394559309</c:v>
                </c:pt>
                <c:pt idx="18">
                  <c:v>144.15894171671499</c:v>
                </c:pt>
                <c:pt idx="19">
                  <c:v>156.8160582813544</c:v>
                </c:pt>
                <c:pt idx="20">
                  <c:v>170.00568914984908</c:v>
                </c:pt>
                <c:pt idx="21">
                  <c:v>183.7278343221991</c:v>
                </c:pt>
                <c:pt idx="22">
                  <c:v>197.98249379840442</c:v>
                </c:pt>
                <c:pt idx="23">
                  <c:v>212.76966757846509</c:v>
                </c:pt>
                <c:pt idx="24">
                  <c:v>228.08935566238097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DF-468A-8389-72FC8BA3F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680064"/>
        <c:axId val="62702336"/>
      </c:lineChart>
      <c:catAx>
        <c:axId val="62680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2702336"/>
        <c:crosses val="autoZero"/>
        <c:auto val="1"/>
        <c:lblAlgn val="ctr"/>
        <c:lblOffset val="100"/>
        <c:noMultiLvlLbl val="0"/>
      </c:catAx>
      <c:valAx>
        <c:axId val="62702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26800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 - Power Curves @ Te 12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'Calculated Data'!$T$359</c:f>
              <c:strCache>
                <c:ptCount val="1"/>
                <c:pt idx="0">
                  <c:v>Power Curves @ Te 12</c:v>
                </c:pt>
              </c:strCache>
            </c:strRef>
          </c:tx>
          <c:marker>
            <c:symbol val="none"/>
          </c:marker>
          <c:cat>
            <c:numRef>
              <c:f>'Calculated Data'!$AC$42:$AC$66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Data'!$X$361:$X$385</c:f>
              <c:numCache>
                <c:formatCode>General</c:formatCode>
                <c:ptCount val="25"/>
                <c:pt idx="0">
                  <c:v>6.1576437264793604</c:v>
                </c:pt>
                <c:pt idx="1">
                  <c:v>8.7169662257281537</c:v>
                </c:pt>
                <c:pt idx="2">
                  <c:v>11.7199535535945</c:v>
                </c:pt>
                <c:pt idx="3">
                  <c:v>15.166605710078404</c:v>
                </c:pt>
                <c:pt idx="4">
                  <c:v>19.056922695179871</c:v>
                </c:pt>
                <c:pt idx="5">
                  <c:v>23.390904508898888</c:v>
                </c:pt>
                <c:pt idx="6">
                  <c:v>28.168551151235459</c:v>
                </c:pt>
                <c:pt idx="7">
                  <c:v>33.389862622189604</c:v>
                </c:pt>
                <c:pt idx="8">
                  <c:v>39.054838921761274</c:v>
                </c:pt>
                <c:pt idx="9">
                  <c:v>45.163480049950529</c:v>
                </c:pt>
                <c:pt idx="10">
                  <c:v>51.71578600675732</c:v>
                </c:pt>
                <c:pt idx="11">
                  <c:v>58.711756792181681</c:v>
                </c:pt>
                <c:pt idx="12">
                  <c:v>66.151392406223579</c:v>
                </c:pt>
                <c:pt idx="13">
                  <c:v>74.034692848883068</c:v>
                </c:pt>
                <c:pt idx="14">
                  <c:v>82.361658120160101</c:v>
                </c:pt>
                <c:pt idx="15">
                  <c:v>91.132288220054704</c:v>
                </c:pt>
                <c:pt idx="16">
                  <c:v>100.34658314856682</c:v>
                </c:pt>
                <c:pt idx="17">
                  <c:v>110.00454290569654</c:v>
                </c:pt>
                <c:pt idx="18">
                  <c:v>120.10616749144377</c:v>
                </c:pt>
                <c:pt idx="19">
                  <c:v>130.6514569058086</c:v>
                </c:pt>
                <c:pt idx="20">
                  <c:v>141.64041114879097</c:v>
                </c:pt>
                <c:pt idx="21">
                  <c:v>153.07303022039085</c:v>
                </c:pt>
                <c:pt idx="22">
                  <c:v>164.94931412060834</c:v>
                </c:pt>
                <c:pt idx="23">
                  <c:v>177.26926284944338</c:v>
                </c:pt>
                <c:pt idx="24">
                  <c:v>190.03287640689601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65-464A-B6EF-D1C0046C9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718720"/>
        <c:axId val="62720256"/>
      </c:lineChart>
      <c:catAx>
        <c:axId val="62718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2720256"/>
        <c:crosses val="autoZero"/>
        <c:auto val="1"/>
        <c:lblAlgn val="ctr"/>
        <c:lblOffset val="100"/>
        <c:noMultiLvlLbl val="0"/>
      </c:catAx>
      <c:valAx>
        <c:axId val="62720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27187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 - Power Curves @ Te 13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'Calculated Data'!$T$388</c:f>
              <c:strCache>
                <c:ptCount val="1"/>
                <c:pt idx="0">
                  <c:v>Power Curves @ Te 13</c:v>
                </c:pt>
              </c:strCache>
            </c:strRef>
          </c:tx>
          <c:marker>
            <c:symbol val="none"/>
          </c:marker>
          <c:cat>
            <c:numRef>
              <c:f>'Calculated Data'!$AC$42:$AC$66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Data'!$X$390:$X$414</c:f>
              <c:numCache>
                <c:formatCode>General</c:formatCode>
                <c:ptCount val="25"/>
                <c:pt idx="0">
                  <c:v>5.2148463899525295</c:v>
                </c:pt>
                <c:pt idx="1">
                  <c:v>7.3823108112113918</c:v>
                </c:pt>
                <c:pt idx="2">
                  <c:v>9.9255105027516368</c:v>
                </c:pt>
                <c:pt idx="3">
                  <c:v>12.84444546457326</c:v>
                </c:pt>
                <c:pt idx="4">
                  <c:v>16.139115696676267</c:v>
                </c:pt>
                <c:pt idx="5">
                  <c:v>19.809521199060647</c:v>
                </c:pt>
                <c:pt idx="6">
                  <c:v>23.855661971726413</c:v>
                </c:pt>
                <c:pt idx="7">
                  <c:v>28.277538014673571</c:v>
                </c:pt>
                <c:pt idx="8">
                  <c:v>33.075149327902089</c:v>
                </c:pt>
                <c:pt idx="9">
                  <c:v>38.248495911412</c:v>
                </c:pt>
                <c:pt idx="10">
                  <c:v>43.797577765203279</c:v>
                </c:pt>
                <c:pt idx="11">
                  <c:v>49.722394889275982</c:v>
                </c:pt>
                <c:pt idx="12">
                  <c:v>56.022947283630018</c:v>
                </c:pt>
                <c:pt idx="13">
                  <c:v>62.69923494826547</c:v>
                </c:pt>
                <c:pt idx="14">
                  <c:v>69.751257883182291</c:v>
                </c:pt>
                <c:pt idx="15">
                  <c:v>77.179016088380479</c:v>
                </c:pt>
                <c:pt idx="16">
                  <c:v>84.982509563860049</c:v>
                </c:pt>
                <c:pt idx="17">
                  <c:v>93.161738309621001</c:v>
                </c:pt>
                <c:pt idx="18">
                  <c:v>101.71670232566333</c:v>
                </c:pt>
                <c:pt idx="19">
                  <c:v>110.64740161198706</c:v>
                </c:pt>
                <c:pt idx="20">
                  <c:v>119.95383616859216</c:v>
                </c:pt>
                <c:pt idx="21">
                  <c:v>129.63600599547865</c:v>
                </c:pt>
                <c:pt idx="22">
                  <c:v>139.69391109264646</c:v>
                </c:pt>
                <c:pt idx="23">
                  <c:v>150.12755146009576</c:v>
                </c:pt>
                <c:pt idx="24">
                  <c:v>160.93692709782633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E9-4444-9AB1-4970751EE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757120"/>
        <c:axId val="62763008"/>
      </c:lineChart>
      <c:catAx>
        <c:axId val="62757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2763008"/>
        <c:crosses val="autoZero"/>
        <c:auto val="1"/>
        <c:lblAlgn val="ctr"/>
        <c:lblOffset val="100"/>
        <c:noMultiLvlLbl val="0"/>
      </c:catAx>
      <c:valAx>
        <c:axId val="62763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27571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 - Power Curves @ Te 14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'Calculated Data'!$T$417</c:f>
              <c:strCache>
                <c:ptCount val="1"/>
                <c:pt idx="0">
                  <c:v>Power Curves @ Te 14</c:v>
                </c:pt>
              </c:strCache>
            </c:strRef>
          </c:tx>
          <c:marker>
            <c:symbol val="none"/>
          </c:marker>
          <c:cat>
            <c:numRef>
              <c:f>'Calculated Data'!$AC$42:$AC$66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Data'!$X$419:$X$443</c:f>
              <c:numCache>
                <c:formatCode>General</c:formatCode>
                <c:ptCount val="25"/>
                <c:pt idx="0">
                  <c:v>4.4766131877371649</c:v>
                </c:pt>
                <c:pt idx="1">
                  <c:v>6.3372432210307945</c:v>
                </c:pt>
                <c:pt idx="2">
                  <c:v>8.5204180313441977</c:v>
                </c:pt>
                <c:pt idx="3">
                  <c:v>11.026137618677371</c:v>
                </c:pt>
                <c:pt idx="4">
                  <c:v>13.85440198303033</c:v>
                </c:pt>
                <c:pt idx="5">
                  <c:v>17.005211124403054</c:v>
                </c:pt>
                <c:pt idx="6">
                  <c:v>20.478565042795566</c:v>
                </c:pt>
                <c:pt idx="7">
                  <c:v>24.274463738207842</c:v>
                </c:pt>
                <c:pt idx="8">
                  <c:v>28.392907210639887</c:v>
                </c:pt>
                <c:pt idx="9">
                  <c:v>32.833895460091725</c:v>
                </c:pt>
                <c:pt idx="10">
                  <c:v>37.597428486563317</c:v>
                </c:pt>
                <c:pt idx="11">
                  <c:v>42.683506290054709</c:v>
                </c:pt>
                <c:pt idx="12">
                  <c:v>48.092128870565851</c:v>
                </c:pt>
                <c:pt idx="13">
                  <c:v>53.823296228096787</c:v>
                </c:pt>
                <c:pt idx="14">
                  <c:v>59.877008362647494</c:v>
                </c:pt>
                <c:pt idx="15">
                  <c:v>66.253265274217995</c:v>
                </c:pt>
                <c:pt idx="16">
                  <c:v>72.952066962808232</c:v>
                </c:pt>
                <c:pt idx="17">
                  <c:v>79.97341342841824</c:v>
                </c:pt>
                <c:pt idx="18">
                  <c:v>87.317304671048063</c:v>
                </c:pt>
                <c:pt idx="19">
                  <c:v>94.983740690697658</c:v>
                </c:pt>
                <c:pt idx="20">
                  <c:v>102.97272148736702</c:v>
                </c:pt>
                <c:pt idx="21">
                  <c:v>111.28424706105613</c:v>
                </c:pt>
                <c:pt idx="22">
                  <c:v>119.91831741176502</c:v>
                </c:pt>
                <c:pt idx="23">
                  <c:v>128.87493253949376</c:v>
                </c:pt>
                <c:pt idx="24">
                  <c:v>138.1540924442422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66-4B79-B81D-4C0BCE8B7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779776"/>
        <c:axId val="62781312"/>
      </c:lineChart>
      <c:catAx>
        <c:axId val="62779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2781312"/>
        <c:crosses val="autoZero"/>
        <c:auto val="1"/>
        <c:lblAlgn val="ctr"/>
        <c:lblOffset val="100"/>
        <c:noMultiLvlLbl val="0"/>
      </c:catAx>
      <c:valAx>
        <c:axId val="62781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27797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 - Power Curves @ Te 15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'Calculated Data'!$T$446</c:f>
              <c:strCache>
                <c:ptCount val="1"/>
                <c:pt idx="0">
                  <c:v>Power Curves @ Te 15</c:v>
                </c:pt>
              </c:strCache>
            </c:strRef>
          </c:tx>
          <c:marker>
            <c:symbol val="none"/>
          </c:marker>
          <c:cat>
            <c:numRef>
              <c:f>'Calculated Data'!$AC$42:$AC$66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Data'!$X$448:$X$472</c:f>
              <c:numCache>
                <c:formatCode>General</c:formatCode>
                <c:ptCount val="25"/>
                <c:pt idx="0">
                  <c:v>3.887002771093961</c:v>
                </c:pt>
                <c:pt idx="1">
                  <c:v>5.5025710125503426</c:v>
                </c:pt>
                <c:pt idx="2">
                  <c:v>7.3982019687197393</c:v>
                </c:pt>
                <c:pt idx="3">
                  <c:v>9.5738956396021475</c:v>
                </c:pt>
                <c:pt idx="4">
                  <c:v>12.029652025197569</c:v>
                </c:pt>
                <c:pt idx="5">
                  <c:v>14.765471125506011</c:v>
                </c:pt>
                <c:pt idx="6">
                  <c:v>17.781352940527455</c:v>
                </c:pt>
                <c:pt idx="7">
                  <c:v>21.077297470261929</c:v>
                </c:pt>
                <c:pt idx="8">
                  <c:v>24.6533047147094</c:v>
                </c:pt>
                <c:pt idx="9">
                  <c:v>28.509374673869907</c:v>
                </c:pt>
                <c:pt idx="10">
                  <c:v>32.645507347743397</c:v>
                </c:pt>
                <c:pt idx="11">
                  <c:v>37.061702736329941</c:v>
                </c:pt>
                <c:pt idx="12">
                  <c:v>41.757960839629455</c:v>
                </c:pt>
                <c:pt idx="13">
                  <c:v>46.734281657642022</c:v>
                </c:pt>
                <c:pt idx="14">
                  <c:v>51.990665190367601</c:v>
                </c:pt>
                <c:pt idx="15">
                  <c:v>57.52711143780617</c:v>
                </c:pt>
                <c:pt idx="16">
                  <c:v>63.34362039995775</c:v>
                </c:pt>
                <c:pt idx="17">
                  <c:v>69.440192076822328</c:v>
                </c:pt>
                <c:pt idx="18">
                  <c:v>75.816826468399981</c:v>
                </c:pt>
                <c:pt idx="19">
                  <c:v>82.473523574690645</c:v>
                </c:pt>
                <c:pt idx="20">
                  <c:v>89.410283395694265</c:v>
                </c:pt>
                <c:pt idx="21">
                  <c:v>96.627105931410895</c:v>
                </c:pt>
                <c:pt idx="22">
                  <c:v>104.12399118184057</c:v>
                </c:pt>
                <c:pt idx="23">
                  <c:v>111.9009391469833</c:v>
                </c:pt>
                <c:pt idx="24">
                  <c:v>119.95794982683897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F6-4054-A7AF-22606875B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826752"/>
        <c:axId val="62828544"/>
      </c:lineChart>
      <c:catAx>
        <c:axId val="6282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2828544"/>
        <c:crosses val="autoZero"/>
        <c:auto val="1"/>
        <c:lblAlgn val="ctr"/>
        <c:lblOffset val="100"/>
        <c:noMultiLvlLbl val="0"/>
      </c:catAx>
      <c:valAx>
        <c:axId val="62828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28267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 - Power Curves @ Te 16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'Calculated Data'!$T$475</c:f>
              <c:strCache>
                <c:ptCount val="1"/>
                <c:pt idx="0">
                  <c:v>Power Curves @ Te 16</c:v>
                </c:pt>
              </c:strCache>
            </c:strRef>
          </c:tx>
          <c:marker>
            <c:symbol val="none"/>
          </c:marker>
          <c:cat>
            <c:numRef>
              <c:f>'Calculated Data'!$AC$42:$AC$66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Data'!$X$477:$X$501</c:f>
              <c:numCache>
                <c:formatCode>General</c:formatCode>
                <c:ptCount val="25"/>
                <c:pt idx="0">
                  <c:v>3.408165620500248</c:v>
                </c:pt>
                <c:pt idx="1">
                  <c:v>4.8247131411376056</c:v>
                </c:pt>
                <c:pt idx="2">
                  <c:v>6.4868226466974024</c:v>
                </c:pt>
                <c:pt idx="3">
                  <c:v>8.39449413717964</c:v>
                </c:pt>
                <c:pt idx="4">
                  <c:v>10.547727612584321</c:v>
                </c:pt>
                <c:pt idx="5">
                  <c:v>12.946523072911441</c:v>
                </c:pt>
                <c:pt idx="6">
                  <c:v>15.590880518161004</c:v>
                </c:pt>
                <c:pt idx="7">
                  <c:v>18.480799948333011</c:v>
                </c:pt>
                <c:pt idx="8">
                  <c:v>21.616281363427454</c:v>
                </c:pt>
                <c:pt idx="9">
                  <c:v>24.997324763444343</c:v>
                </c:pt>
                <c:pt idx="10">
                  <c:v>28.623930148383664</c:v>
                </c:pt>
                <c:pt idx="11">
                  <c:v>32.496097518245442</c:v>
                </c:pt>
                <c:pt idx="12">
                  <c:v>36.613826873029645</c:v>
                </c:pt>
                <c:pt idx="13">
                  <c:v>40.977118212736315</c:v>
                </c:pt>
                <c:pt idx="14">
                  <c:v>45.58597153736541</c:v>
                </c:pt>
                <c:pt idx="15">
                  <c:v>50.440386846916958</c:v>
                </c:pt>
                <c:pt idx="16">
                  <c:v>55.540364141390938</c:v>
                </c:pt>
                <c:pt idx="17">
                  <c:v>60.885903420787336</c:v>
                </c:pt>
                <c:pt idx="18">
                  <c:v>66.477004685106195</c:v>
                </c:pt>
                <c:pt idx="19">
                  <c:v>72.313667934347507</c:v>
                </c:pt>
                <c:pt idx="20">
                  <c:v>78.39589316851125</c:v>
                </c:pt>
                <c:pt idx="21">
                  <c:v>84.723680387597426</c:v>
                </c:pt>
                <c:pt idx="22">
                  <c:v>91.297029591606019</c:v>
                </c:pt>
                <c:pt idx="23">
                  <c:v>98.11594078053713</c:v>
                </c:pt>
                <c:pt idx="24">
                  <c:v>105.1804139543906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92-40AC-96F4-AAC8B21B6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918656"/>
        <c:axId val="62920192"/>
      </c:lineChart>
      <c:catAx>
        <c:axId val="62918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2920192"/>
        <c:crosses val="autoZero"/>
        <c:auto val="1"/>
        <c:lblAlgn val="ctr"/>
        <c:lblOffset val="100"/>
        <c:noMultiLvlLbl val="0"/>
      </c:catAx>
      <c:valAx>
        <c:axId val="62920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29186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 - Power Curves @ Te 17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'Calculated Data'!$T$504</c:f>
              <c:strCache>
                <c:ptCount val="1"/>
                <c:pt idx="0">
                  <c:v>Power Curves @ Te 17</c:v>
                </c:pt>
              </c:strCache>
            </c:strRef>
          </c:tx>
          <c:marker>
            <c:symbol val="none"/>
          </c:marker>
          <c:cat>
            <c:numRef>
              <c:f>'Calculated Data'!$AC$42:$AC$66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Data'!$X$506:$X$530</c:f>
              <c:numCache>
                <c:formatCode>General</c:formatCode>
                <c:ptCount val="25"/>
                <c:pt idx="0">
                  <c:v>3.0136934001421434</c:v>
                </c:pt>
                <c:pt idx="1">
                  <c:v>4.2662850841419102</c:v>
                </c:pt>
                <c:pt idx="2">
                  <c:v>5.7360166068969152</c:v>
                </c:pt>
                <c:pt idx="3">
                  <c:v>7.4228879684071547</c:v>
                </c:pt>
                <c:pt idx="4">
                  <c:v>9.3268991686726341</c:v>
                </c:pt>
                <c:pt idx="5">
                  <c:v>11.448050207693347</c:v>
                </c:pt>
                <c:pt idx="6">
                  <c:v>13.786341085469303</c:v>
                </c:pt>
                <c:pt idx="7">
                  <c:v>16.341771802000494</c:v>
                </c:pt>
                <c:pt idx="8">
                  <c:v>19.114342357286915</c:v>
                </c:pt>
                <c:pt idx="9">
                  <c:v>22.104052751328584</c:v>
                </c:pt>
                <c:pt idx="10">
                  <c:v>25.31090298412548</c:v>
                </c:pt>
                <c:pt idx="11">
                  <c:v>28.734893055677617</c:v>
                </c:pt>
                <c:pt idx="12">
                  <c:v>32.376022965984994</c:v>
                </c:pt>
                <c:pt idx="13">
                  <c:v>36.234292715047594</c:v>
                </c:pt>
                <c:pt idx="14">
                  <c:v>40.30970230286546</c:v>
                </c:pt>
                <c:pt idx="15">
                  <c:v>44.602251729438557</c:v>
                </c:pt>
                <c:pt idx="16">
                  <c:v>49.111940994766861</c:v>
                </c:pt>
                <c:pt idx="17">
                  <c:v>53.838770098850425</c:v>
                </c:pt>
                <c:pt idx="18">
                  <c:v>58.782739041689226</c:v>
                </c:pt>
                <c:pt idx="19">
                  <c:v>63.943847823283257</c:v>
                </c:pt>
                <c:pt idx="20">
                  <c:v>69.322096443632532</c:v>
                </c:pt>
                <c:pt idx="21">
                  <c:v>74.917484902737016</c:v>
                </c:pt>
                <c:pt idx="22">
                  <c:v>80.730013200596758</c:v>
                </c:pt>
                <c:pt idx="23">
                  <c:v>86.759681337211774</c:v>
                </c:pt>
                <c:pt idx="24">
                  <c:v>93.006489312581976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05-4BBA-A18C-6FDF1342E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944768"/>
        <c:axId val="62946304"/>
      </c:lineChart>
      <c:catAx>
        <c:axId val="62944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2946304"/>
        <c:crosses val="autoZero"/>
        <c:auto val="1"/>
        <c:lblAlgn val="ctr"/>
        <c:lblOffset val="100"/>
        <c:noMultiLvlLbl val="0"/>
      </c:catAx>
      <c:valAx>
        <c:axId val="62946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29447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 - Power Curves @ Te 18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'Calculated Data'!$T$533</c:f>
              <c:strCache>
                <c:ptCount val="1"/>
                <c:pt idx="0">
                  <c:v>Power Curves @ Te 18</c:v>
                </c:pt>
              </c:strCache>
            </c:strRef>
          </c:tx>
          <c:marker>
            <c:symbol val="none"/>
          </c:marker>
          <c:cat>
            <c:numRef>
              <c:f>'Calculated Data'!$AC$42:$AC$66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Data'!$X$535:$X$559</c:f>
              <c:numCache>
                <c:formatCode>General</c:formatCode>
                <c:ptCount val="25"/>
                <c:pt idx="0">
                  <c:v>2.6846738762607596</c:v>
                </c:pt>
                <c:pt idx="1">
                  <c:v>3.8005140514746825</c:v>
                </c:pt>
                <c:pt idx="2">
                  <c:v>5.1097878561925745</c:v>
                </c:pt>
                <c:pt idx="3">
                  <c:v>6.6124952904144374</c:v>
                </c:pt>
                <c:pt idx="4">
                  <c:v>8.3086363541402726</c:v>
                </c:pt>
                <c:pt idx="5">
                  <c:v>10.19821104737008</c:v>
                </c:pt>
                <c:pt idx="6">
                  <c:v>12.281219370103857</c:v>
                </c:pt>
                <c:pt idx="7">
                  <c:v>14.557661322341604</c:v>
                </c:pt>
                <c:pt idx="8">
                  <c:v>17.027536904083323</c:v>
                </c:pt>
                <c:pt idx="9">
                  <c:v>19.690846115329016</c:v>
                </c:pt>
                <c:pt idx="10">
                  <c:v>22.54758895607868</c:v>
                </c:pt>
                <c:pt idx="11">
                  <c:v>25.597765426332316</c:v>
                </c:pt>
                <c:pt idx="12">
                  <c:v>28.841375526089923</c:v>
                </c:pt>
                <c:pt idx="13">
                  <c:v>32.278419255351501</c:v>
                </c:pt>
                <c:pt idx="14">
                  <c:v>35.90889661411704</c:v>
                </c:pt>
                <c:pt idx="15">
                  <c:v>39.732807602386565</c:v>
                </c:pt>
                <c:pt idx="16">
                  <c:v>43.750152220160047</c:v>
                </c:pt>
                <c:pt idx="17">
                  <c:v>47.960930467437514</c:v>
                </c:pt>
                <c:pt idx="18">
                  <c:v>52.365142344218938</c:v>
                </c:pt>
                <c:pt idx="19">
                  <c:v>56.96278785050437</c:v>
                </c:pt>
                <c:pt idx="20">
                  <c:v>61.753866986293723</c:v>
                </c:pt>
                <c:pt idx="21">
                  <c:v>66.738379751587061</c:v>
                </c:pt>
                <c:pt idx="22">
                  <c:v>71.916326146384364</c:v>
                </c:pt>
                <c:pt idx="23">
                  <c:v>77.287706170685681</c:v>
                </c:pt>
                <c:pt idx="24">
                  <c:v>82.85251982449094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72-4C35-9B5D-08857216B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978688"/>
        <c:axId val="62984576"/>
      </c:lineChart>
      <c:catAx>
        <c:axId val="62978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2984576"/>
        <c:crosses val="autoZero"/>
        <c:auto val="1"/>
        <c:lblAlgn val="ctr"/>
        <c:lblOffset val="100"/>
        <c:noMultiLvlLbl val="0"/>
      </c:catAx>
      <c:valAx>
        <c:axId val="629845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29786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 - Power Curves @ Te 19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'Calculated Data'!$T$562</c:f>
              <c:strCache>
                <c:ptCount val="1"/>
                <c:pt idx="0">
                  <c:v>Power Curves @ Te 19</c:v>
                </c:pt>
              </c:strCache>
            </c:strRef>
          </c:tx>
          <c:marker>
            <c:symbol val="none"/>
          </c:marker>
          <c:cat>
            <c:numRef>
              <c:f>'Calculated Data'!$AC$42:$AC$66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Data'!$X$564:$X$588</c:f>
              <c:numCache>
                <c:formatCode>General</c:formatCode>
                <c:ptCount val="25"/>
                <c:pt idx="0">
                  <c:v>2.4072563332706181</c:v>
                </c:pt>
                <c:pt idx="1">
                  <c:v>3.4077925073115236</c:v>
                </c:pt>
                <c:pt idx="2">
                  <c:v>4.581774079621626</c:v>
                </c:pt>
                <c:pt idx="3">
                  <c:v>5.9292010502009278</c:v>
                </c:pt>
                <c:pt idx="4">
                  <c:v>7.4500734190494251</c:v>
                </c:pt>
                <c:pt idx="5">
                  <c:v>9.1443911861671197</c:v>
                </c:pt>
                <c:pt idx="6">
                  <c:v>11.012154351554011</c:v>
                </c:pt>
                <c:pt idx="7">
                  <c:v>13.053362915210103</c:v>
                </c:pt>
                <c:pt idx="8">
                  <c:v>15.268016877135386</c:v>
                </c:pt>
                <c:pt idx="9">
                  <c:v>17.656116237329872</c:v>
                </c:pt>
                <c:pt idx="10">
                  <c:v>20.217660995793551</c:v>
                </c:pt>
                <c:pt idx="11">
                  <c:v>22.952651152526428</c:v>
                </c:pt>
                <c:pt idx="12">
                  <c:v>25.8610867075285</c:v>
                </c:pt>
                <c:pt idx="13">
                  <c:v>28.942967660799773</c:v>
                </c:pt>
                <c:pt idx="14">
                  <c:v>32.198294012340241</c:v>
                </c:pt>
                <c:pt idx="15">
                  <c:v>35.627065762149918</c:v>
                </c:pt>
                <c:pt idx="16">
                  <c:v>39.229282910228783</c:v>
                </c:pt>
                <c:pt idx="17">
                  <c:v>43.004945456576834</c:v>
                </c:pt>
                <c:pt idx="18">
                  <c:v>46.954053401194102</c:v>
                </c:pt>
                <c:pt idx="19">
                  <c:v>51.076606744080564</c:v>
                </c:pt>
                <c:pt idx="20">
                  <c:v>55.372605485236221</c:v>
                </c:pt>
                <c:pt idx="21">
                  <c:v>59.842049624661037</c:v>
                </c:pt>
                <c:pt idx="22">
                  <c:v>64.484939162355076</c:v>
                </c:pt>
                <c:pt idx="23">
                  <c:v>69.301274098318345</c:v>
                </c:pt>
                <c:pt idx="24">
                  <c:v>74.291054432550808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50-4831-9247-1ED02962D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005056"/>
        <c:axId val="63006592"/>
      </c:lineChart>
      <c:catAx>
        <c:axId val="63005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3006592"/>
        <c:crosses val="autoZero"/>
        <c:auto val="1"/>
        <c:lblAlgn val="ctr"/>
        <c:lblOffset val="100"/>
        <c:noMultiLvlLbl val="0"/>
      </c:catAx>
      <c:valAx>
        <c:axId val="63006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30050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 - Power Curves @ Te 2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'Calculated Data'!$T$69</c:f>
              <c:strCache>
                <c:ptCount val="1"/>
                <c:pt idx="0">
                  <c:v>Power Curves @ Te 2</c:v>
                </c:pt>
              </c:strCache>
            </c:strRef>
          </c:tx>
          <c:marker>
            <c:symbol val="none"/>
          </c:marker>
          <c:cat>
            <c:numRef>
              <c:f>'Calculated Data'!$AC$42:$AC$66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Data'!$X$71:$X$95</c:f>
              <c:numCache>
                <c:formatCode>General</c:formatCode>
                <c:ptCount val="25"/>
                <c:pt idx="0">
                  <c:v>250</c:v>
                </c:pt>
                <c:pt idx="1">
                  <c:v>250</c:v>
                </c:pt>
                <c:pt idx="2">
                  <c:v>250</c:v>
                </c:pt>
                <c:pt idx="3">
                  <c:v>250</c:v>
                </c:pt>
                <c:pt idx="4">
                  <c:v>250</c:v>
                </c:pt>
                <c:pt idx="5">
                  <c:v>250</c:v>
                </c:pt>
                <c:pt idx="6">
                  <c:v>250</c:v>
                </c:pt>
                <c:pt idx="7">
                  <c:v>250</c:v>
                </c:pt>
                <c:pt idx="8">
                  <c:v>250</c:v>
                </c:pt>
                <c:pt idx="9">
                  <c:v>250</c:v>
                </c:pt>
                <c:pt idx="10">
                  <c:v>250</c:v>
                </c:pt>
                <c:pt idx="11">
                  <c:v>250</c:v>
                </c:pt>
                <c:pt idx="12">
                  <c:v>250</c:v>
                </c:pt>
                <c:pt idx="13">
                  <c:v>250</c:v>
                </c:pt>
                <c:pt idx="14">
                  <c:v>250</c:v>
                </c:pt>
                <c:pt idx="15">
                  <c:v>250</c:v>
                </c:pt>
                <c:pt idx="16">
                  <c:v>250</c:v>
                </c:pt>
                <c:pt idx="17">
                  <c:v>250</c:v>
                </c:pt>
                <c:pt idx="18">
                  <c:v>250</c:v>
                </c:pt>
                <c:pt idx="19">
                  <c:v>250</c:v>
                </c:pt>
                <c:pt idx="20">
                  <c:v>250</c:v>
                </c:pt>
                <c:pt idx="21">
                  <c:v>250</c:v>
                </c:pt>
                <c:pt idx="22">
                  <c:v>250</c:v>
                </c:pt>
                <c:pt idx="23">
                  <c:v>250</c:v>
                </c:pt>
                <c:pt idx="24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32-4027-84CA-3D54A1DEA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815488"/>
        <c:axId val="44817024"/>
      </c:lineChart>
      <c:catAx>
        <c:axId val="44815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817024"/>
        <c:crosses val="autoZero"/>
        <c:auto val="1"/>
        <c:lblAlgn val="ctr"/>
        <c:lblOffset val="100"/>
        <c:noMultiLvlLbl val="0"/>
      </c:catAx>
      <c:valAx>
        <c:axId val="44817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8154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 - Power Curves @ Te 20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'Calculated Data'!$T$591</c:f>
              <c:strCache>
                <c:ptCount val="1"/>
                <c:pt idx="0">
                  <c:v>Power Curves @ Te 20</c:v>
                </c:pt>
              </c:strCache>
            </c:strRef>
          </c:tx>
          <c:marker>
            <c:symbol val="none"/>
          </c:marker>
          <c:cat>
            <c:numRef>
              <c:f>'Calculated Data'!$AC$42:$AC$66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Data'!$X$593:$X$617</c:f>
              <c:numCache>
                <c:formatCode>General</c:formatCode>
                <c:ptCount val="25"/>
                <c:pt idx="0">
                  <c:v>2.1710975486778801</c:v>
                </c:pt>
                <c:pt idx="1">
                  <c:v>3.0734782402565015</c:v>
                </c:pt>
                <c:pt idx="2">
                  <c:v>4.1322888366222426</c:v>
                </c:pt>
                <c:pt idx="3">
                  <c:v>5.347529337775101</c:v>
                </c:pt>
                <c:pt idx="4">
                  <c:v>6.7191997437150786</c:v>
                </c:pt>
                <c:pt idx="5">
                  <c:v>8.247300054442178</c:v>
                </c:pt>
                <c:pt idx="6">
                  <c:v>9.931830269956393</c:v>
                </c:pt>
                <c:pt idx="7">
                  <c:v>11.772790390257732</c:v>
                </c:pt>
                <c:pt idx="8">
                  <c:v>13.770180415346188</c:v>
                </c:pt>
                <c:pt idx="9">
                  <c:v>15.924000345221762</c:v>
                </c:pt>
                <c:pt idx="10">
                  <c:v>18.234250179884455</c:v>
                </c:pt>
                <c:pt idx="11">
                  <c:v>20.700929919334268</c:v>
                </c:pt>
                <c:pt idx="12">
                  <c:v>23.324039563571201</c:v>
                </c:pt>
                <c:pt idx="13">
                  <c:v>26.103579112595259</c:v>
                </c:pt>
                <c:pt idx="14">
                  <c:v>29.039548566406431</c:v>
                </c:pt>
                <c:pt idx="15">
                  <c:v>32.131947925004724</c:v>
                </c:pt>
                <c:pt idx="16">
                  <c:v>35.38077718839012</c:v>
                </c:pt>
                <c:pt idx="17">
                  <c:v>38.786036356562661</c:v>
                </c:pt>
                <c:pt idx="18">
                  <c:v>42.34772542952232</c:v>
                </c:pt>
                <c:pt idx="19">
                  <c:v>46.065844407269097</c:v>
                </c:pt>
                <c:pt idx="20">
                  <c:v>49.940393289802977</c:v>
                </c:pt>
                <c:pt idx="21">
                  <c:v>53.971372077123966</c:v>
                </c:pt>
                <c:pt idx="22">
                  <c:v>58.158780769232088</c:v>
                </c:pt>
                <c:pt idx="23">
                  <c:v>62.502619366127355</c:v>
                </c:pt>
                <c:pt idx="24">
                  <c:v>67.002887867809719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95-4BFB-BD95-9623DE076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031168"/>
        <c:axId val="63032704"/>
      </c:lineChart>
      <c:catAx>
        <c:axId val="63031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3032704"/>
        <c:crosses val="autoZero"/>
        <c:auto val="1"/>
        <c:lblAlgn val="ctr"/>
        <c:lblOffset val="100"/>
        <c:noMultiLvlLbl val="0"/>
      </c:catAx>
      <c:valAx>
        <c:axId val="63032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30311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 - Power Curves @ Te 21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'Calculated Data'!$T$620</c:f>
              <c:strCache>
                <c:ptCount val="1"/>
                <c:pt idx="0">
                  <c:v>Power Curves @ Te 21</c:v>
                </c:pt>
              </c:strCache>
            </c:strRef>
          </c:tx>
          <c:marker>
            <c:symbol val="none"/>
          </c:marker>
          <c:cat>
            <c:numRef>
              <c:f>'Calculated Data'!$AC$42:$AC$66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Data'!$X$622:$X$646</c:f>
              <c:numCache>
                <c:formatCode>General</c:formatCode>
                <c:ptCount val="25"/>
                <c:pt idx="0">
                  <c:v>1.9683404681251937</c:v>
                </c:pt>
                <c:pt idx="1">
                  <c:v>2.7864485416065699</c:v>
                </c:pt>
                <c:pt idx="2">
                  <c:v>3.746377654960134</c:v>
                </c:pt>
                <c:pt idx="3">
                  <c:v>4.8481278081858878</c:v>
                </c:pt>
                <c:pt idx="4">
                  <c:v>6.0916990012838301</c:v>
                </c:pt>
                <c:pt idx="5">
                  <c:v>7.4770912342539635</c:v>
                </c:pt>
                <c:pt idx="6">
                  <c:v>9.0043045070962844</c:v>
                </c:pt>
                <c:pt idx="7">
                  <c:v>10.6733388198108</c:v>
                </c:pt>
                <c:pt idx="8">
                  <c:v>12.484194172397496</c:v>
                </c:pt>
                <c:pt idx="9">
                  <c:v>14.436870564856386</c:v>
                </c:pt>
                <c:pt idx="10">
                  <c:v>16.531367997187463</c:v>
                </c:pt>
                <c:pt idx="11">
                  <c:v>18.767686469390739</c:v>
                </c:pt>
                <c:pt idx="12">
                  <c:v>21.145825981466185</c:v>
                </c:pt>
                <c:pt idx="13">
                  <c:v>23.66578653341384</c:v>
                </c:pt>
                <c:pt idx="14">
                  <c:v>26.327568125233679</c:v>
                </c:pt>
                <c:pt idx="15">
                  <c:v>29.131170756925702</c:v>
                </c:pt>
                <c:pt idx="16">
                  <c:v>32.076594428489912</c:v>
                </c:pt>
                <c:pt idx="17">
                  <c:v>35.16383913992631</c:v>
                </c:pt>
                <c:pt idx="18">
                  <c:v>38.392904891234913</c:v>
                </c:pt>
                <c:pt idx="19">
                  <c:v>41.763791682415693</c:v>
                </c:pt>
                <c:pt idx="20">
                  <c:v>45.276499513468664</c:v>
                </c:pt>
                <c:pt idx="21">
                  <c:v>48.931028384393805</c:v>
                </c:pt>
                <c:pt idx="22">
                  <c:v>52.727378295191173</c:v>
                </c:pt>
                <c:pt idx="23">
                  <c:v>56.665549245860724</c:v>
                </c:pt>
                <c:pt idx="24">
                  <c:v>60.745541236402424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7E-4B0A-9659-A84D71F156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123456"/>
        <c:axId val="63124992"/>
      </c:lineChart>
      <c:catAx>
        <c:axId val="63123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3124992"/>
        <c:crosses val="autoZero"/>
        <c:auto val="1"/>
        <c:lblAlgn val="ctr"/>
        <c:lblOffset val="100"/>
        <c:noMultiLvlLbl val="0"/>
      </c:catAx>
      <c:valAx>
        <c:axId val="631249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31234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 - Power Curves @ Te 22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'Calculated Data'!$T$649</c:f>
              <c:strCache>
                <c:ptCount val="1"/>
                <c:pt idx="0">
                  <c:v>Power Curves @ Te 22</c:v>
                </c:pt>
              </c:strCache>
            </c:strRef>
          </c:tx>
          <c:marker>
            <c:symbol val="none"/>
          </c:marker>
          <c:cat>
            <c:numRef>
              <c:f>'Calculated Data'!$AC$42:$AC$66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Data'!$X$651:$X$675</c:f>
              <c:numCache>
                <c:formatCode>General</c:formatCode>
                <c:ptCount val="25"/>
                <c:pt idx="0">
                  <c:v>1.7929256546455328</c:v>
                </c:pt>
                <c:pt idx="1">
                  <c:v>2.5381254699064044</c:v>
                </c:pt>
                <c:pt idx="2">
                  <c:v>3.4125074997653169</c:v>
                </c:pt>
                <c:pt idx="3">
                  <c:v>4.4160717442222674</c:v>
                </c:pt>
                <c:pt idx="4">
                  <c:v>5.5488182032772588</c:v>
                </c:pt>
                <c:pt idx="5">
                  <c:v>6.8107468769302884</c:v>
                </c:pt>
                <c:pt idx="6">
                  <c:v>8.2018577651813587</c:v>
                </c:pt>
                <c:pt idx="7">
                  <c:v>9.7221508680304733</c:v>
                </c:pt>
                <c:pt idx="8">
                  <c:v>11.371626185477623</c:v>
                </c:pt>
                <c:pt idx="9">
                  <c:v>13.150283717522816</c:v>
                </c:pt>
                <c:pt idx="10">
                  <c:v>15.058123464166046</c:v>
                </c:pt>
                <c:pt idx="11">
                  <c:v>17.095145425407321</c:v>
                </c:pt>
                <c:pt idx="12">
                  <c:v>19.261349601246629</c:v>
                </c:pt>
                <c:pt idx="13">
                  <c:v>21.556735991683979</c:v>
                </c:pt>
                <c:pt idx="14">
                  <c:v>23.981304596719372</c:v>
                </c:pt>
                <c:pt idx="15">
                  <c:v>26.535055416352805</c:v>
                </c:pt>
                <c:pt idx="16">
                  <c:v>29.217988450584276</c:v>
                </c:pt>
                <c:pt idx="17">
                  <c:v>32.030103699413786</c:v>
                </c:pt>
                <c:pt idx="18">
                  <c:v>34.971401162841332</c:v>
                </c:pt>
                <c:pt idx="19">
                  <c:v>38.041880840866924</c:v>
                </c:pt>
                <c:pt idx="20">
                  <c:v>41.241542733490547</c:v>
                </c:pt>
                <c:pt idx="21">
                  <c:v>44.570386840712217</c:v>
                </c:pt>
                <c:pt idx="22">
                  <c:v>48.028413162531919</c:v>
                </c:pt>
                <c:pt idx="23">
                  <c:v>51.615621698949674</c:v>
                </c:pt>
                <c:pt idx="24">
                  <c:v>55.332012449965454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7C-4863-A3BB-CA4699BE6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169664"/>
        <c:axId val="63171200"/>
      </c:lineChart>
      <c:catAx>
        <c:axId val="63169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3171200"/>
        <c:crosses val="autoZero"/>
        <c:auto val="1"/>
        <c:lblAlgn val="ctr"/>
        <c:lblOffset val="100"/>
        <c:noMultiLvlLbl val="0"/>
      </c:catAx>
      <c:valAx>
        <c:axId val="63171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31696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 - Power Curves @ Te 23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'Calculated Data'!$T$678</c:f>
              <c:strCache>
                <c:ptCount val="1"/>
                <c:pt idx="0">
                  <c:v>Power Curves @ Te 23</c:v>
                </c:pt>
              </c:strCache>
            </c:strRef>
          </c:tx>
          <c:marker>
            <c:symbol val="none"/>
          </c:marker>
          <c:cat>
            <c:numRef>
              <c:f>'Calculated Data'!$AC$42:$AC$66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Data'!$X$680:$X$704</c:f>
              <c:numCache>
                <c:formatCode>General</c:formatCode>
                <c:ptCount val="25"/>
                <c:pt idx="0">
                  <c:v>1.6401165450515629</c:v>
                </c:pt>
                <c:pt idx="1">
                  <c:v>2.3218037880289413</c:v>
                </c:pt>
                <c:pt idx="2">
                  <c:v>3.1216631855179546</c:v>
                </c:pt>
                <c:pt idx="3">
                  <c:v>4.0396947375186025</c:v>
                </c:pt>
                <c:pt idx="4">
                  <c:v>5.0758984440308863</c:v>
                </c:pt>
                <c:pt idx="5">
                  <c:v>6.2302743050548042</c:v>
                </c:pt>
                <c:pt idx="6">
                  <c:v>7.5028223205903579</c:v>
                </c:pt>
                <c:pt idx="7">
                  <c:v>8.893542490637552</c:v>
                </c:pt>
                <c:pt idx="8">
                  <c:v>10.402434815196372</c:v>
                </c:pt>
                <c:pt idx="9">
                  <c:v>12.029499294266834</c:v>
                </c:pt>
                <c:pt idx="10">
                  <c:v>13.774735927848926</c:v>
                </c:pt>
                <c:pt idx="11">
                  <c:v>15.638144715942662</c:v>
                </c:pt>
                <c:pt idx="12">
                  <c:v>17.619725658548024</c:v>
                </c:pt>
                <c:pt idx="13">
                  <c:v>19.719478755665023</c:v>
                </c:pt>
                <c:pt idx="14">
                  <c:v>21.937404007293669</c:v>
                </c:pt>
                <c:pt idx="15">
                  <c:v>24.273501413433937</c:v>
                </c:pt>
                <c:pt idx="16">
                  <c:v>26.727770974085846</c:v>
                </c:pt>
                <c:pt idx="17">
                  <c:v>29.300212689249392</c:v>
                </c:pt>
                <c:pt idx="18">
                  <c:v>31.990826558924564</c:v>
                </c:pt>
                <c:pt idx="19">
                  <c:v>34.799612583111383</c:v>
                </c:pt>
                <c:pt idx="20">
                  <c:v>37.726570761809832</c:v>
                </c:pt>
                <c:pt idx="21">
                  <c:v>40.771701095019907</c:v>
                </c:pt>
                <c:pt idx="22">
                  <c:v>43.935003582741622</c:v>
                </c:pt>
                <c:pt idx="23">
                  <c:v>47.216478224974985</c:v>
                </c:pt>
                <c:pt idx="24">
                  <c:v>50.616125021719981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9A-44E9-84C9-FE3ED325F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199872"/>
        <c:axId val="63201664"/>
      </c:lineChart>
      <c:catAx>
        <c:axId val="63199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3201664"/>
        <c:crosses val="autoZero"/>
        <c:auto val="1"/>
        <c:lblAlgn val="ctr"/>
        <c:lblOffset val="100"/>
        <c:noMultiLvlLbl val="0"/>
      </c:catAx>
      <c:valAx>
        <c:axId val="63201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31998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 - Power Curves @ Te 24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'Calculated Data'!$T$707</c:f>
              <c:strCache>
                <c:ptCount val="1"/>
                <c:pt idx="0">
                  <c:v>Power Curves @ Te 24</c:v>
                </c:pt>
              </c:strCache>
            </c:strRef>
          </c:tx>
          <c:marker>
            <c:symbol val="none"/>
          </c:marker>
          <c:cat>
            <c:numRef>
              <c:f>'Calculated Data'!$AC$42:$AC$66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Data'!$X$709:$X$733</c:f>
              <c:numCache>
                <c:formatCode>General</c:formatCode>
                <c:ptCount val="25"/>
                <c:pt idx="0">
                  <c:v>1.5061655292497045</c:v>
                </c:pt>
                <c:pt idx="1">
                  <c:v>2.1321782538939251</c:v>
                </c:pt>
                <c:pt idx="2">
                  <c:v>2.8667118188281857</c:v>
                </c:pt>
                <c:pt idx="3">
                  <c:v>3.70976622405249</c:v>
                </c:pt>
                <c:pt idx="4">
                  <c:v>4.6613414695668318</c:v>
                </c:pt>
                <c:pt idx="5">
                  <c:v>5.7214375553712191</c:v>
                </c:pt>
                <c:pt idx="6">
                  <c:v>6.8900544814656435</c:v>
                </c:pt>
                <c:pt idx="7">
                  <c:v>8.1671922478501138</c:v>
                </c:pt>
                <c:pt idx="8">
                  <c:v>9.5528508545246194</c:v>
                </c:pt>
                <c:pt idx="9">
                  <c:v>11.047030301489174</c:v>
                </c:pt>
                <c:pt idx="10">
                  <c:v>12.649730588743759</c:v>
                </c:pt>
                <c:pt idx="11">
                  <c:v>14.360951716288398</c:v>
                </c:pt>
                <c:pt idx="12">
                  <c:v>16.180693684123071</c:v>
                </c:pt>
                <c:pt idx="13">
                  <c:v>18.108956492247792</c:v>
                </c:pt>
                <c:pt idx="14">
                  <c:v>20.145740140662539</c:v>
                </c:pt>
                <c:pt idx="15">
                  <c:v>22.291044629367349</c:v>
                </c:pt>
                <c:pt idx="16">
                  <c:v>24.544869958362185</c:v>
                </c:pt>
                <c:pt idx="17">
                  <c:v>26.907216127647064</c:v>
                </c:pt>
                <c:pt idx="18">
                  <c:v>29.378083137221985</c:v>
                </c:pt>
                <c:pt idx="19">
                  <c:v>31.957470987086943</c:v>
                </c:pt>
                <c:pt idx="20">
                  <c:v>34.645379677241948</c:v>
                </c:pt>
                <c:pt idx="21">
                  <c:v>37.441809207686994</c:v>
                </c:pt>
                <c:pt idx="22">
                  <c:v>40.346759578422073</c:v>
                </c:pt>
                <c:pt idx="23">
                  <c:v>43.360230789447215</c:v>
                </c:pt>
                <c:pt idx="24">
                  <c:v>46.482222840762383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11-4E00-9C74-9789A1CB4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218048"/>
        <c:axId val="63219584"/>
      </c:lineChart>
      <c:catAx>
        <c:axId val="63218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3219584"/>
        <c:crosses val="autoZero"/>
        <c:auto val="1"/>
        <c:lblAlgn val="ctr"/>
        <c:lblOffset val="100"/>
        <c:noMultiLvlLbl val="0"/>
      </c:catAx>
      <c:valAx>
        <c:axId val="63219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32180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 - Power Curves @ Te 25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'Calculated Data'!$T$736</c:f>
              <c:strCache>
                <c:ptCount val="1"/>
                <c:pt idx="0">
                  <c:v>Power Curves @ Te 25</c:v>
                </c:pt>
              </c:strCache>
            </c:strRef>
          </c:tx>
          <c:marker>
            <c:symbol val="none"/>
          </c:marker>
          <c:cat>
            <c:numRef>
              <c:f>'Calculated Data'!$AC$42:$AC$66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Data'!$X$738:$X$762</c:f>
              <c:numCache>
                <c:formatCode>General</c:formatCode>
                <c:ptCount val="25"/>
                <c:pt idx="0">
                  <c:v>1.388074853060558</c:v>
                </c:pt>
                <c:pt idx="1">
                  <c:v>1.9650051465107303</c:v>
                </c:pt>
                <c:pt idx="2">
                  <c:v>2.6419477204933393</c:v>
                </c:pt>
                <c:pt idx="3">
                  <c:v>3.4189025750083837</c:v>
                </c:pt>
                <c:pt idx="4">
                  <c:v>4.2958697100558663</c:v>
                </c:pt>
                <c:pt idx="5">
                  <c:v>5.2728491256357852</c:v>
                </c:pt>
                <c:pt idx="6">
                  <c:v>6.349840821748141</c:v>
                </c:pt>
                <c:pt idx="7">
                  <c:v>7.5268447983929336</c:v>
                </c:pt>
                <c:pt idx="8">
                  <c:v>8.8038610555701595</c:v>
                </c:pt>
                <c:pt idx="9">
                  <c:v>10.180889593279829</c:v>
                </c:pt>
                <c:pt idx="10">
                  <c:v>11.657930411521928</c:v>
                </c:pt>
                <c:pt idx="11">
                  <c:v>13.234983510296473</c:v>
                </c:pt>
                <c:pt idx="12">
                  <c:v>14.91204888960344</c:v>
                </c:pt>
                <c:pt idx="13">
                  <c:v>16.689126549442854</c:v>
                </c:pt>
                <c:pt idx="14">
                  <c:v>18.566216489814707</c:v>
                </c:pt>
                <c:pt idx="15">
                  <c:v>20.543318710718992</c:v>
                </c:pt>
                <c:pt idx="16">
                  <c:v>22.620433212155717</c:v>
                </c:pt>
                <c:pt idx="17">
                  <c:v>24.797559994124871</c:v>
                </c:pt>
                <c:pt idx="18">
                  <c:v>27.074699056626464</c:v>
                </c:pt>
                <c:pt idx="19">
                  <c:v>29.451850399660501</c:v>
                </c:pt>
                <c:pt idx="20">
                  <c:v>31.929014023226966</c:v>
                </c:pt>
                <c:pt idx="21">
                  <c:v>34.506189927325863</c:v>
                </c:pt>
                <c:pt idx="22">
                  <c:v>37.183378111957211</c:v>
                </c:pt>
                <c:pt idx="23">
                  <c:v>39.960578577120998</c:v>
                </c:pt>
                <c:pt idx="24">
                  <c:v>42.83779132281721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B7-4A5C-B999-A247FA25D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826112"/>
        <c:axId val="76827648"/>
      </c:lineChart>
      <c:catAx>
        <c:axId val="76826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6827648"/>
        <c:crosses val="autoZero"/>
        <c:auto val="1"/>
        <c:lblAlgn val="ctr"/>
        <c:lblOffset val="100"/>
        <c:noMultiLvlLbl val="0"/>
      </c:catAx>
      <c:valAx>
        <c:axId val="76827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8261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 - Power Curves @ Te 1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'Calculated Data'!$AB$40</c:f>
              <c:strCache>
                <c:ptCount val="1"/>
                <c:pt idx="0">
                  <c:v>Power Curve @ Te 1</c:v>
                </c:pt>
              </c:strCache>
            </c:strRef>
          </c:tx>
          <c:marker>
            <c:symbol val="none"/>
          </c:marker>
          <c:cat>
            <c:numRef>
              <c:f>'Calculated Data'!$AC$42:$AC$66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Data'!$AB$42:$AB$66</c:f>
              <c:numCache>
                <c:formatCode>General</c:formatCode>
                <c:ptCount val="25"/>
                <c:pt idx="0">
                  <c:v>0</c:v>
                </c:pt>
                <c:pt idx="1">
                  <c:v>1.9650000000000001E-8</c:v>
                </c:pt>
                <c:pt idx="2">
                  <c:v>7.8600000000000002E-8</c:v>
                </c:pt>
                <c:pt idx="3">
                  <c:v>1.7679999999999999E-7</c:v>
                </c:pt>
                <c:pt idx="4">
                  <c:v>3.1440000000000001E-7</c:v>
                </c:pt>
                <c:pt idx="5">
                  <c:v>4.9119999999999995E-7</c:v>
                </c:pt>
                <c:pt idx="6">
                  <c:v>7.0739999999999999E-7</c:v>
                </c:pt>
                <c:pt idx="7">
                  <c:v>9.6279999999999991E-7</c:v>
                </c:pt>
                <c:pt idx="8">
                  <c:v>1.2579999999999999E-6</c:v>
                </c:pt>
                <c:pt idx="9">
                  <c:v>1.592E-6</c:v>
                </c:pt>
                <c:pt idx="10">
                  <c:v>1.9649999999999998E-6</c:v>
                </c:pt>
                <c:pt idx="11">
                  <c:v>2.3779999999999999E-6</c:v>
                </c:pt>
                <c:pt idx="12">
                  <c:v>2.8289999999999999E-6</c:v>
                </c:pt>
                <c:pt idx="13">
                  <c:v>3.3210000000000001E-6</c:v>
                </c:pt>
                <c:pt idx="14">
                  <c:v>3.8510000000000001E-6</c:v>
                </c:pt>
                <c:pt idx="15">
                  <c:v>4.4209999999999997E-6</c:v>
                </c:pt>
                <c:pt idx="16">
                  <c:v>5.0300000000000001E-6</c:v>
                </c:pt>
                <c:pt idx="17">
                  <c:v>5.6790000000000002E-6</c:v>
                </c:pt>
                <c:pt idx="18">
                  <c:v>6.3659999999999997E-6</c:v>
                </c:pt>
                <c:pt idx="19">
                  <c:v>7.0929999999999997E-6</c:v>
                </c:pt>
                <c:pt idx="20">
                  <c:v>7.8599999999999993E-6</c:v>
                </c:pt>
                <c:pt idx="21">
                  <c:v>8.6649999999999992E-6</c:v>
                </c:pt>
                <c:pt idx="22">
                  <c:v>9.5099999999999987E-6</c:v>
                </c:pt>
                <c:pt idx="23">
                  <c:v>1.039E-5</c:v>
                </c:pt>
                <c:pt idx="24">
                  <c:v>1.132E-5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95-4BCD-821E-68FB67814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835840"/>
        <c:axId val="76858112"/>
      </c:lineChart>
      <c:catAx>
        <c:axId val="7683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6858112"/>
        <c:crosses val="autoZero"/>
        <c:auto val="1"/>
        <c:lblAlgn val="ctr"/>
        <c:lblOffset val="100"/>
        <c:noMultiLvlLbl val="0"/>
      </c:catAx>
      <c:valAx>
        <c:axId val="76858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8358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 - Power Curves @ Te 2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'Calculated Data'!$AB$69</c:f>
              <c:strCache>
                <c:ptCount val="1"/>
                <c:pt idx="0">
                  <c:v>Power Curve @ Te 2</c:v>
                </c:pt>
              </c:strCache>
            </c:strRef>
          </c:tx>
          <c:marker>
            <c:symbol val="none"/>
          </c:marker>
          <c:cat>
            <c:numRef>
              <c:f>'Calculated Data'!$AC$42:$AC$66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Data'!$AB$71:$AB$95</c:f>
              <c:numCache>
                <c:formatCode>General</c:formatCode>
                <c:ptCount val="25"/>
                <c:pt idx="0">
                  <c:v>0</c:v>
                </c:pt>
                <c:pt idx="1">
                  <c:v>8.9999999999999993E-3</c:v>
                </c:pt>
                <c:pt idx="2">
                  <c:v>3.5000000000000003E-2</c:v>
                </c:pt>
                <c:pt idx="3">
                  <c:v>7.8E-2</c:v>
                </c:pt>
                <c:pt idx="4">
                  <c:v>0.13900000000000001</c:v>
                </c:pt>
                <c:pt idx="5">
                  <c:v>0.217</c:v>
                </c:pt>
                <c:pt idx="6">
                  <c:v>0.313</c:v>
                </c:pt>
                <c:pt idx="7">
                  <c:v>0.42499999999999999</c:v>
                </c:pt>
                <c:pt idx="8">
                  <c:v>0.55600000000000005</c:v>
                </c:pt>
                <c:pt idx="9">
                  <c:v>0.70299999999999996</c:v>
                </c:pt>
                <c:pt idx="10">
                  <c:v>0.86799999999999999</c:v>
                </c:pt>
                <c:pt idx="11">
                  <c:v>1.0509999999999999</c:v>
                </c:pt>
                <c:pt idx="12">
                  <c:v>1.25</c:v>
                </c:pt>
                <c:pt idx="13">
                  <c:v>1.4670000000000001</c:v>
                </c:pt>
                <c:pt idx="14">
                  <c:v>1.702</c:v>
                </c:pt>
                <c:pt idx="15">
                  <c:v>1.954</c:v>
                </c:pt>
                <c:pt idx="16">
                  <c:v>2.2229999999999999</c:v>
                </c:pt>
                <c:pt idx="17">
                  <c:v>2.5089999999999999</c:v>
                </c:pt>
                <c:pt idx="18">
                  <c:v>2.8130000000000002</c:v>
                </c:pt>
                <c:pt idx="19">
                  <c:v>3.1349999999999998</c:v>
                </c:pt>
                <c:pt idx="20">
                  <c:v>3.4729999999999999</c:v>
                </c:pt>
                <c:pt idx="21">
                  <c:v>3.8290000000000002</c:v>
                </c:pt>
                <c:pt idx="22">
                  <c:v>4.2030000000000003</c:v>
                </c:pt>
                <c:pt idx="23">
                  <c:v>4.593</c:v>
                </c:pt>
                <c:pt idx="24">
                  <c:v>5.0019999999999998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98-479C-8F2C-2C939925A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886784"/>
        <c:axId val="76888320"/>
      </c:lineChart>
      <c:catAx>
        <c:axId val="76886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6888320"/>
        <c:crosses val="autoZero"/>
        <c:auto val="1"/>
        <c:lblAlgn val="ctr"/>
        <c:lblOffset val="100"/>
        <c:noMultiLvlLbl val="0"/>
      </c:catAx>
      <c:valAx>
        <c:axId val="76888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8867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 - Power Curves @ Te 3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'Calculated Data'!$AB$98</c:f>
              <c:strCache>
                <c:ptCount val="1"/>
                <c:pt idx="0">
                  <c:v>Power Curve @ Te 3</c:v>
                </c:pt>
              </c:strCache>
            </c:strRef>
          </c:tx>
          <c:marker>
            <c:symbol val="none"/>
          </c:marker>
          <c:cat>
            <c:numRef>
              <c:f>'Calculated Data'!$AC$42:$AC$66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Data'!$AB$100:$AB$124</c:f>
              <c:numCache>
                <c:formatCode>General</c:formatCode>
                <c:ptCount val="25"/>
                <c:pt idx="0">
                  <c:v>0</c:v>
                </c:pt>
                <c:pt idx="1">
                  <c:v>0.125</c:v>
                </c:pt>
                <c:pt idx="2">
                  <c:v>0.499</c:v>
                </c:pt>
                <c:pt idx="3">
                  <c:v>1.1220000000000001</c:v>
                </c:pt>
                <c:pt idx="4">
                  <c:v>1.9950000000000001</c:v>
                </c:pt>
                <c:pt idx="5">
                  <c:v>3.117</c:v>
                </c:pt>
                <c:pt idx="6">
                  <c:v>4.4889999999999999</c:v>
                </c:pt>
                <c:pt idx="7">
                  <c:v>6.11</c:v>
                </c:pt>
                <c:pt idx="8">
                  <c:v>7.98</c:v>
                </c:pt>
                <c:pt idx="9">
                  <c:v>10.1</c:v>
                </c:pt>
                <c:pt idx="10">
                  <c:v>12.468999999999999</c:v>
                </c:pt>
                <c:pt idx="11">
                  <c:v>15.087999999999999</c:v>
                </c:pt>
                <c:pt idx="12">
                  <c:v>17.956</c:v>
                </c:pt>
                <c:pt idx="13">
                  <c:v>21.073</c:v>
                </c:pt>
                <c:pt idx="14">
                  <c:v>24.44</c:v>
                </c:pt>
                <c:pt idx="15">
                  <c:v>28.056000000000001</c:v>
                </c:pt>
                <c:pt idx="16">
                  <c:v>31.922000000000001</c:v>
                </c:pt>
                <c:pt idx="17">
                  <c:v>36.036999999999999</c:v>
                </c:pt>
                <c:pt idx="18">
                  <c:v>40.401000000000003</c:v>
                </c:pt>
                <c:pt idx="19">
                  <c:v>45.015000000000001</c:v>
                </c:pt>
                <c:pt idx="20">
                  <c:v>49.878</c:v>
                </c:pt>
                <c:pt idx="21">
                  <c:v>54.99</c:v>
                </c:pt>
                <c:pt idx="22">
                  <c:v>60.351999999999997</c:v>
                </c:pt>
                <c:pt idx="23">
                  <c:v>65.962999999999994</c:v>
                </c:pt>
                <c:pt idx="24">
                  <c:v>71.823999999999998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8A-4802-9CB3-50D136F23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904704"/>
        <c:axId val="76906496"/>
      </c:lineChart>
      <c:catAx>
        <c:axId val="7690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6906496"/>
        <c:crosses val="autoZero"/>
        <c:auto val="1"/>
        <c:lblAlgn val="ctr"/>
        <c:lblOffset val="100"/>
        <c:noMultiLvlLbl val="0"/>
      </c:catAx>
      <c:valAx>
        <c:axId val="76906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9047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 - Power Curves @ Te 4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'Calculated Data'!$AB$127</c:f>
              <c:strCache>
                <c:ptCount val="1"/>
                <c:pt idx="0">
                  <c:v>Power Curve @ Te 4</c:v>
                </c:pt>
              </c:strCache>
            </c:strRef>
          </c:tx>
          <c:marker>
            <c:symbol val="none"/>
          </c:marker>
          <c:cat>
            <c:numRef>
              <c:f>'Calculated Data'!$AC$42:$AC$66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Data'!$AB$129:$AB$153</c:f>
              <c:numCache>
                <c:formatCode>General</c:formatCode>
                <c:ptCount val="25"/>
                <c:pt idx="0">
                  <c:v>0</c:v>
                </c:pt>
                <c:pt idx="1">
                  <c:v>3.7650000000000001</c:v>
                </c:pt>
                <c:pt idx="2">
                  <c:v>15.058</c:v>
                </c:pt>
                <c:pt idx="3">
                  <c:v>33.881</c:v>
                </c:pt>
                <c:pt idx="4">
                  <c:v>60.232999999999997</c:v>
                </c:pt>
                <c:pt idx="5">
                  <c:v>94.113</c:v>
                </c:pt>
                <c:pt idx="6">
                  <c:v>135.523</c:v>
                </c:pt>
                <c:pt idx="7">
                  <c:v>184.46199999999999</c:v>
                </c:pt>
                <c:pt idx="8">
                  <c:v>240.93</c:v>
                </c:pt>
                <c:pt idx="9">
                  <c:v>304.92700000000002</c:v>
                </c:pt>
                <c:pt idx="10">
                  <c:v>376.45400000000001</c:v>
                </c:pt>
                <c:pt idx="11">
                  <c:v>455.50900000000001</c:v>
                </c:pt>
                <c:pt idx="12">
                  <c:v>542.09299999999996</c:v>
                </c:pt>
                <c:pt idx="13">
                  <c:v>636.20699999999999</c:v>
                </c:pt>
                <c:pt idx="14">
                  <c:v>737.84900000000005</c:v>
                </c:pt>
                <c:pt idx="15">
                  <c:v>750</c:v>
                </c:pt>
                <c:pt idx="16">
                  <c:v>750</c:v>
                </c:pt>
                <c:pt idx="17">
                  <c:v>750</c:v>
                </c:pt>
                <c:pt idx="18">
                  <c:v>750</c:v>
                </c:pt>
                <c:pt idx="19">
                  <c:v>750</c:v>
                </c:pt>
                <c:pt idx="20">
                  <c:v>750</c:v>
                </c:pt>
                <c:pt idx="21">
                  <c:v>750</c:v>
                </c:pt>
                <c:pt idx="22">
                  <c:v>750</c:v>
                </c:pt>
                <c:pt idx="23">
                  <c:v>750</c:v>
                </c:pt>
                <c:pt idx="24">
                  <c:v>750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B0-4E5E-A57F-143B5CD4C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106048"/>
        <c:axId val="79107584"/>
      </c:lineChart>
      <c:catAx>
        <c:axId val="79106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9107584"/>
        <c:crosses val="autoZero"/>
        <c:auto val="1"/>
        <c:lblAlgn val="ctr"/>
        <c:lblOffset val="100"/>
        <c:noMultiLvlLbl val="0"/>
      </c:catAx>
      <c:valAx>
        <c:axId val="79107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1060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 - Power Curves @ Te 3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'Calculated Data'!$T$98</c:f>
              <c:strCache>
                <c:ptCount val="1"/>
                <c:pt idx="0">
                  <c:v>Power Curves @ Te 3</c:v>
                </c:pt>
              </c:strCache>
            </c:strRef>
          </c:tx>
          <c:marker>
            <c:symbol val="none"/>
          </c:marker>
          <c:cat>
            <c:numRef>
              <c:f>'Calculated Data'!$AC$42:$AC$66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Data'!$X$100:$X$124</c:f>
              <c:numCache>
                <c:formatCode>General</c:formatCode>
                <c:ptCount val="25"/>
                <c:pt idx="0">
                  <c:v>250</c:v>
                </c:pt>
                <c:pt idx="1">
                  <c:v>250</c:v>
                </c:pt>
                <c:pt idx="2">
                  <c:v>250</c:v>
                </c:pt>
                <c:pt idx="3">
                  <c:v>250</c:v>
                </c:pt>
                <c:pt idx="4">
                  <c:v>250</c:v>
                </c:pt>
                <c:pt idx="5">
                  <c:v>250</c:v>
                </c:pt>
                <c:pt idx="6">
                  <c:v>250</c:v>
                </c:pt>
                <c:pt idx="7">
                  <c:v>250</c:v>
                </c:pt>
                <c:pt idx="8">
                  <c:v>250</c:v>
                </c:pt>
                <c:pt idx="9">
                  <c:v>250</c:v>
                </c:pt>
                <c:pt idx="10">
                  <c:v>250</c:v>
                </c:pt>
                <c:pt idx="11">
                  <c:v>250</c:v>
                </c:pt>
                <c:pt idx="12">
                  <c:v>250</c:v>
                </c:pt>
                <c:pt idx="13">
                  <c:v>250</c:v>
                </c:pt>
                <c:pt idx="14">
                  <c:v>250</c:v>
                </c:pt>
                <c:pt idx="15">
                  <c:v>250</c:v>
                </c:pt>
                <c:pt idx="16">
                  <c:v>250</c:v>
                </c:pt>
                <c:pt idx="17">
                  <c:v>250</c:v>
                </c:pt>
                <c:pt idx="18">
                  <c:v>250</c:v>
                </c:pt>
                <c:pt idx="19">
                  <c:v>250</c:v>
                </c:pt>
                <c:pt idx="20">
                  <c:v>250</c:v>
                </c:pt>
                <c:pt idx="21">
                  <c:v>250</c:v>
                </c:pt>
                <c:pt idx="22">
                  <c:v>250</c:v>
                </c:pt>
                <c:pt idx="23">
                  <c:v>250</c:v>
                </c:pt>
                <c:pt idx="24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D-492C-B614-3B385F729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56096"/>
        <c:axId val="62357888"/>
      </c:lineChart>
      <c:catAx>
        <c:axId val="62356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2357888"/>
        <c:crosses val="autoZero"/>
        <c:auto val="1"/>
        <c:lblAlgn val="ctr"/>
        <c:lblOffset val="100"/>
        <c:noMultiLvlLbl val="0"/>
      </c:catAx>
      <c:valAx>
        <c:axId val="62357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23560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 - Power Curves @ Te 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'Calculated Data'!$AB$156</c:f>
              <c:strCache>
                <c:ptCount val="1"/>
                <c:pt idx="0">
                  <c:v>Power Curve @ Te 5</c:v>
                </c:pt>
              </c:strCache>
            </c:strRef>
          </c:tx>
          <c:marker>
            <c:symbol val="none"/>
          </c:marker>
          <c:cat>
            <c:numRef>
              <c:f>'Calculated Data'!$AC$42:$AC$66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Data'!$AB$158:$AB$182</c:f>
              <c:numCache>
                <c:formatCode>General</c:formatCode>
                <c:ptCount val="25"/>
                <c:pt idx="0">
                  <c:v>0</c:v>
                </c:pt>
                <c:pt idx="1">
                  <c:v>15.145</c:v>
                </c:pt>
                <c:pt idx="2">
                  <c:v>60.581000000000003</c:v>
                </c:pt>
                <c:pt idx="3">
                  <c:v>136.30799999999999</c:v>
                </c:pt>
                <c:pt idx="4">
                  <c:v>242.32400000000001</c:v>
                </c:pt>
                <c:pt idx="5">
                  <c:v>378.63200000000001</c:v>
                </c:pt>
                <c:pt idx="6">
                  <c:v>545.23</c:v>
                </c:pt>
                <c:pt idx="7">
                  <c:v>742.11900000000003</c:v>
                </c:pt>
                <c:pt idx="8">
                  <c:v>750</c:v>
                </c:pt>
                <c:pt idx="9">
                  <c:v>750</c:v>
                </c:pt>
                <c:pt idx="10">
                  <c:v>750</c:v>
                </c:pt>
                <c:pt idx="11">
                  <c:v>750</c:v>
                </c:pt>
                <c:pt idx="12">
                  <c:v>750</c:v>
                </c:pt>
                <c:pt idx="13">
                  <c:v>750</c:v>
                </c:pt>
                <c:pt idx="14">
                  <c:v>750</c:v>
                </c:pt>
                <c:pt idx="15">
                  <c:v>750</c:v>
                </c:pt>
                <c:pt idx="16">
                  <c:v>750</c:v>
                </c:pt>
                <c:pt idx="17">
                  <c:v>750</c:v>
                </c:pt>
                <c:pt idx="18">
                  <c:v>750</c:v>
                </c:pt>
                <c:pt idx="19">
                  <c:v>750</c:v>
                </c:pt>
                <c:pt idx="20">
                  <c:v>750</c:v>
                </c:pt>
                <c:pt idx="21">
                  <c:v>750</c:v>
                </c:pt>
                <c:pt idx="22">
                  <c:v>750</c:v>
                </c:pt>
                <c:pt idx="23">
                  <c:v>750</c:v>
                </c:pt>
                <c:pt idx="24">
                  <c:v>750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98-46D5-8DB9-76AEFFB02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136256"/>
        <c:axId val="79137792"/>
      </c:lineChart>
      <c:catAx>
        <c:axId val="79136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9137792"/>
        <c:crosses val="autoZero"/>
        <c:auto val="1"/>
        <c:lblAlgn val="ctr"/>
        <c:lblOffset val="100"/>
        <c:noMultiLvlLbl val="0"/>
      </c:catAx>
      <c:valAx>
        <c:axId val="79137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1362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 - Power Curves @ Te 6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'Calculated Data'!$AB$185</c:f>
              <c:strCache>
                <c:ptCount val="1"/>
                <c:pt idx="0">
                  <c:v>Power Curve @ Te 6</c:v>
                </c:pt>
              </c:strCache>
            </c:strRef>
          </c:tx>
          <c:marker>
            <c:symbol val="none"/>
          </c:marker>
          <c:cat>
            <c:numRef>
              <c:f>'Calculated Data'!$AC$42:$AC$66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Data'!$AB$187:$AB$211</c:f>
              <c:numCache>
                <c:formatCode>General</c:formatCode>
                <c:ptCount val="25"/>
                <c:pt idx="0">
                  <c:v>0</c:v>
                </c:pt>
                <c:pt idx="1">
                  <c:v>10.356</c:v>
                </c:pt>
                <c:pt idx="2">
                  <c:v>41.423000000000002</c:v>
                </c:pt>
                <c:pt idx="3">
                  <c:v>93.201999999999998</c:v>
                </c:pt>
                <c:pt idx="4">
                  <c:v>165.69200000000001</c:v>
                </c:pt>
                <c:pt idx="5">
                  <c:v>258.89400000000001</c:v>
                </c:pt>
                <c:pt idx="6">
                  <c:v>372.80700000000002</c:v>
                </c:pt>
                <c:pt idx="7">
                  <c:v>507.43099999999998</c:v>
                </c:pt>
                <c:pt idx="8">
                  <c:v>662.76800000000003</c:v>
                </c:pt>
                <c:pt idx="9">
                  <c:v>750</c:v>
                </c:pt>
                <c:pt idx="10">
                  <c:v>750</c:v>
                </c:pt>
                <c:pt idx="11">
                  <c:v>750</c:v>
                </c:pt>
                <c:pt idx="12">
                  <c:v>750</c:v>
                </c:pt>
                <c:pt idx="13">
                  <c:v>750</c:v>
                </c:pt>
                <c:pt idx="14">
                  <c:v>750</c:v>
                </c:pt>
                <c:pt idx="15">
                  <c:v>750</c:v>
                </c:pt>
                <c:pt idx="16">
                  <c:v>750</c:v>
                </c:pt>
                <c:pt idx="17">
                  <c:v>750</c:v>
                </c:pt>
                <c:pt idx="18">
                  <c:v>750</c:v>
                </c:pt>
                <c:pt idx="19">
                  <c:v>750</c:v>
                </c:pt>
                <c:pt idx="20">
                  <c:v>750</c:v>
                </c:pt>
                <c:pt idx="21">
                  <c:v>750</c:v>
                </c:pt>
                <c:pt idx="22">
                  <c:v>750</c:v>
                </c:pt>
                <c:pt idx="23">
                  <c:v>750</c:v>
                </c:pt>
                <c:pt idx="24">
                  <c:v>750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45-4E05-9C79-204FCD528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154176"/>
        <c:axId val="79160064"/>
      </c:lineChart>
      <c:catAx>
        <c:axId val="79154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9160064"/>
        <c:crosses val="autoZero"/>
        <c:auto val="1"/>
        <c:lblAlgn val="ctr"/>
        <c:lblOffset val="100"/>
        <c:noMultiLvlLbl val="0"/>
      </c:catAx>
      <c:valAx>
        <c:axId val="79160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1541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 - Power Curves @ Te 7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'Calculated Data'!$AB$214</c:f>
              <c:strCache>
                <c:ptCount val="1"/>
                <c:pt idx="0">
                  <c:v>Power Curve @ Te 7</c:v>
                </c:pt>
              </c:strCache>
            </c:strRef>
          </c:tx>
          <c:marker>
            <c:symbol val="none"/>
          </c:marker>
          <c:cat>
            <c:numRef>
              <c:f>'Calculated Data'!$AC$42:$AC$66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Data'!$AB$216:$AB$240</c:f>
              <c:numCache>
                <c:formatCode>General</c:formatCode>
                <c:ptCount val="25"/>
                <c:pt idx="0">
                  <c:v>0</c:v>
                </c:pt>
                <c:pt idx="1">
                  <c:v>4.0609999999999999</c:v>
                </c:pt>
                <c:pt idx="2">
                  <c:v>16.242000000000001</c:v>
                </c:pt>
                <c:pt idx="3">
                  <c:v>36.545000000000002</c:v>
                </c:pt>
                <c:pt idx="4">
                  <c:v>64.968000000000004</c:v>
                </c:pt>
                <c:pt idx="5">
                  <c:v>101.51300000000001</c:v>
                </c:pt>
                <c:pt idx="6">
                  <c:v>146.178</c:v>
                </c:pt>
                <c:pt idx="7">
                  <c:v>198.965</c:v>
                </c:pt>
                <c:pt idx="8">
                  <c:v>259.87200000000001</c:v>
                </c:pt>
                <c:pt idx="9">
                  <c:v>328.90100000000001</c:v>
                </c:pt>
                <c:pt idx="10">
                  <c:v>406.05099999999999</c:v>
                </c:pt>
                <c:pt idx="11">
                  <c:v>491.32100000000003</c:v>
                </c:pt>
                <c:pt idx="12">
                  <c:v>584.71299999999997</c:v>
                </c:pt>
                <c:pt idx="13">
                  <c:v>686.226</c:v>
                </c:pt>
                <c:pt idx="14">
                  <c:v>750</c:v>
                </c:pt>
                <c:pt idx="15">
                  <c:v>750</c:v>
                </c:pt>
                <c:pt idx="16">
                  <c:v>750</c:v>
                </c:pt>
                <c:pt idx="17">
                  <c:v>750</c:v>
                </c:pt>
                <c:pt idx="18">
                  <c:v>750</c:v>
                </c:pt>
                <c:pt idx="19">
                  <c:v>750</c:v>
                </c:pt>
                <c:pt idx="20">
                  <c:v>750</c:v>
                </c:pt>
                <c:pt idx="21">
                  <c:v>750</c:v>
                </c:pt>
                <c:pt idx="22">
                  <c:v>750</c:v>
                </c:pt>
                <c:pt idx="23">
                  <c:v>750</c:v>
                </c:pt>
                <c:pt idx="24">
                  <c:v>750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69-4DE9-973F-5EC5B26C1A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281792"/>
        <c:axId val="81283328"/>
      </c:lineChart>
      <c:catAx>
        <c:axId val="81281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1283328"/>
        <c:crosses val="autoZero"/>
        <c:auto val="1"/>
        <c:lblAlgn val="ctr"/>
        <c:lblOffset val="100"/>
        <c:noMultiLvlLbl val="0"/>
      </c:catAx>
      <c:valAx>
        <c:axId val="81283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2817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 - Power Curves @ Te 8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'Calculated Data'!$AB$243</c:f>
              <c:strCache>
                <c:ptCount val="1"/>
                <c:pt idx="0">
                  <c:v>Power Curve @ Te 8</c:v>
                </c:pt>
              </c:strCache>
            </c:strRef>
          </c:tx>
          <c:marker>
            <c:symbol val="none"/>
          </c:marker>
          <c:cat>
            <c:numRef>
              <c:f>'Calculated Data'!$AC$42:$AC$66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Data'!$AB$245:$AB$269</c:f>
              <c:numCache>
                <c:formatCode>General</c:formatCode>
                <c:ptCount val="25"/>
                <c:pt idx="0">
                  <c:v>0</c:v>
                </c:pt>
                <c:pt idx="1">
                  <c:v>1.417</c:v>
                </c:pt>
                <c:pt idx="2">
                  <c:v>5.6689999999999996</c:v>
                </c:pt>
                <c:pt idx="3">
                  <c:v>12.755000000000001</c:v>
                </c:pt>
                <c:pt idx="4">
                  <c:v>22.675999999999998</c:v>
                </c:pt>
                <c:pt idx="5">
                  <c:v>35.430999999999997</c:v>
                </c:pt>
                <c:pt idx="6">
                  <c:v>51.021000000000001</c:v>
                </c:pt>
                <c:pt idx="7">
                  <c:v>69.444999999999993</c:v>
                </c:pt>
                <c:pt idx="8">
                  <c:v>90.703999999999994</c:v>
                </c:pt>
                <c:pt idx="9">
                  <c:v>124.797</c:v>
                </c:pt>
                <c:pt idx="10">
                  <c:v>141.72399999999999</c:v>
                </c:pt>
                <c:pt idx="11">
                  <c:v>171.48599999999999</c:v>
                </c:pt>
                <c:pt idx="12">
                  <c:v>204.083</c:v>
                </c:pt>
                <c:pt idx="13">
                  <c:v>239.51400000000001</c:v>
                </c:pt>
                <c:pt idx="14">
                  <c:v>277.77999999999997</c:v>
                </c:pt>
                <c:pt idx="15">
                  <c:v>318.88</c:v>
                </c:pt>
                <c:pt idx="16">
                  <c:v>362.81400000000002</c:v>
                </c:pt>
                <c:pt idx="17">
                  <c:v>409.58300000000003</c:v>
                </c:pt>
                <c:pt idx="18">
                  <c:v>459.18700000000001</c:v>
                </c:pt>
                <c:pt idx="19">
                  <c:v>511.625</c:v>
                </c:pt>
                <c:pt idx="20">
                  <c:v>566.89700000000005</c:v>
                </c:pt>
                <c:pt idx="21">
                  <c:v>625.00400000000002</c:v>
                </c:pt>
                <c:pt idx="22">
                  <c:v>685.94600000000003</c:v>
                </c:pt>
                <c:pt idx="23">
                  <c:v>749.72199999999998</c:v>
                </c:pt>
                <c:pt idx="24">
                  <c:v>750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6D-48AF-B042-F11A7EF98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312000"/>
        <c:axId val="81317888"/>
      </c:lineChart>
      <c:catAx>
        <c:axId val="81312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1317888"/>
        <c:crosses val="autoZero"/>
        <c:auto val="1"/>
        <c:lblAlgn val="ctr"/>
        <c:lblOffset val="100"/>
        <c:noMultiLvlLbl val="0"/>
      </c:catAx>
      <c:valAx>
        <c:axId val="81317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3120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 - Power Curves @ Te 9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'Calculated Data'!$AB$272</c:f>
              <c:strCache>
                <c:ptCount val="1"/>
                <c:pt idx="0">
                  <c:v>Power Curve @ Te 9</c:v>
                </c:pt>
              </c:strCache>
            </c:strRef>
          </c:tx>
          <c:marker>
            <c:symbol val="none"/>
          </c:marker>
          <c:cat>
            <c:numRef>
              <c:f>'Calculated Data'!$AC$42:$AC$66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Data'!$AB$274:$AB$298</c:f>
              <c:numCache>
                <c:formatCode>General</c:formatCode>
                <c:ptCount val="25"/>
                <c:pt idx="0">
                  <c:v>0</c:v>
                </c:pt>
                <c:pt idx="1">
                  <c:v>0.503</c:v>
                </c:pt>
                <c:pt idx="2">
                  <c:v>2.0110000000000001</c:v>
                </c:pt>
                <c:pt idx="3">
                  <c:v>4.5259999999999998</c:v>
                </c:pt>
                <c:pt idx="4">
                  <c:v>8.0449999999999999</c:v>
                </c:pt>
                <c:pt idx="5">
                  <c:v>12.571</c:v>
                </c:pt>
                <c:pt idx="6">
                  <c:v>18.102</c:v>
                </c:pt>
                <c:pt idx="7">
                  <c:v>24.638999999999999</c:v>
                </c:pt>
                <c:pt idx="8">
                  <c:v>32.182000000000002</c:v>
                </c:pt>
                <c:pt idx="9">
                  <c:v>40.729999999999997</c:v>
                </c:pt>
                <c:pt idx="10">
                  <c:v>50.283999999999999</c:v>
                </c:pt>
                <c:pt idx="11">
                  <c:v>60.844000000000001</c:v>
                </c:pt>
                <c:pt idx="12">
                  <c:v>72.409000000000006</c:v>
                </c:pt>
                <c:pt idx="13">
                  <c:v>84.980999999999995</c:v>
                </c:pt>
                <c:pt idx="14">
                  <c:v>98.557000000000002</c:v>
                </c:pt>
                <c:pt idx="15">
                  <c:v>113.14</c:v>
                </c:pt>
                <c:pt idx="16">
                  <c:v>128.72800000000001</c:v>
                </c:pt>
                <c:pt idx="17">
                  <c:v>145.322</c:v>
                </c:pt>
                <c:pt idx="18">
                  <c:v>162.92099999999999</c:v>
                </c:pt>
                <c:pt idx="19">
                  <c:v>181.52600000000001</c:v>
                </c:pt>
                <c:pt idx="20">
                  <c:v>201.137</c:v>
                </c:pt>
                <c:pt idx="21">
                  <c:v>221.75399999999999</c:v>
                </c:pt>
                <c:pt idx="22">
                  <c:v>243.376</c:v>
                </c:pt>
                <c:pt idx="23">
                  <c:v>266.00400000000002</c:v>
                </c:pt>
                <c:pt idx="24">
                  <c:v>289.63799999999998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87-4059-B787-402FA2616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849792"/>
        <c:axId val="82851328"/>
      </c:lineChart>
      <c:catAx>
        <c:axId val="82849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851328"/>
        <c:crosses val="autoZero"/>
        <c:auto val="1"/>
        <c:lblAlgn val="ctr"/>
        <c:lblOffset val="100"/>
        <c:noMultiLvlLbl val="0"/>
      </c:catAx>
      <c:valAx>
        <c:axId val="82851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8497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 - Power Curves @ Te 10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'Calculated Data'!$AB$301</c:f>
              <c:strCache>
                <c:ptCount val="1"/>
                <c:pt idx="0">
                  <c:v>Power Curve @ Te 10</c:v>
                </c:pt>
              </c:strCache>
            </c:strRef>
          </c:tx>
          <c:marker>
            <c:symbol val="none"/>
          </c:marker>
          <c:cat>
            <c:numRef>
              <c:f>'Calculated Data'!$AC$42:$AC$66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Data'!$AB$303:$AB$327</c:f>
              <c:numCache>
                <c:formatCode>General</c:formatCode>
                <c:ptCount val="25"/>
                <c:pt idx="0">
                  <c:v>0</c:v>
                </c:pt>
                <c:pt idx="1">
                  <c:v>0.189</c:v>
                </c:pt>
                <c:pt idx="2">
                  <c:v>0.75600000000000001</c:v>
                </c:pt>
                <c:pt idx="3">
                  <c:v>1.7</c:v>
                </c:pt>
                <c:pt idx="4">
                  <c:v>3.0219999999999998</c:v>
                </c:pt>
                <c:pt idx="5">
                  <c:v>4.7220000000000004</c:v>
                </c:pt>
                <c:pt idx="6">
                  <c:v>6.8</c:v>
                </c:pt>
                <c:pt idx="7">
                  <c:v>9.2560000000000002</c:v>
                </c:pt>
                <c:pt idx="8">
                  <c:v>12.089</c:v>
                </c:pt>
                <c:pt idx="9">
                  <c:v>15.3</c:v>
                </c:pt>
                <c:pt idx="10">
                  <c:v>18.888999999999999</c:v>
                </c:pt>
                <c:pt idx="11">
                  <c:v>22.856000000000002</c:v>
                </c:pt>
                <c:pt idx="12">
                  <c:v>27.2</c:v>
                </c:pt>
                <c:pt idx="13">
                  <c:v>31.922000000000001</c:v>
                </c:pt>
                <c:pt idx="14">
                  <c:v>37.021999999999998</c:v>
                </c:pt>
                <c:pt idx="15">
                  <c:v>42.5</c:v>
                </c:pt>
                <c:pt idx="16">
                  <c:v>48.356000000000002</c:v>
                </c:pt>
                <c:pt idx="17">
                  <c:v>54.588999999999999</c:v>
                </c:pt>
                <c:pt idx="18">
                  <c:v>61.2</c:v>
                </c:pt>
                <c:pt idx="19">
                  <c:v>68.188999999999993</c:v>
                </c:pt>
                <c:pt idx="20">
                  <c:v>75.555999999999997</c:v>
                </c:pt>
                <c:pt idx="21">
                  <c:v>83.3</c:v>
                </c:pt>
                <c:pt idx="22">
                  <c:v>91.421999999999997</c:v>
                </c:pt>
                <c:pt idx="23">
                  <c:v>99.921999999999997</c:v>
                </c:pt>
                <c:pt idx="24">
                  <c:v>108.8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E8-4FFA-AE28-DA76499A0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880384"/>
        <c:axId val="82881920"/>
      </c:lineChart>
      <c:catAx>
        <c:axId val="82880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881920"/>
        <c:crosses val="autoZero"/>
        <c:auto val="1"/>
        <c:lblAlgn val="ctr"/>
        <c:lblOffset val="100"/>
        <c:noMultiLvlLbl val="0"/>
      </c:catAx>
      <c:valAx>
        <c:axId val="82881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8803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 - Power Curves @ Te 11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'Calculated Data'!$AB$330</c:f>
              <c:strCache>
                <c:ptCount val="1"/>
                <c:pt idx="0">
                  <c:v>Power Curve @ Te 11</c:v>
                </c:pt>
              </c:strCache>
            </c:strRef>
          </c:tx>
          <c:marker>
            <c:symbol val="none"/>
          </c:marker>
          <c:cat>
            <c:numRef>
              <c:f>'Calculated Data'!$AC$42:$AC$66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Data'!$AB$332:$AB$356</c:f>
              <c:numCache>
                <c:formatCode>General</c:formatCode>
                <c:ptCount val="25"/>
                <c:pt idx="0">
                  <c:v>0</c:v>
                </c:pt>
                <c:pt idx="1">
                  <c:v>7.5999999999999998E-2</c:v>
                </c:pt>
                <c:pt idx="2">
                  <c:v>0.30399999999999999</c:v>
                </c:pt>
                <c:pt idx="3">
                  <c:v>0.68300000000000005</c:v>
                </c:pt>
                <c:pt idx="4">
                  <c:v>1.2150000000000001</c:v>
                </c:pt>
                <c:pt idx="5">
                  <c:v>1.8979999999999999</c:v>
                </c:pt>
                <c:pt idx="6">
                  <c:v>2.7330000000000001</c:v>
                </c:pt>
                <c:pt idx="7">
                  <c:v>3.7189999999999999</c:v>
                </c:pt>
                <c:pt idx="8">
                  <c:v>4.8579999999999997</c:v>
                </c:pt>
                <c:pt idx="9">
                  <c:v>6.1479999999999997</c:v>
                </c:pt>
                <c:pt idx="10">
                  <c:v>7.5910000000000002</c:v>
                </c:pt>
                <c:pt idx="11">
                  <c:v>9.1850000000000005</c:v>
                </c:pt>
                <c:pt idx="12">
                  <c:v>10.930999999999999</c:v>
                </c:pt>
                <c:pt idx="13">
                  <c:v>12.827999999999999</c:v>
                </c:pt>
                <c:pt idx="14">
                  <c:v>14.878</c:v>
                </c:pt>
                <c:pt idx="15">
                  <c:v>17.079000000000001</c:v>
                </c:pt>
                <c:pt idx="16">
                  <c:v>19.431999999999999</c:v>
                </c:pt>
                <c:pt idx="17">
                  <c:v>21.937000000000001</c:v>
                </c:pt>
                <c:pt idx="18">
                  <c:v>24.594000000000001</c:v>
                </c:pt>
                <c:pt idx="19">
                  <c:v>27.402000000000001</c:v>
                </c:pt>
                <c:pt idx="20">
                  <c:v>30.363</c:v>
                </c:pt>
                <c:pt idx="21">
                  <c:v>33.475000000000001</c:v>
                </c:pt>
                <c:pt idx="22">
                  <c:v>36.738999999999997</c:v>
                </c:pt>
                <c:pt idx="23">
                  <c:v>40.155000000000001</c:v>
                </c:pt>
                <c:pt idx="24">
                  <c:v>43.722000000000001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97-4580-8546-CB827D4C7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894208"/>
        <c:axId val="83039360"/>
      </c:lineChart>
      <c:catAx>
        <c:axId val="82894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3039360"/>
        <c:crosses val="autoZero"/>
        <c:auto val="1"/>
        <c:lblAlgn val="ctr"/>
        <c:lblOffset val="100"/>
        <c:noMultiLvlLbl val="0"/>
      </c:catAx>
      <c:valAx>
        <c:axId val="83039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8942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 - Power Curves @ Te 12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'Calculated Data'!$AB$359</c:f>
              <c:strCache>
                <c:ptCount val="1"/>
                <c:pt idx="0">
                  <c:v>Power Curve @ Te 12</c:v>
                </c:pt>
              </c:strCache>
            </c:strRef>
          </c:tx>
          <c:marker>
            <c:symbol val="none"/>
          </c:marker>
          <c:cat>
            <c:numRef>
              <c:f>'Calculated Data'!$AC$42:$AC$66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Data'!$AB$361:$AB$385</c:f>
              <c:numCache>
                <c:formatCode>General</c:formatCode>
                <c:ptCount val="25"/>
                <c:pt idx="0">
                  <c:v>0</c:v>
                </c:pt>
                <c:pt idx="1">
                  <c:v>3.3000000000000002E-2</c:v>
                </c:pt>
                <c:pt idx="2">
                  <c:v>0.13</c:v>
                </c:pt>
                <c:pt idx="3">
                  <c:v>0.29299999999999998</c:v>
                </c:pt>
                <c:pt idx="4">
                  <c:v>0.52100000000000002</c:v>
                </c:pt>
                <c:pt idx="5">
                  <c:v>0.81499999999999995</c:v>
                </c:pt>
                <c:pt idx="6">
                  <c:v>1.173</c:v>
                </c:pt>
                <c:pt idx="7">
                  <c:v>1.597</c:v>
                </c:pt>
                <c:pt idx="8">
                  <c:v>2.0859999999999999</c:v>
                </c:pt>
                <c:pt idx="9">
                  <c:v>2.64</c:v>
                </c:pt>
                <c:pt idx="10">
                  <c:v>3.2589999999999999</c:v>
                </c:pt>
                <c:pt idx="11">
                  <c:v>3.9430000000000001</c:v>
                </c:pt>
                <c:pt idx="12">
                  <c:v>4.6929999999999996</c:v>
                </c:pt>
                <c:pt idx="13">
                  <c:v>5.508</c:v>
                </c:pt>
                <c:pt idx="14">
                  <c:v>6.3879999999999999</c:v>
                </c:pt>
                <c:pt idx="15">
                  <c:v>7.3330000000000002</c:v>
                </c:pt>
                <c:pt idx="16">
                  <c:v>8.343</c:v>
                </c:pt>
                <c:pt idx="17">
                  <c:v>9.4179999999999993</c:v>
                </c:pt>
                <c:pt idx="18">
                  <c:v>10.558999999999999</c:v>
                </c:pt>
                <c:pt idx="19">
                  <c:v>11.765000000000001</c:v>
                </c:pt>
                <c:pt idx="20">
                  <c:v>13.036</c:v>
                </c:pt>
                <c:pt idx="21">
                  <c:v>14.372</c:v>
                </c:pt>
                <c:pt idx="22">
                  <c:v>15.773</c:v>
                </c:pt>
                <c:pt idx="23">
                  <c:v>17.239999999999998</c:v>
                </c:pt>
                <c:pt idx="24">
                  <c:v>18.771999999999998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41-428B-BC53-A68C46D29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076224"/>
        <c:axId val="83077760"/>
      </c:lineChart>
      <c:catAx>
        <c:axId val="8307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3077760"/>
        <c:crosses val="autoZero"/>
        <c:auto val="1"/>
        <c:lblAlgn val="ctr"/>
        <c:lblOffset val="100"/>
        <c:noMultiLvlLbl val="0"/>
      </c:catAx>
      <c:valAx>
        <c:axId val="830777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30762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 - Power Curves @ Te 13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'Calculated Data'!$AB$388</c:f>
              <c:strCache>
                <c:ptCount val="1"/>
                <c:pt idx="0">
                  <c:v>Power Curve @ Te 13</c:v>
                </c:pt>
              </c:strCache>
            </c:strRef>
          </c:tx>
          <c:marker>
            <c:symbol val="none"/>
          </c:marker>
          <c:cat>
            <c:numRef>
              <c:f>'Calculated Data'!$AC$42:$AC$66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Data'!$AB$390:$AB$414</c:f>
              <c:numCache>
                <c:formatCode>General</c:formatCode>
                <c:ptCount val="25"/>
                <c:pt idx="0">
                  <c:v>0</c:v>
                </c:pt>
                <c:pt idx="1">
                  <c:v>1.4999999999999999E-2</c:v>
                </c:pt>
                <c:pt idx="2">
                  <c:v>5.8999999999999997E-2</c:v>
                </c:pt>
                <c:pt idx="3">
                  <c:v>0.13400000000000001</c:v>
                </c:pt>
                <c:pt idx="4">
                  <c:v>0.23799999999999999</c:v>
                </c:pt>
                <c:pt idx="5">
                  <c:v>0.372</c:v>
                </c:pt>
                <c:pt idx="6">
                  <c:v>0.53500000000000003</c:v>
                </c:pt>
                <c:pt idx="7">
                  <c:v>0.72799999999999998</c:v>
                </c:pt>
                <c:pt idx="8">
                  <c:v>0.95099999999999996</c:v>
                </c:pt>
                <c:pt idx="9">
                  <c:v>1.204</c:v>
                </c:pt>
                <c:pt idx="10">
                  <c:v>1.4870000000000001</c:v>
                </c:pt>
                <c:pt idx="11">
                  <c:v>1.7989999999999999</c:v>
                </c:pt>
                <c:pt idx="12">
                  <c:v>2.141</c:v>
                </c:pt>
                <c:pt idx="13">
                  <c:v>2.512</c:v>
                </c:pt>
                <c:pt idx="14">
                  <c:v>2.9140000000000001</c:v>
                </c:pt>
                <c:pt idx="15">
                  <c:v>3.3450000000000002</c:v>
                </c:pt>
                <c:pt idx="16">
                  <c:v>3.8050000000000002</c:v>
                </c:pt>
                <c:pt idx="17">
                  <c:v>4.2960000000000003</c:v>
                </c:pt>
                <c:pt idx="18">
                  <c:v>4.8159999999999998</c:v>
                </c:pt>
                <c:pt idx="19">
                  <c:v>5.3659999999999997</c:v>
                </c:pt>
                <c:pt idx="20">
                  <c:v>5.9459999999999997</c:v>
                </c:pt>
                <c:pt idx="21">
                  <c:v>6.5549999999999997</c:v>
                </c:pt>
                <c:pt idx="22">
                  <c:v>7.1950000000000003</c:v>
                </c:pt>
                <c:pt idx="23">
                  <c:v>7.8639999999999999</c:v>
                </c:pt>
                <c:pt idx="24">
                  <c:v>8.5619999999999994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E4-4DF8-875B-BBFA8BE66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106432"/>
        <c:axId val="83108224"/>
      </c:lineChart>
      <c:catAx>
        <c:axId val="83106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3108224"/>
        <c:crosses val="autoZero"/>
        <c:auto val="1"/>
        <c:lblAlgn val="ctr"/>
        <c:lblOffset val="100"/>
        <c:noMultiLvlLbl val="0"/>
      </c:catAx>
      <c:valAx>
        <c:axId val="83108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31064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 - Power Curves @ Te 14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'Calculated Data'!$AB$417</c:f>
              <c:strCache>
                <c:ptCount val="1"/>
                <c:pt idx="0">
                  <c:v>Power Curve @ Te 14</c:v>
                </c:pt>
              </c:strCache>
            </c:strRef>
          </c:tx>
          <c:marker>
            <c:symbol val="none"/>
          </c:marker>
          <c:cat>
            <c:numRef>
              <c:f>'Calculated Data'!$AC$42:$AC$66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Data'!$AB$419:$AB$443</c:f>
              <c:numCache>
                <c:formatCode>General</c:formatCode>
                <c:ptCount val="25"/>
                <c:pt idx="0">
                  <c:v>0</c:v>
                </c:pt>
                <c:pt idx="1">
                  <c:v>7.0000000000000001E-3</c:v>
                </c:pt>
                <c:pt idx="2">
                  <c:v>2.9000000000000001E-2</c:v>
                </c:pt>
                <c:pt idx="3">
                  <c:v>6.4000000000000001E-2</c:v>
                </c:pt>
                <c:pt idx="4">
                  <c:v>0.114</c:v>
                </c:pt>
                <c:pt idx="5">
                  <c:v>0.17899999999999999</c:v>
                </c:pt>
                <c:pt idx="6">
                  <c:v>0.25800000000000001</c:v>
                </c:pt>
                <c:pt idx="7">
                  <c:v>0.35099999999999998</c:v>
                </c:pt>
                <c:pt idx="8">
                  <c:v>0.45800000000000002</c:v>
                </c:pt>
                <c:pt idx="9">
                  <c:v>0.57999999999999996</c:v>
                </c:pt>
                <c:pt idx="10">
                  <c:v>0.71599999999999997</c:v>
                </c:pt>
                <c:pt idx="11">
                  <c:v>0.86599999999999999</c:v>
                </c:pt>
                <c:pt idx="12">
                  <c:v>1.03</c:v>
                </c:pt>
                <c:pt idx="13">
                  <c:v>1.2090000000000001</c:v>
                </c:pt>
                <c:pt idx="14">
                  <c:v>1.403</c:v>
                </c:pt>
                <c:pt idx="15">
                  <c:v>1.61</c:v>
                </c:pt>
                <c:pt idx="16">
                  <c:v>1.8320000000000001</c:v>
                </c:pt>
                <c:pt idx="17">
                  <c:v>2.0680000000000001</c:v>
                </c:pt>
                <c:pt idx="18">
                  <c:v>2.319</c:v>
                </c:pt>
                <c:pt idx="19">
                  <c:v>2.5830000000000002</c:v>
                </c:pt>
                <c:pt idx="20">
                  <c:v>2.8620000000000001</c:v>
                </c:pt>
                <c:pt idx="21">
                  <c:v>3.1560000000000001</c:v>
                </c:pt>
                <c:pt idx="22">
                  <c:v>3.464</c:v>
                </c:pt>
                <c:pt idx="23">
                  <c:v>3.786</c:v>
                </c:pt>
                <c:pt idx="24">
                  <c:v>4.1219999999999999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08-4EB5-B10B-D549402F5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132800"/>
        <c:axId val="83134336"/>
      </c:lineChart>
      <c:catAx>
        <c:axId val="8313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3134336"/>
        <c:crosses val="autoZero"/>
        <c:auto val="1"/>
        <c:lblAlgn val="ctr"/>
        <c:lblOffset val="100"/>
        <c:noMultiLvlLbl val="0"/>
      </c:catAx>
      <c:valAx>
        <c:axId val="83134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31328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 - Power Curves @ Te 4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'Calculated Data'!$T$127</c:f>
              <c:strCache>
                <c:ptCount val="1"/>
                <c:pt idx="0">
                  <c:v>Power Curves @ Te 4</c:v>
                </c:pt>
              </c:strCache>
            </c:strRef>
          </c:tx>
          <c:marker>
            <c:symbol val="none"/>
          </c:marker>
          <c:cat>
            <c:numRef>
              <c:f>'Calculated Data'!$AC$42:$AC$66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Data'!$X$129:$X$153</c:f>
              <c:numCache>
                <c:formatCode>General</c:formatCode>
                <c:ptCount val="25"/>
                <c:pt idx="0">
                  <c:v>99.503677881592608</c:v>
                </c:pt>
                <c:pt idx="1">
                  <c:v>140.86073146773242</c:v>
                </c:pt>
                <c:pt idx="2">
                  <c:v>189.38713166681669</c:v>
                </c:pt>
                <c:pt idx="3">
                  <c:v>245.08287847884532</c:v>
                </c:pt>
                <c:pt idx="4">
                  <c:v>250</c:v>
                </c:pt>
                <c:pt idx="5">
                  <c:v>250</c:v>
                </c:pt>
                <c:pt idx="6">
                  <c:v>250</c:v>
                </c:pt>
                <c:pt idx="7">
                  <c:v>250</c:v>
                </c:pt>
                <c:pt idx="8">
                  <c:v>250</c:v>
                </c:pt>
                <c:pt idx="9">
                  <c:v>250</c:v>
                </c:pt>
                <c:pt idx="10">
                  <c:v>250</c:v>
                </c:pt>
                <c:pt idx="11">
                  <c:v>250</c:v>
                </c:pt>
                <c:pt idx="12">
                  <c:v>250</c:v>
                </c:pt>
                <c:pt idx="13">
                  <c:v>250</c:v>
                </c:pt>
                <c:pt idx="14">
                  <c:v>250</c:v>
                </c:pt>
                <c:pt idx="15">
                  <c:v>250</c:v>
                </c:pt>
                <c:pt idx="16">
                  <c:v>250</c:v>
                </c:pt>
                <c:pt idx="17">
                  <c:v>250</c:v>
                </c:pt>
                <c:pt idx="18">
                  <c:v>250</c:v>
                </c:pt>
                <c:pt idx="19">
                  <c:v>250</c:v>
                </c:pt>
                <c:pt idx="20">
                  <c:v>250</c:v>
                </c:pt>
                <c:pt idx="21">
                  <c:v>250</c:v>
                </c:pt>
                <c:pt idx="22">
                  <c:v>250</c:v>
                </c:pt>
                <c:pt idx="23">
                  <c:v>250</c:v>
                </c:pt>
                <c:pt idx="24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B1-4CF4-83E7-B5E679364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70176"/>
        <c:axId val="62371712"/>
      </c:lineChart>
      <c:catAx>
        <c:axId val="62370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2371712"/>
        <c:crosses val="autoZero"/>
        <c:auto val="1"/>
        <c:lblAlgn val="ctr"/>
        <c:lblOffset val="100"/>
        <c:noMultiLvlLbl val="0"/>
      </c:catAx>
      <c:valAx>
        <c:axId val="62371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23701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 - Power Curves @ Te 15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'Calculated Data'!$AB$446</c:f>
              <c:strCache>
                <c:ptCount val="1"/>
                <c:pt idx="0">
                  <c:v>Power Curve @ Te 15</c:v>
                </c:pt>
              </c:strCache>
            </c:strRef>
          </c:tx>
          <c:marker>
            <c:symbol val="none"/>
          </c:marker>
          <c:cat>
            <c:numRef>
              <c:f>'Calculated Data'!$AC$42:$AC$66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Data'!$AB$448:$AB$472</c:f>
              <c:numCache>
                <c:formatCode>General</c:formatCode>
                <c:ptCount val="25"/>
                <c:pt idx="0">
                  <c:v>0</c:v>
                </c:pt>
                <c:pt idx="1">
                  <c:v>4.0000000000000001E-3</c:v>
                </c:pt>
                <c:pt idx="2">
                  <c:v>1.4E-2</c:v>
                </c:pt>
                <c:pt idx="3">
                  <c:v>3.3000000000000002E-2</c:v>
                </c:pt>
                <c:pt idx="4">
                  <c:v>5.8000000000000003E-2</c:v>
                </c:pt>
                <c:pt idx="5">
                  <c:v>0.09</c:v>
                </c:pt>
                <c:pt idx="6">
                  <c:v>0.13</c:v>
                </c:pt>
                <c:pt idx="7">
                  <c:v>0.17699999999999999</c:v>
                </c:pt>
                <c:pt idx="8">
                  <c:v>0.23100000000000001</c:v>
                </c:pt>
                <c:pt idx="9">
                  <c:v>0.29299999999999998</c:v>
                </c:pt>
                <c:pt idx="10">
                  <c:v>0.36099999999999999</c:v>
                </c:pt>
                <c:pt idx="11">
                  <c:v>0.437</c:v>
                </c:pt>
                <c:pt idx="12">
                  <c:v>0.52</c:v>
                </c:pt>
                <c:pt idx="13">
                  <c:v>0.61099999999999999</c:v>
                </c:pt>
                <c:pt idx="14">
                  <c:v>0.70799999999999996</c:v>
                </c:pt>
                <c:pt idx="15">
                  <c:v>0.81299999999999994</c:v>
                </c:pt>
                <c:pt idx="16">
                  <c:v>0.92500000000000004</c:v>
                </c:pt>
                <c:pt idx="17">
                  <c:v>1.044</c:v>
                </c:pt>
                <c:pt idx="18">
                  <c:v>1.171</c:v>
                </c:pt>
                <c:pt idx="19">
                  <c:v>1.304</c:v>
                </c:pt>
                <c:pt idx="20">
                  <c:v>1.4450000000000001</c:v>
                </c:pt>
                <c:pt idx="21">
                  <c:v>1.593</c:v>
                </c:pt>
                <c:pt idx="22">
                  <c:v>1.7490000000000001</c:v>
                </c:pt>
                <c:pt idx="23">
                  <c:v>1.911</c:v>
                </c:pt>
                <c:pt idx="24">
                  <c:v>2.081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30-4806-B22D-D1A3D26B47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350848"/>
        <c:axId val="84352384"/>
      </c:lineChart>
      <c:catAx>
        <c:axId val="8435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4352384"/>
        <c:crosses val="autoZero"/>
        <c:auto val="1"/>
        <c:lblAlgn val="ctr"/>
        <c:lblOffset val="100"/>
        <c:noMultiLvlLbl val="0"/>
      </c:catAx>
      <c:valAx>
        <c:axId val="84352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3508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 - Power Curves @ Te 16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'Calculated Data'!$AB$475</c:f>
              <c:strCache>
                <c:ptCount val="1"/>
                <c:pt idx="0">
                  <c:v>Power Curve @ Te 16</c:v>
                </c:pt>
              </c:strCache>
            </c:strRef>
          </c:tx>
          <c:marker>
            <c:symbol val="none"/>
          </c:marker>
          <c:cat>
            <c:numRef>
              <c:f>'Calculated Data'!$AC$42:$AC$66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Data'!$AB$477:$AB$501</c:f>
              <c:numCache>
                <c:formatCode>General</c:formatCode>
                <c:ptCount val="25"/>
                <c:pt idx="0">
                  <c:v>0</c:v>
                </c:pt>
                <c:pt idx="1">
                  <c:v>2E-3</c:v>
                </c:pt>
                <c:pt idx="2">
                  <c:v>8.0000000000000002E-3</c:v>
                </c:pt>
                <c:pt idx="3">
                  <c:v>1.7000000000000001E-2</c:v>
                </c:pt>
                <c:pt idx="4">
                  <c:v>0.03</c:v>
                </c:pt>
                <c:pt idx="5">
                  <c:v>4.8000000000000001E-2</c:v>
                </c:pt>
                <c:pt idx="6">
                  <c:v>6.9000000000000006E-2</c:v>
                </c:pt>
                <c:pt idx="7">
                  <c:v>9.2999999999999999E-2</c:v>
                </c:pt>
                <c:pt idx="8">
                  <c:v>0.122</c:v>
                </c:pt>
                <c:pt idx="9">
                  <c:v>0.1154</c:v>
                </c:pt>
                <c:pt idx="10">
                  <c:v>0.19</c:v>
                </c:pt>
                <c:pt idx="11">
                  <c:v>0.23</c:v>
                </c:pt>
                <c:pt idx="12">
                  <c:v>0.27400000000000002</c:v>
                </c:pt>
                <c:pt idx="13">
                  <c:v>0.32200000000000001</c:v>
                </c:pt>
                <c:pt idx="14">
                  <c:v>0.373</c:v>
                </c:pt>
                <c:pt idx="15">
                  <c:v>0.42799999999999999</c:v>
                </c:pt>
                <c:pt idx="16">
                  <c:v>0.48699999999999999</c:v>
                </c:pt>
                <c:pt idx="17">
                  <c:v>0.55000000000000004</c:v>
                </c:pt>
                <c:pt idx="18">
                  <c:v>0.61699999999999999</c:v>
                </c:pt>
                <c:pt idx="19">
                  <c:v>0.68700000000000006</c:v>
                </c:pt>
                <c:pt idx="20">
                  <c:v>0.76100000000000001</c:v>
                </c:pt>
                <c:pt idx="21">
                  <c:v>0.83899999999999997</c:v>
                </c:pt>
                <c:pt idx="22">
                  <c:v>0.92100000000000004</c:v>
                </c:pt>
                <c:pt idx="23">
                  <c:v>1.0069999999999999</c:v>
                </c:pt>
                <c:pt idx="24">
                  <c:v>1.0960000000000001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23-41C7-A1BF-FDFB20E5D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364672"/>
        <c:axId val="84378752"/>
      </c:lineChart>
      <c:catAx>
        <c:axId val="84364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4378752"/>
        <c:crosses val="autoZero"/>
        <c:auto val="1"/>
        <c:lblAlgn val="ctr"/>
        <c:lblOffset val="100"/>
        <c:noMultiLvlLbl val="0"/>
      </c:catAx>
      <c:valAx>
        <c:axId val="84378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3646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 - Power Curves @ Te 17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'Calculated Data'!$AB$504</c:f>
              <c:strCache>
                <c:ptCount val="1"/>
                <c:pt idx="0">
                  <c:v>Power Curve @ Te 17</c:v>
                </c:pt>
              </c:strCache>
            </c:strRef>
          </c:tx>
          <c:marker>
            <c:symbol val="none"/>
          </c:marker>
          <c:cat>
            <c:numRef>
              <c:f>'Calculated Data'!$AC$42:$AC$66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Data'!$AB$506:$AB$530</c:f>
              <c:numCache>
                <c:formatCode>General</c:formatCode>
                <c:ptCount val="25"/>
                <c:pt idx="0">
                  <c:v>0</c:v>
                </c:pt>
                <c:pt idx="1">
                  <c:v>1E-3</c:v>
                </c:pt>
                <c:pt idx="2">
                  <c:v>4.0000000000000001E-3</c:v>
                </c:pt>
                <c:pt idx="3">
                  <c:v>8.9999999999999993E-3</c:v>
                </c:pt>
                <c:pt idx="4">
                  <c:v>1.7000000000000001E-2</c:v>
                </c:pt>
                <c:pt idx="5">
                  <c:v>2.5999999999999999E-2</c:v>
                </c:pt>
                <c:pt idx="6">
                  <c:v>3.6999999999999998E-2</c:v>
                </c:pt>
                <c:pt idx="7">
                  <c:v>5.0999999999999997E-2</c:v>
                </c:pt>
                <c:pt idx="8">
                  <c:v>6.7000000000000004E-2</c:v>
                </c:pt>
                <c:pt idx="9">
                  <c:v>8.4000000000000005E-2</c:v>
                </c:pt>
                <c:pt idx="10">
                  <c:v>0.104</c:v>
                </c:pt>
                <c:pt idx="11">
                  <c:v>0.126</c:v>
                </c:pt>
                <c:pt idx="12">
                  <c:v>0.15</c:v>
                </c:pt>
                <c:pt idx="13">
                  <c:v>0.17599999999999999</c:v>
                </c:pt>
                <c:pt idx="14">
                  <c:v>0.20399999999999999</c:v>
                </c:pt>
                <c:pt idx="15">
                  <c:v>0.23400000000000001</c:v>
                </c:pt>
                <c:pt idx="16">
                  <c:v>0.26700000000000002</c:v>
                </c:pt>
                <c:pt idx="17">
                  <c:v>0.30099999999999999</c:v>
                </c:pt>
                <c:pt idx="18">
                  <c:v>0.33700000000000002</c:v>
                </c:pt>
                <c:pt idx="19">
                  <c:v>0.376</c:v>
                </c:pt>
                <c:pt idx="20">
                  <c:v>0.41599999999999998</c:v>
                </c:pt>
                <c:pt idx="21">
                  <c:v>0.45900000000000002</c:v>
                </c:pt>
                <c:pt idx="22">
                  <c:v>0.504</c:v>
                </c:pt>
                <c:pt idx="23">
                  <c:v>0.55100000000000005</c:v>
                </c:pt>
                <c:pt idx="24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5F-43B2-8419-86D0072AD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399232"/>
        <c:axId val="84400768"/>
      </c:lineChart>
      <c:catAx>
        <c:axId val="84399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4400768"/>
        <c:crosses val="autoZero"/>
        <c:auto val="1"/>
        <c:lblAlgn val="ctr"/>
        <c:lblOffset val="100"/>
        <c:noMultiLvlLbl val="0"/>
      </c:catAx>
      <c:valAx>
        <c:axId val="84400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3992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 - Power Curves @ Te 18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'Calculated Data'!$AB$533</c:f>
              <c:strCache>
                <c:ptCount val="1"/>
                <c:pt idx="0">
                  <c:v>Power Curve @ Te 18</c:v>
                </c:pt>
              </c:strCache>
            </c:strRef>
          </c:tx>
          <c:marker>
            <c:symbol val="none"/>
          </c:marker>
          <c:cat>
            <c:numRef>
              <c:f>'Calculated Data'!$AC$42:$AC$66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Data'!$AB$535:$AB$559</c:f>
              <c:numCache>
                <c:formatCode>General</c:formatCode>
                <c:ptCount val="25"/>
                <c:pt idx="0">
                  <c:v>0</c:v>
                </c:pt>
                <c:pt idx="1">
                  <c:v>5.8910000000000006E-4</c:v>
                </c:pt>
                <c:pt idx="2">
                  <c:v>2E-3</c:v>
                </c:pt>
                <c:pt idx="3">
                  <c:v>5.0000000000000001E-3</c:v>
                </c:pt>
                <c:pt idx="4">
                  <c:v>8.9999999999999993E-3</c:v>
                </c:pt>
                <c:pt idx="5">
                  <c:v>1.4999999999999999E-2</c:v>
                </c:pt>
                <c:pt idx="6">
                  <c:v>2.1000000000000001E-2</c:v>
                </c:pt>
                <c:pt idx="7">
                  <c:v>2.9000000000000001E-2</c:v>
                </c:pt>
                <c:pt idx="8">
                  <c:v>3.7999999999999999E-2</c:v>
                </c:pt>
                <c:pt idx="9">
                  <c:v>4.8000000000000001E-2</c:v>
                </c:pt>
                <c:pt idx="10">
                  <c:v>5.8999999999999997E-2</c:v>
                </c:pt>
                <c:pt idx="11">
                  <c:v>7.0999999999999994E-2</c:v>
                </c:pt>
                <c:pt idx="12">
                  <c:v>8.5000000000000006E-2</c:v>
                </c:pt>
                <c:pt idx="13">
                  <c:v>0.1</c:v>
                </c:pt>
                <c:pt idx="14">
                  <c:v>0.115</c:v>
                </c:pt>
                <c:pt idx="15">
                  <c:v>0.13300000000000001</c:v>
                </c:pt>
                <c:pt idx="16">
                  <c:v>0.151</c:v>
                </c:pt>
                <c:pt idx="17">
                  <c:v>0.17</c:v>
                </c:pt>
                <c:pt idx="18">
                  <c:v>0.191</c:v>
                </c:pt>
                <c:pt idx="19">
                  <c:v>0.21299999999999999</c:v>
                </c:pt>
                <c:pt idx="20">
                  <c:v>0.23599999999999999</c:v>
                </c:pt>
                <c:pt idx="21">
                  <c:v>0.26</c:v>
                </c:pt>
                <c:pt idx="22">
                  <c:v>0.28499999999999998</c:v>
                </c:pt>
                <c:pt idx="23">
                  <c:v>0.312</c:v>
                </c:pt>
                <c:pt idx="24">
                  <c:v>0.33900000000000002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A3-4C39-AC8A-897673A2B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687488"/>
        <c:axId val="84689280"/>
      </c:lineChart>
      <c:catAx>
        <c:axId val="84687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4689280"/>
        <c:crosses val="autoZero"/>
        <c:auto val="1"/>
        <c:lblAlgn val="ctr"/>
        <c:lblOffset val="100"/>
        <c:noMultiLvlLbl val="0"/>
      </c:catAx>
      <c:valAx>
        <c:axId val="84689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6874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 - Power Curves @ Te 19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'Calculated Data'!$AB$562</c:f>
              <c:strCache>
                <c:ptCount val="1"/>
                <c:pt idx="0">
                  <c:v>Power Curve @ Te 19</c:v>
                </c:pt>
              </c:strCache>
            </c:strRef>
          </c:tx>
          <c:marker>
            <c:symbol val="none"/>
          </c:marker>
          <c:cat>
            <c:numRef>
              <c:f>'Calculated Data'!$AC$42:$AC$66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Data'!$AB$564:$AB$588</c:f>
              <c:numCache>
                <c:formatCode>General</c:formatCode>
                <c:ptCount val="25"/>
                <c:pt idx="0">
                  <c:v>0</c:v>
                </c:pt>
                <c:pt idx="1">
                  <c:v>3.436E-4</c:v>
                </c:pt>
                <c:pt idx="2">
                  <c:v>1E-3</c:v>
                </c:pt>
                <c:pt idx="3">
                  <c:v>3.0000000000000001E-3</c:v>
                </c:pt>
                <c:pt idx="4">
                  <c:v>5.0000000000000001E-3</c:v>
                </c:pt>
                <c:pt idx="5">
                  <c:v>8.9999999999999993E-3</c:v>
                </c:pt>
                <c:pt idx="6">
                  <c:v>1.2E-2</c:v>
                </c:pt>
                <c:pt idx="7">
                  <c:v>1.7000000000000001E-2</c:v>
                </c:pt>
                <c:pt idx="8">
                  <c:v>2.1999999999999999E-2</c:v>
                </c:pt>
                <c:pt idx="9">
                  <c:v>2.8000000000000001E-2</c:v>
                </c:pt>
                <c:pt idx="10">
                  <c:v>3.4000000000000002E-2</c:v>
                </c:pt>
                <c:pt idx="11">
                  <c:v>4.2000000000000003E-2</c:v>
                </c:pt>
                <c:pt idx="12">
                  <c:v>4.9000000000000002E-2</c:v>
                </c:pt>
                <c:pt idx="13">
                  <c:v>5.8000000000000003E-2</c:v>
                </c:pt>
                <c:pt idx="14">
                  <c:v>6.7000000000000004E-2</c:v>
                </c:pt>
                <c:pt idx="15">
                  <c:v>7.6999999999999999E-2</c:v>
                </c:pt>
                <c:pt idx="16">
                  <c:v>8.7999999999999995E-2</c:v>
                </c:pt>
                <c:pt idx="17">
                  <c:v>9.9000000000000005E-2</c:v>
                </c:pt>
                <c:pt idx="18">
                  <c:v>0.111</c:v>
                </c:pt>
                <c:pt idx="19">
                  <c:v>0.124</c:v>
                </c:pt>
                <c:pt idx="20">
                  <c:v>0.13700000000000001</c:v>
                </c:pt>
                <c:pt idx="21">
                  <c:v>0.152</c:v>
                </c:pt>
                <c:pt idx="22">
                  <c:v>0.16600000000000001</c:v>
                </c:pt>
                <c:pt idx="23">
                  <c:v>0.182</c:v>
                </c:pt>
                <c:pt idx="24">
                  <c:v>0.19800000000000001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22-4644-AB36-39162616D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717952"/>
        <c:axId val="84719488"/>
      </c:lineChart>
      <c:catAx>
        <c:axId val="84717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4719488"/>
        <c:crosses val="autoZero"/>
        <c:auto val="1"/>
        <c:lblAlgn val="ctr"/>
        <c:lblOffset val="100"/>
        <c:noMultiLvlLbl val="0"/>
      </c:catAx>
      <c:valAx>
        <c:axId val="84719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7179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 - Power Curves @ Te 20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'Calculated Data'!$AB$591</c:f>
              <c:strCache>
                <c:ptCount val="1"/>
                <c:pt idx="0">
                  <c:v>Power Curve @ Te 20</c:v>
                </c:pt>
              </c:strCache>
            </c:strRef>
          </c:tx>
          <c:marker>
            <c:symbol val="none"/>
          </c:marker>
          <c:cat>
            <c:numRef>
              <c:f>'Calculated Data'!$AC$42:$AC$66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Data'!$AB$593:$AB$617</c:f>
              <c:numCache>
                <c:formatCode>General</c:formatCode>
                <c:ptCount val="25"/>
                <c:pt idx="0">
                  <c:v>0</c:v>
                </c:pt>
                <c:pt idx="1">
                  <c:v>2.0600000000000002E-4</c:v>
                </c:pt>
                <c:pt idx="2">
                  <c:v>8.2379999999999997E-4</c:v>
                </c:pt>
                <c:pt idx="3">
                  <c:v>2E-3</c:v>
                </c:pt>
                <c:pt idx="4">
                  <c:v>3.0000000000000001E-3</c:v>
                </c:pt>
                <c:pt idx="5">
                  <c:v>5.0000000000000001E-3</c:v>
                </c:pt>
                <c:pt idx="6">
                  <c:v>7.0000000000000001E-3</c:v>
                </c:pt>
                <c:pt idx="7">
                  <c:v>0.01</c:v>
                </c:pt>
                <c:pt idx="8">
                  <c:v>1.2999999999999999E-2</c:v>
                </c:pt>
                <c:pt idx="9">
                  <c:v>1.7000000000000001E-2</c:v>
                </c:pt>
                <c:pt idx="10">
                  <c:v>2.1000000000000001E-2</c:v>
                </c:pt>
                <c:pt idx="11">
                  <c:v>2.5000000000000001E-2</c:v>
                </c:pt>
                <c:pt idx="12">
                  <c:v>0.03</c:v>
                </c:pt>
                <c:pt idx="13">
                  <c:v>3.5000000000000003E-2</c:v>
                </c:pt>
                <c:pt idx="14">
                  <c:v>0.04</c:v>
                </c:pt>
                <c:pt idx="15">
                  <c:v>4.5999999999999999E-2</c:v>
                </c:pt>
                <c:pt idx="16">
                  <c:v>5.2999999999999999E-2</c:v>
                </c:pt>
                <c:pt idx="17">
                  <c:v>0.06</c:v>
                </c:pt>
                <c:pt idx="18">
                  <c:v>6.7000000000000004E-2</c:v>
                </c:pt>
                <c:pt idx="19">
                  <c:v>7.3999999999999996E-2</c:v>
                </c:pt>
                <c:pt idx="20">
                  <c:v>8.2000000000000003E-2</c:v>
                </c:pt>
                <c:pt idx="21">
                  <c:v>9.0999999999999998E-2</c:v>
                </c:pt>
                <c:pt idx="22">
                  <c:v>0.1</c:v>
                </c:pt>
                <c:pt idx="23">
                  <c:v>0.109</c:v>
                </c:pt>
                <c:pt idx="24">
                  <c:v>0.11899999999999999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2C-4B51-BF25-34F521B97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755968"/>
        <c:axId val="84757504"/>
      </c:lineChart>
      <c:catAx>
        <c:axId val="84755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4757504"/>
        <c:crosses val="autoZero"/>
        <c:auto val="1"/>
        <c:lblAlgn val="ctr"/>
        <c:lblOffset val="100"/>
        <c:noMultiLvlLbl val="0"/>
      </c:catAx>
      <c:valAx>
        <c:axId val="84757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7559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 - Power Curves @ Te 21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'Calculated Data'!$AB$620</c:f>
              <c:strCache>
                <c:ptCount val="1"/>
                <c:pt idx="0">
                  <c:v>Power Curve @ Te 21</c:v>
                </c:pt>
              </c:strCache>
            </c:strRef>
          </c:tx>
          <c:marker>
            <c:symbol val="none"/>
          </c:marker>
          <c:cat>
            <c:numRef>
              <c:f>'Calculated Data'!$AC$42:$AC$66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Data'!$AB$622:$AB$646</c:f>
              <c:numCache>
                <c:formatCode>General</c:formatCode>
                <c:ptCount val="25"/>
                <c:pt idx="0">
                  <c:v>0</c:v>
                </c:pt>
                <c:pt idx="1">
                  <c:v>1.2660000000000001E-4</c:v>
                </c:pt>
                <c:pt idx="2">
                  <c:v>5.0620000000000005E-4</c:v>
                </c:pt>
                <c:pt idx="3">
                  <c:v>1E-3</c:v>
                </c:pt>
                <c:pt idx="4">
                  <c:v>2E-3</c:v>
                </c:pt>
                <c:pt idx="5">
                  <c:v>3.0000000000000001E-3</c:v>
                </c:pt>
                <c:pt idx="6">
                  <c:v>5.0000000000000001E-3</c:v>
                </c:pt>
                <c:pt idx="7">
                  <c:v>6.0000000000000001E-3</c:v>
                </c:pt>
                <c:pt idx="8">
                  <c:v>8.0000000000000002E-3</c:v>
                </c:pt>
                <c:pt idx="9">
                  <c:v>0.01</c:v>
                </c:pt>
                <c:pt idx="10">
                  <c:v>1.2999999999999999E-2</c:v>
                </c:pt>
                <c:pt idx="11">
                  <c:v>1.4999999999999999E-2</c:v>
                </c:pt>
                <c:pt idx="12">
                  <c:v>1.7999999999999999E-2</c:v>
                </c:pt>
                <c:pt idx="13">
                  <c:v>2.1000000000000001E-2</c:v>
                </c:pt>
                <c:pt idx="14">
                  <c:v>2.5000000000000001E-2</c:v>
                </c:pt>
                <c:pt idx="15">
                  <c:v>2.8000000000000001E-2</c:v>
                </c:pt>
                <c:pt idx="16">
                  <c:v>3.2000000000000001E-2</c:v>
                </c:pt>
                <c:pt idx="17">
                  <c:v>3.6999999999999998E-2</c:v>
                </c:pt>
                <c:pt idx="18">
                  <c:v>4.1000000000000002E-2</c:v>
                </c:pt>
                <c:pt idx="19">
                  <c:v>4.5999999999999999E-2</c:v>
                </c:pt>
                <c:pt idx="20">
                  <c:v>5.0999999999999997E-2</c:v>
                </c:pt>
                <c:pt idx="21">
                  <c:v>5.6000000000000001E-2</c:v>
                </c:pt>
                <c:pt idx="22">
                  <c:v>6.0999999999999999E-2</c:v>
                </c:pt>
                <c:pt idx="23">
                  <c:v>6.7000000000000004E-2</c:v>
                </c:pt>
                <c:pt idx="24">
                  <c:v>7.2999999999999995E-2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C6-4F8D-9963-2DDE06495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777984"/>
        <c:axId val="84796160"/>
      </c:lineChart>
      <c:catAx>
        <c:axId val="84777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4796160"/>
        <c:crosses val="autoZero"/>
        <c:auto val="1"/>
        <c:lblAlgn val="ctr"/>
        <c:lblOffset val="100"/>
        <c:noMultiLvlLbl val="0"/>
      </c:catAx>
      <c:valAx>
        <c:axId val="84796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7779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 - Power Curves @ Te 22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'Calculated Data'!$AB$649</c:f>
              <c:strCache>
                <c:ptCount val="1"/>
                <c:pt idx="0">
                  <c:v>Power Curve @ Te 22</c:v>
                </c:pt>
              </c:strCache>
            </c:strRef>
          </c:tx>
          <c:marker>
            <c:symbol val="none"/>
          </c:marker>
          <c:cat>
            <c:numRef>
              <c:f>'Calculated Data'!$AC$42:$AC$66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Data'!$AB$651:$AB$675</c:f>
              <c:numCache>
                <c:formatCode>General</c:formatCode>
                <c:ptCount val="25"/>
                <c:pt idx="0">
                  <c:v>0</c:v>
                </c:pt>
                <c:pt idx="1">
                  <c:v>7.9530000000000006E-5</c:v>
                </c:pt>
                <c:pt idx="2">
                  <c:v>3.1810000000000003E-4</c:v>
                </c:pt>
                <c:pt idx="3">
                  <c:v>7.157E-4</c:v>
                </c:pt>
                <c:pt idx="4">
                  <c:v>1E-3</c:v>
                </c:pt>
                <c:pt idx="5">
                  <c:v>2E-3</c:v>
                </c:pt>
                <c:pt idx="6">
                  <c:v>3.0000000000000001E-3</c:v>
                </c:pt>
                <c:pt idx="7">
                  <c:v>4.0000000000000001E-3</c:v>
                </c:pt>
                <c:pt idx="8">
                  <c:v>5.0000000000000001E-3</c:v>
                </c:pt>
                <c:pt idx="9">
                  <c:v>6.0000000000000001E-3</c:v>
                </c:pt>
                <c:pt idx="10">
                  <c:v>8.0000000000000002E-3</c:v>
                </c:pt>
                <c:pt idx="11">
                  <c:v>0.01</c:v>
                </c:pt>
                <c:pt idx="12">
                  <c:v>1.0999999999999999E-2</c:v>
                </c:pt>
                <c:pt idx="13">
                  <c:v>1.2999999999999999E-2</c:v>
                </c:pt>
                <c:pt idx="14">
                  <c:v>1.6E-2</c:v>
                </c:pt>
                <c:pt idx="15">
                  <c:v>1.7999999999999999E-2</c:v>
                </c:pt>
                <c:pt idx="16">
                  <c:v>0.02</c:v>
                </c:pt>
                <c:pt idx="17">
                  <c:v>2.3E-2</c:v>
                </c:pt>
                <c:pt idx="18">
                  <c:v>2.5999999999999999E-2</c:v>
                </c:pt>
                <c:pt idx="19">
                  <c:v>2.9000000000000001E-2</c:v>
                </c:pt>
                <c:pt idx="20">
                  <c:v>3.2000000000000001E-2</c:v>
                </c:pt>
                <c:pt idx="21">
                  <c:v>3.5000000000000003E-2</c:v>
                </c:pt>
                <c:pt idx="22">
                  <c:v>3.7999999999999999E-2</c:v>
                </c:pt>
                <c:pt idx="23">
                  <c:v>4.2000000000000003E-2</c:v>
                </c:pt>
                <c:pt idx="24">
                  <c:v>4.5999999999999999E-2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76-4254-B719-3D75EF751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86272"/>
        <c:axId val="84887808"/>
      </c:lineChart>
      <c:catAx>
        <c:axId val="84886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4887808"/>
        <c:crosses val="autoZero"/>
        <c:auto val="1"/>
        <c:lblAlgn val="ctr"/>
        <c:lblOffset val="100"/>
        <c:noMultiLvlLbl val="0"/>
      </c:catAx>
      <c:valAx>
        <c:axId val="84887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8862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 - Power Curves @ Te 23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'Calculated Data'!$AB$678</c:f>
              <c:strCache>
                <c:ptCount val="1"/>
                <c:pt idx="0">
                  <c:v>Power Curve @ Te 23</c:v>
                </c:pt>
              </c:strCache>
            </c:strRef>
          </c:tx>
          <c:marker>
            <c:symbol val="none"/>
          </c:marker>
          <c:cat>
            <c:numRef>
              <c:f>'Calculated Data'!$AC$42:$AC$66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Data'!$AB$680:$AB$704</c:f>
              <c:numCache>
                <c:formatCode>General</c:formatCode>
                <c:ptCount val="25"/>
                <c:pt idx="0">
                  <c:v>0</c:v>
                </c:pt>
                <c:pt idx="1">
                  <c:v>5.1010000000000001E-5</c:v>
                </c:pt>
                <c:pt idx="2">
                  <c:v>2.041E-4</c:v>
                </c:pt>
                <c:pt idx="3">
                  <c:v>4.5910000000000005E-4</c:v>
                </c:pt>
                <c:pt idx="4">
                  <c:v>8.1620000000000011E-4</c:v>
                </c:pt>
                <c:pt idx="5">
                  <c:v>1E-3</c:v>
                </c:pt>
                <c:pt idx="6">
                  <c:v>2E-3</c:v>
                </c:pt>
                <c:pt idx="7">
                  <c:v>2E-3</c:v>
                </c:pt>
                <c:pt idx="8">
                  <c:v>3.0000000000000001E-3</c:v>
                </c:pt>
                <c:pt idx="9">
                  <c:v>4.0000000000000001E-3</c:v>
                </c:pt>
                <c:pt idx="10">
                  <c:v>5.0000000000000001E-3</c:v>
                </c:pt>
                <c:pt idx="11">
                  <c:v>6.0000000000000001E-3</c:v>
                </c:pt>
                <c:pt idx="12">
                  <c:v>7.0000000000000001E-3</c:v>
                </c:pt>
                <c:pt idx="13">
                  <c:v>8.9999999999999993E-3</c:v>
                </c:pt>
                <c:pt idx="14">
                  <c:v>0.01</c:v>
                </c:pt>
                <c:pt idx="15">
                  <c:v>1.0999999999999999E-2</c:v>
                </c:pt>
                <c:pt idx="16">
                  <c:v>1.2999999999999999E-2</c:v>
                </c:pt>
                <c:pt idx="17">
                  <c:v>1.4999999999999999E-2</c:v>
                </c:pt>
                <c:pt idx="18">
                  <c:v>1.7000000000000001E-2</c:v>
                </c:pt>
                <c:pt idx="19">
                  <c:v>1.7999999999999999E-2</c:v>
                </c:pt>
                <c:pt idx="20">
                  <c:v>0.02</c:v>
                </c:pt>
                <c:pt idx="21">
                  <c:v>2.1999999999999999E-2</c:v>
                </c:pt>
                <c:pt idx="22">
                  <c:v>2.5000000000000001E-2</c:v>
                </c:pt>
                <c:pt idx="23">
                  <c:v>2.7E-2</c:v>
                </c:pt>
                <c:pt idx="24">
                  <c:v>2.9000000000000001E-2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1B-4255-8573-01B8A7EE3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916480"/>
        <c:axId val="84922368"/>
      </c:lineChart>
      <c:catAx>
        <c:axId val="84916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4922368"/>
        <c:crosses val="autoZero"/>
        <c:auto val="1"/>
        <c:lblAlgn val="ctr"/>
        <c:lblOffset val="100"/>
        <c:noMultiLvlLbl val="0"/>
      </c:catAx>
      <c:valAx>
        <c:axId val="84922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9164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 - Power Curves @ Te 24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'Calculated Data'!$AB$707</c:f>
              <c:strCache>
                <c:ptCount val="1"/>
                <c:pt idx="0">
                  <c:v>Power Curve @ Te 24</c:v>
                </c:pt>
              </c:strCache>
            </c:strRef>
          </c:tx>
          <c:marker>
            <c:symbol val="none"/>
          </c:marker>
          <c:cat>
            <c:numRef>
              <c:f>'Calculated Data'!$AC$42:$AC$66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Data'!$AB$709:$AB$733</c:f>
              <c:numCache>
                <c:formatCode>General</c:formatCode>
                <c:ptCount val="25"/>
                <c:pt idx="0">
                  <c:v>0</c:v>
                </c:pt>
                <c:pt idx="1">
                  <c:v>3.3350000000000004E-5</c:v>
                </c:pt>
                <c:pt idx="2">
                  <c:v>1.3340000000000002E-4</c:v>
                </c:pt>
                <c:pt idx="3">
                  <c:v>3.0010000000000003E-4</c:v>
                </c:pt>
                <c:pt idx="4">
                  <c:v>5.3360000000000007E-4</c:v>
                </c:pt>
                <c:pt idx="5">
                  <c:v>8.3370000000000004E-4</c:v>
                </c:pt>
                <c:pt idx="6">
                  <c:v>1E-3</c:v>
                </c:pt>
                <c:pt idx="7">
                  <c:v>2E-3</c:v>
                </c:pt>
                <c:pt idx="8">
                  <c:v>2E-3</c:v>
                </c:pt>
                <c:pt idx="9">
                  <c:v>3.0000000000000001E-3</c:v>
                </c:pt>
                <c:pt idx="10">
                  <c:v>3.0000000000000001E-3</c:v>
                </c:pt>
                <c:pt idx="11">
                  <c:v>4.0000000000000001E-3</c:v>
                </c:pt>
                <c:pt idx="12">
                  <c:v>5.0000000000000001E-3</c:v>
                </c:pt>
                <c:pt idx="13">
                  <c:v>6.0000000000000001E-3</c:v>
                </c:pt>
                <c:pt idx="14">
                  <c:v>7.0000000000000001E-3</c:v>
                </c:pt>
                <c:pt idx="15">
                  <c:v>8.0000000000000002E-3</c:v>
                </c:pt>
                <c:pt idx="16">
                  <c:v>8.9999999999999993E-3</c:v>
                </c:pt>
                <c:pt idx="17">
                  <c:v>0.01</c:v>
                </c:pt>
                <c:pt idx="18">
                  <c:v>1.0999999999999999E-2</c:v>
                </c:pt>
                <c:pt idx="19">
                  <c:v>1.2E-2</c:v>
                </c:pt>
                <c:pt idx="20">
                  <c:v>1.2999999999999999E-2</c:v>
                </c:pt>
                <c:pt idx="21">
                  <c:v>1.4999999999999999E-2</c:v>
                </c:pt>
                <c:pt idx="22">
                  <c:v>1.6E-2</c:v>
                </c:pt>
                <c:pt idx="23">
                  <c:v>1.7999999999999999E-2</c:v>
                </c:pt>
                <c:pt idx="24">
                  <c:v>1.9E-2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39-4BC4-8284-246C614EB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012480"/>
        <c:axId val="85014016"/>
      </c:lineChart>
      <c:catAx>
        <c:axId val="8501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5014016"/>
        <c:crosses val="autoZero"/>
        <c:auto val="1"/>
        <c:lblAlgn val="ctr"/>
        <c:lblOffset val="100"/>
        <c:noMultiLvlLbl val="0"/>
      </c:catAx>
      <c:valAx>
        <c:axId val="85014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50124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 - Power Curves @ Te 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'Calculated Data'!$T$156</c:f>
              <c:strCache>
                <c:ptCount val="1"/>
                <c:pt idx="0">
                  <c:v>Power Curves @ Te 5</c:v>
                </c:pt>
              </c:strCache>
            </c:strRef>
          </c:tx>
          <c:marker>
            <c:symbol val="none"/>
          </c:marker>
          <c:cat>
            <c:numRef>
              <c:f>'Calculated Data'!$AC$42:$AC$66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Data'!$X$158:$X$182</c:f>
              <c:numCache>
                <c:formatCode>General</c:formatCode>
                <c:ptCount val="25"/>
                <c:pt idx="0">
                  <c:v>48.218681894954429</c:v>
                </c:pt>
                <c:pt idx="1">
                  <c:v>68.259977387124025</c:v>
                </c:pt>
                <c:pt idx="2">
                  <c:v>91.775480577783043</c:v>
                </c:pt>
                <c:pt idx="3">
                  <c:v>118.76519146693143</c:v>
                </c:pt>
                <c:pt idx="4">
                  <c:v>149.22911005456913</c:v>
                </c:pt>
                <c:pt idx="5">
                  <c:v>183.16723634069626</c:v>
                </c:pt>
                <c:pt idx="6">
                  <c:v>220.5795703253128</c:v>
                </c:pt>
                <c:pt idx="7">
                  <c:v>250</c:v>
                </c:pt>
                <c:pt idx="8">
                  <c:v>250</c:v>
                </c:pt>
                <c:pt idx="9">
                  <c:v>250</c:v>
                </c:pt>
                <c:pt idx="10">
                  <c:v>250</c:v>
                </c:pt>
                <c:pt idx="11">
                  <c:v>250</c:v>
                </c:pt>
                <c:pt idx="12">
                  <c:v>250</c:v>
                </c:pt>
                <c:pt idx="13">
                  <c:v>250</c:v>
                </c:pt>
                <c:pt idx="14">
                  <c:v>250</c:v>
                </c:pt>
                <c:pt idx="15">
                  <c:v>250</c:v>
                </c:pt>
                <c:pt idx="16">
                  <c:v>250</c:v>
                </c:pt>
                <c:pt idx="17">
                  <c:v>250</c:v>
                </c:pt>
                <c:pt idx="18">
                  <c:v>250</c:v>
                </c:pt>
                <c:pt idx="19">
                  <c:v>250</c:v>
                </c:pt>
                <c:pt idx="20">
                  <c:v>250</c:v>
                </c:pt>
                <c:pt idx="21">
                  <c:v>250</c:v>
                </c:pt>
                <c:pt idx="22">
                  <c:v>250</c:v>
                </c:pt>
                <c:pt idx="23">
                  <c:v>250</c:v>
                </c:pt>
                <c:pt idx="24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0F-4312-82CB-98115839A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85536"/>
        <c:axId val="62461056"/>
      </c:lineChart>
      <c:catAx>
        <c:axId val="62385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2461056"/>
        <c:crosses val="autoZero"/>
        <c:auto val="1"/>
        <c:lblAlgn val="ctr"/>
        <c:lblOffset val="100"/>
        <c:noMultiLvlLbl val="0"/>
      </c:catAx>
      <c:valAx>
        <c:axId val="62461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23855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 - Power Curves @ Te 25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'Calculated Data'!$AB$736</c:f>
              <c:strCache>
                <c:ptCount val="1"/>
                <c:pt idx="0">
                  <c:v>Power Curve @ Te 25</c:v>
                </c:pt>
              </c:strCache>
            </c:strRef>
          </c:tx>
          <c:marker>
            <c:symbol val="none"/>
          </c:marker>
          <c:cat>
            <c:numRef>
              <c:f>'Calculated Data'!$AC$42:$AC$66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Data'!$AB$738:$AB$762</c:f>
              <c:numCache>
                <c:formatCode>General</c:formatCode>
                <c:ptCount val="25"/>
                <c:pt idx="0">
                  <c:v>0</c:v>
                </c:pt>
                <c:pt idx="1">
                  <c:v>2.2180000000000001E-5</c:v>
                </c:pt>
                <c:pt idx="2">
                  <c:v>8.8720000000000004E-5</c:v>
                </c:pt>
                <c:pt idx="3">
                  <c:v>1.996E-4</c:v>
                </c:pt>
                <c:pt idx="4">
                  <c:v>3.5490000000000001E-4</c:v>
                </c:pt>
                <c:pt idx="5">
                  <c:v>5.5449999999999998E-4</c:v>
                </c:pt>
                <c:pt idx="6">
                  <c:v>7.9850000000000006E-4</c:v>
                </c:pt>
                <c:pt idx="7">
                  <c:v>1E-3</c:v>
                </c:pt>
                <c:pt idx="8">
                  <c:v>1E-3</c:v>
                </c:pt>
                <c:pt idx="9">
                  <c:v>2E-3</c:v>
                </c:pt>
                <c:pt idx="10">
                  <c:v>2E-3</c:v>
                </c:pt>
                <c:pt idx="11">
                  <c:v>3.0000000000000001E-3</c:v>
                </c:pt>
                <c:pt idx="12">
                  <c:v>3.0000000000000001E-3</c:v>
                </c:pt>
                <c:pt idx="13">
                  <c:v>4.0000000000000001E-3</c:v>
                </c:pt>
                <c:pt idx="14">
                  <c:v>4.0000000000000001E-3</c:v>
                </c:pt>
                <c:pt idx="15">
                  <c:v>5.0000000000000001E-3</c:v>
                </c:pt>
                <c:pt idx="16">
                  <c:v>6.0000000000000001E-3</c:v>
                </c:pt>
                <c:pt idx="17">
                  <c:v>6.0000000000000001E-3</c:v>
                </c:pt>
                <c:pt idx="18">
                  <c:v>7.0000000000000001E-3</c:v>
                </c:pt>
                <c:pt idx="19">
                  <c:v>8.0000000000000002E-3</c:v>
                </c:pt>
                <c:pt idx="20">
                  <c:v>8.9999999999999993E-3</c:v>
                </c:pt>
                <c:pt idx="21">
                  <c:v>0.01</c:v>
                </c:pt>
                <c:pt idx="22">
                  <c:v>1.0999999999999999E-2</c:v>
                </c:pt>
                <c:pt idx="23">
                  <c:v>1.2E-2</c:v>
                </c:pt>
                <c:pt idx="24">
                  <c:v>1.2999999999999999E-2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AC-449E-8E3D-378B3E042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038592"/>
        <c:axId val="85040128"/>
      </c:lineChart>
      <c:catAx>
        <c:axId val="85038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5040128"/>
        <c:crosses val="autoZero"/>
        <c:auto val="1"/>
        <c:lblAlgn val="ctr"/>
        <c:lblOffset val="100"/>
        <c:noMultiLvlLbl val="0"/>
      </c:catAx>
      <c:valAx>
        <c:axId val="85040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50385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Point Absorber Performance Curves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'Calculated Data'!$T$40</c:f>
              <c:strCache>
                <c:ptCount val="1"/>
                <c:pt idx="0">
                  <c:v>Power Curves @ Te 1</c:v>
                </c:pt>
              </c:strCache>
            </c:strRef>
          </c:tx>
          <c:marker>
            <c:symbol val="none"/>
          </c:marker>
          <c:cat>
            <c:numRef>
              <c:f>'Calculated Data'!$AC$419:$AC$443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Data'!$X$42:$X$66</c:f>
              <c:numCache>
                <c:formatCode>General</c:formatCode>
                <c:ptCount val="25"/>
                <c:pt idx="0">
                  <c:v>42.840220121123217</c:v>
                </c:pt>
                <c:pt idx="1">
                  <c:v>60.646047171050562</c:v>
                </c:pt>
                <c:pt idx="2">
                  <c:v>81.538557985457942</c:v>
                </c:pt>
                <c:pt idx="3">
                  <c:v>105.51775256434547</c:v>
                </c:pt>
                <c:pt idx="4">
                  <c:v>132.58363090771306</c:v>
                </c:pt>
                <c:pt idx="5">
                  <c:v>162.73619301556073</c:v>
                </c:pt>
                <c:pt idx="6">
                  <c:v>195.97543888788852</c:v>
                </c:pt>
                <c:pt idx="7">
                  <c:v>232.30136852469641</c:v>
                </c:pt>
                <c:pt idx="8">
                  <c:v>250</c:v>
                </c:pt>
                <c:pt idx="9">
                  <c:v>250</c:v>
                </c:pt>
                <c:pt idx="10">
                  <c:v>250</c:v>
                </c:pt>
                <c:pt idx="11">
                  <c:v>250</c:v>
                </c:pt>
                <c:pt idx="12">
                  <c:v>250</c:v>
                </c:pt>
                <c:pt idx="13">
                  <c:v>250</c:v>
                </c:pt>
                <c:pt idx="14">
                  <c:v>250</c:v>
                </c:pt>
                <c:pt idx="15">
                  <c:v>250</c:v>
                </c:pt>
                <c:pt idx="16">
                  <c:v>250</c:v>
                </c:pt>
                <c:pt idx="17">
                  <c:v>250</c:v>
                </c:pt>
                <c:pt idx="18">
                  <c:v>250</c:v>
                </c:pt>
                <c:pt idx="19">
                  <c:v>250</c:v>
                </c:pt>
                <c:pt idx="20">
                  <c:v>250</c:v>
                </c:pt>
                <c:pt idx="21">
                  <c:v>250</c:v>
                </c:pt>
                <c:pt idx="22">
                  <c:v>250</c:v>
                </c:pt>
                <c:pt idx="23">
                  <c:v>250</c:v>
                </c:pt>
                <c:pt idx="24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B4-4428-9B2A-FF21AA441B55}"/>
            </c:ext>
          </c:extLst>
        </c:ser>
        <c:ser>
          <c:idx val="1"/>
          <c:order val="1"/>
          <c:tx>
            <c:strRef>
              <c:f>'Calculated Data'!$T$69</c:f>
              <c:strCache>
                <c:ptCount val="1"/>
                <c:pt idx="0">
                  <c:v>Power Curves @ Te 2</c:v>
                </c:pt>
              </c:strCache>
            </c:strRef>
          </c:tx>
          <c:marker>
            <c:symbol val="none"/>
          </c:marker>
          <c:cat>
            <c:numRef>
              <c:f>'Calculated Data'!$AC$419:$AC$443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Data'!$X$71:$X$95</c:f>
              <c:numCache>
                <c:formatCode>General</c:formatCode>
                <c:ptCount val="25"/>
                <c:pt idx="0">
                  <c:v>250</c:v>
                </c:pt>
                <c:pt idx="1">
                  <c:v>250</c:v>
                </c:pt>
                <c:pt idx="2">
                  <c:v>250</c:v>
                </c:pt>
                <c:pt idx="3">
                  <c:v>250</c:v>
                </c:pt>
                <c:pt idx="4">
                  <c:v>250</c:v>
                </c:pt>
                <c:pt idx="5">
                  <c:v>250</c:v>
                </c:pt>
                <c:pt idx="6">
                  <c:v>250</c:v>
                </c:pt>
                <c:pt idx="7">
                  <c:v>250</c:v>
                </c:pt>
                <c:pt idx="8">
                  <c:v>250</c:v>
                </c:pt>
                <c:pt idx="9">
                  <c:v>250</c:v>
                </c:pt>
                <c:pt idx="10">
                  <c:v>250</c:v>
                </c:pt>
                <c:pt idx="11">
                  <c:v>250</c:v>
                </c:pt>
                <c:pt idx="12">
                  <c:v>250</c:v>
                </c:pt>
                <c:pt idx="13">
                  <c:v>250</c:v>
                </c:pt>
                <c:pt idx="14">
                  <c:v>250</c:v>
                </c:pt>
                <c:pt idx="15">
                  <c:v>250</c:v>
                </c:pt>
                <c:pt idx="16">
                  <c:v>250</c:v>
                </c:pt>
                <c:pt idx="17">
                  <c:v>250</c:v>
                </c:pt>
                <c:pt idx="18">
                  <c:v>250</c:v>
                </c:pt>
                <c:pt idx="19">
                  <c:v>250</c:v>
                </c:pt>
                <c:pt idx="20">
                  <c:v>250</c:v>
                </c:pt>
                <c:pt idx="21">
                  <c:v>250</c:v>
                </c:pt>
                <c:pt idx="22">
                  <c:v>250</c:v>
                </c:pt>
                <c:pt idx="23">
                  <c:v>250</c:v>
                </c:pt>
                <c:pt idx="24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B4-4428-9B2A-FF21AA441B55}"/>
            </c:ext>
          </c:extLst>
        </c:ser>
        <c:ser>
          <c:idx val="2"/>
          <c:order val="2"/>
          <c:tx>
            <c:strRef>
              <c:f>'Calculated Data'!$T$98</c:f>
              <c:strCache>
                <c:ptCount val="1"/>
                <c:pt idx="0">
                  <c:v>Power Curves @ Te 3</c:v>
                </c:pt>
              </c:strCache>
            </c:strRef>
          </c:tx>
          <c:marker>
            <c:symbol val="none"/>
          </c:marker>
          <c:cat>
            <c:numRef>
              <c:f>'Calculated Data'!$AC$419:$AC$443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Data'!$X$100:$X$124</c:f>
              <c:numCache>
                <c:formatCode>General</c:formatCode>
                <c:ptCount val="25"/>
                <c:pt idx="0">
                  <c:v>250</c:v>
                </c:pt>
                <c:pt idx="1">
                  <c:v>250</c:v>
                </c:pt>
                <c:pt idx="2">
                  <c:v>250</c:v>
                </c:pt>
                <c:pt idx="3">
                  <c:v>250</c:v>
                </c:pt>
                <c:pt idx="4">
                  <c:v>250</c:v>
                </c:pt>
                <c:pt idx="5">
                  <c:v>250</c:v>
                </c:pt>
                <c:pt idx="6">
                  <c:v>250</c:v>
                </c:pt>
                <c:pt idx="7">
                  <c:v>250</c:v>
                </c:pt>
                <c:pt idx="8">
                  <c:v>250</c:v>
                </c:pt>
                <c:pt idx="9">
                  <c:v>250</c:v>
                </c:pt>
                <c:pt idx="10">
                  <c:v>250</c:v>
                </c:pt>
                <c:pt idx="11">
                  <c:v>250</c:v>
                </c:pt>
                <c:pt idx="12">
                  <c:v>250</c:v>
                </c:pt>
                <c:pt idx="13">
                  <c:v>250</c:v>
                </c:pt>
                <c:pt idx="14">
                  <c:v>250</c:v>
                </c:pt>
                <c:pt idx="15">
                  <c:v>250</c:v>
                </c:pt>
                <c:pt idx="16">
                  <c:v>250</c:v>
                </c:pt>
                <c:pt idx="17">
                  <c:v>250</c:v>
                </c:pt>
                <c:pt idx="18">
                  <c:v>250</c:v>
                </c:pt>
                <c:pt idx="19">
                  <c:v>250</c:v>
                </c:pt>
                <c:pt idx="20">
                  <c:v>250</c:v>
                </c:pt>
                <c:pt idx="21">
                  <c:v>250</c:v>
                </c:pt>
                <c:pt idx="22">
                  <c:v>250</c:v>
                </c:pt>
                <c:pt idx="23">
                  <c:v>250</c:v>
                </c:pt>
                <c:pt idx="24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B4-4428-9B2A-FF21AA441B55}"/>
            </c:ext>
          </c:extLst>
        </c:ser>
        <c:ser>
          <c:idx val="3"/>
          <c:order val="3"/>
          <c:tx>
            <c:strRef>
              <c:f>'Calculated Data'!$T$127</c:f>
              <c:strCache>
                <c:ptCount val="1"/>
                <c:pt idx="0">
                  <c:v>Power Curves @ Te 4</c:v>
                </c:pt>
              </c:strCache>
            </c:strRef>
          </c:tx>
          <c:marker>
            <c:symbol val="none"/>
          </c:marker>
          <c:cat>
            <c:numRef>
              <c:f>'Calculated Data'!$AC$419:$AC$443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Data'!$X$129:$X$153</c:f>
              <c:numCache>
                <c:formatCode>General</c:formatCode>
                <c:ptCount val="25"/>
                <c:pt idx="0">
                  <c:v>99.503677881592608</c:v>
                </c:pt>
                <c:pt idx="1">
                  <c:v>140.86073146773242</c:v>
                </c:pt>
                <c:pt idx="2">
                  <c:v>189.38713166681669</c:v>
                </c:pt>
                <c:pt idx="3">
                  <c:v>245.08287847884532</c:v>
                </c:pt>
                <c:pt idx="4">
                  <c:v>250</c:v>
                </c:pt>
                <c:pt idx="5">
                  <c:v>250</c:v>
                </c:pt>
                <c:pt idx="6">
                  <c:v>250</c:v>
                </c:pt>
                <c:pt idx="7">
                  <c:v>250</c:v>
                </c:pt>
                <c:pt idx="8">
                  <c:v>250</c:v>
                </c:pt>
                <c:pt idx="9">
                  <c:v>250</c:v>
                </c:pt>
                <c:pt idx="10">
                  <c:v>250</c:v>
                </c:pt>
                <c:pt idx="11">
                  <c:v>250</c:v>
                </c:pt>
                <c:pt idx="12">
                  <c:v>250</c:v>
                </c:pt>
                <c:pt idx="13">
                  <c:v>250</c:v>
                </c:pt>
                <c:pt idx="14">
                  <c:v>250</c:v>
                </c:pt>
                <c:pt idx="15">
                  <c:v>250</c:v>
                </c:pt>
                <c:pt idx="16">
                  <c:v>250</c:v>
                </c:pt>
                <c:pt idx="17">
                  <c:v>250</c:v>
                </c:pt>
                <c:pt idx="18">
                  <c:v>250</c:v>
                </c:pt>
                <c:pt idx="19">
                  <c:v>250</c:v>
                </c:pt>
                <c:pt idx="20">
                  <c:v>250</c:v>
                </c:pt>
                <c:pt idx="21">
                  <c:v>250</c:v>
                </c:pt>
                <c:pt idx="22">
                  <c:v>250</c:v>
                </c:pt>
                <c:pt idx="23">
                  <c:v>250</c:v>
                </c:pt>
                <c:pt idx="24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5B4-4428-9B2A-FF21AA441B55}"/>
            </c:ext>
          </c:extLst>
        </c:ser>
        <c:ser>
          <c:idx val="4"/>
          <c:order val="4"/>
          <c:tx>
            <c:strRef>
              <c:f>'Calculated Data'!$T$156</c:f>
              <c:strCache>
                <c:ptCount val="1"/>
                <c:pt idx="0">
                  <c:v>Power Curves @ Te 5</c:v>
                </c:pt>
              </c:strCache>
            </c:strRef>
          </c:tx>
          <c:marker>
            <c:symbol val="none"/>
          </c:marker>
          <c:cat>
            <c:numRef>
              <c:f>'Calculated Data'!$AC$419:$AC$443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Data'!$X$158:$X$182</c:f>
              <c:numCache>
                <c:formatCode>General</c:formatCode>
                <c:ptCount val="25"/>
                <c:pt idx="0">
                  <c:v>48.218681894954429</c:v>
                </c:pt>
                <c:pt idx="1">
                  <c:v>68.259977387124025</c:v>
                </c:pt>
                <c:pt idx="2">
                  <c:v>91.775480577783043</c:v>
                </c:pt>
                <c:pt idx="3">
                  <c:v>118.76519146693143</c:v>
                </c:pt>
                <c:pt idx="4">
                  <c:v>149.22911005456913</c:v>
                </c:pt>
                <c:pt idx="5">
                  <c:v>183.16723634069626</c:v>
                </c:pt>
                <c:pt idx="6">
                  <c:v>220.5795703253128</c:v>
                </c:pt>
                <c:pt idx="7">
                  <c:v>250</c:v>
                </c:pt>
                <c:pt idx="8">
                  <c:v>250</c:v>
                </c:pt>
                <c:pt idx="9">
                  <c:v>250</c:v>
                </c:pt>
                <c:pt idx="10">
                  <c:v>250</c:v>
                </c:pt>
                <c:pt idx="11">
                  <c:v>250</c:v>
                </c:pt>
                <c:pt idx="12">
                  <c:v>250</c:v>
                </c:pt>
                <c:pt idx="13">
                  <c:v>250</c:v>
                </c:pt>
                <c:pt idx="14">
                  <c:v>250</c:v>
                </c:pt>
                <c:pt idx="15">
                  <c:v>250</c:v>
                </c:pt>
                <c:pt idx="16">
                  <c:v>250</c:v>
                </c:pt>
                <c:pt idx="17">
                  <c:v>250</c:v>
                </c:pt>
                <c:pt idx="18">
                  <c:v>250</c:v>
                </c:pt>
                <c:pt idx="19">
                  <c:v>250</c:v>
                </c:pt>
                <c:pt idx="20">
                  <c:v>250</c:v>
                </c:pt>
                <c:pt idx="21">
                  <c:v>250</c:v>
                </c:pt>
                <c:pt idx="22">
                  <c:v>250</c:v>
                </c:pt>
                <c:pt idx="23">
                  <c:v>250</c:v>
                </c:pt>
                <c:pt idx="24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5B4-4428-9B2A-FF21AA441B55}"/>
            </c:ext>
          </c:extLst>
        </c:ser>
        <c:ser>
          <c:idx val="5"/>
          <c:order val="5"/>
          <c:tx>
            <c:strRef>
              <c:f>'Calculated Data'!$T$185</c:f>
              <c:strCache>
                <c:ptCount val="1"/>
                <c:pt idx="0">
                  <c:v>Power Curves @ Te 6</c:v>
                </c:pt>
              </c:strCache>
            </c:strRef>
          </c:tx>
          <c:marker>
            <c:symbol val="none"/>
          </c:marker>
          <c:cat>
            <c:numRef>
              <c:f>'Calculated Data'!$AC$419:$AC$443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Data'!$X$187:$X$210</c:f>
              <c:numCache>
                <c:formatCode>General</c:formatCode>
                <c:ptCount val="24"/>
                <c:pt idx="0">
                  <c:v>29.412439464086866</c:v>
                </c:pt>
                <c:pt idx="1">
                  <c:v>41.637232164341022</c:v>
                </c:pt>
                <c:pt idx="2">
                  <c:v>55.98122264441205</c:v>
                </c:pt>
                <c:pt idx="3">
                  <c:v>72.444410904299943</c:v>
                </c:pt>
                <c:pt idx="4">
                  <c:v>91.026796944004701</c:v>
                </c:pt>
                <c:pt idx="5">
                  <c:v>111.72838076352632</c:v>
                </c:pt>
                <c:pt idx="6">
                  <c:v>134.54916236286485</c:v>
                </c:pt>
                <c:pt idx="7">
                  <c:v>159.48914174202028</c:v>
                </c:pt>
                <c:pt idx="8">
                  <c:v>186.54831890099243</c:v>
                </c:pt>
                <c:pt idx="9">
                  <c:v>215.7266938397816</c:v>
                </c:pt>
                <c:pt idx="10">
                  <c:v>247.02426655838755</c:v>
                </c:pt>
                <c:pt idx="11">
                  <c:v>250</c:v>
                </c:pt>
                <c:pt idx="12">
                  <c:v>250</c:v>
                </c:pt>
                <c:pt idx="13">
                  <c:v>250</c:v>
                </c:pt>
                <c:pt idx="14">
                  <c:v>250</c:v>
                </c:pt>
                <c:pt idx="15">
                  <c:v>250</c:v>
                </c:pt>
                <c:pt idx="16">
                  <c:v>250</c:v>
                </c:pt>
                <c:pt idx="17">
                  <c:v>250</c:v>
                </c:pt>
                <c:pt idx="18">
                  <c:v>250</c:v>
                </c:pt>
                <c:pt idx="19">
                  <c:v>250</c:v>
                </c:pt>
                <c:pt idx="20">
                  <c:v>250</c:v>
                </c:pt>
                <c:pt idx="21">
                  <c:v>250</c:v>
                </c:pt>
                <c:pt idx="22">
                  <c:v>250</c:v>
                </c:pt>
                <c:pt idx="23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5B4-4428-9B2A-FF21AA441B55}"/>
            </c:ext>
          </c:extLst>
        </c:ser>
        <c:ser>
          <c:idx val="6"/>
          <c:order val="6"/>
          <c:tx>
            <c:strRef>
              <c:f>'Calculated Data'!$T$214</c:f>
              <c:strCache>
                <c:ptCount val="1"/>
                <c:pt idx="0">
                  <c:v>Power Curves @ Te 7</c:v>
                </c:pt>
              </c:strCache>
            </c:strRef>
          </c:tx>
          <c:marker>
            <c:symbol val="none"/>
          </c:marker>
          <c:cat>
            <c:numRef>
              <c:f>'Calculated Data'!$AC$419:$AC$443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Data'!$X$216:$X$240</c:f>
              <c:numCache>
                <c:formatCode>General</c:formatCode>
                <c:ptCount val="25"/>
                <c:pt idx="0">
                  <c:v>20.138759098733853</c:v>
                </c:pt>
                <c:pt idx="1">
                  <c:v>28.509100345776062</c:v>
                </c:pt>
                <c:pt idx="2">
                  <c:v>38.330460765247494</c:v>
                </c:pt>
                <c:pt idx="3">
                  <c:v>49.602840357148111</c:v>
                </c:pt>
                <c:pt idx="4">
                  <c:v>62.326239121477954</c:v>
                </c:pt>
                <c:pt idx="5">
                  <c:v>76.500657058237024</c:v>
                </c:pt>
                <c:pt idx="6">
                  <c:v>92.126094167425308</c:v>
                </c:pt>
                <c:pt idx="7">
                  <c:v>109.20255044904276</c:v>
                </c:pt>
                <c:pt idx="8">
                  <c:v>127.73002590308944</c:v>
                </c:pt>
                <c:pt idx="9">
                  <c:v>147.70852052956539</c:v>
                </c:pt>
                <c:pt idx="10">
                  <c:v>169.13803432847047</c:v>
                </c:pt>
                <c:pt idx="11">
                  <c:v>192.01856729980486</c:v>
                </c:pt>
                <c:pt idx="12">
                  <c:v>216.35011944356833</c:v>
                </c:pt>
                <c:pt idx="13">
                  <c:v>242.13269075976115</c:v>
                </c:pt>
                <c:pt idx="14">
                  <c:v>250</c:v>
                </c:pt>
                <c:pt idx="15">
                  <c:v>250</c:v>
                </c:pt>
                <c:pt idx="16">
                  <c:v>250</c:v>
                </c:pt>
                <c:pt idx="17">
                  <c:v>250</c:v>
                </c:pt>
                <c:pt idx="18">
                  <c:v>250</c:v>
                </c:pt>
                <c:pt idx="19">
                  <c:v>250</c:v>
                </c:pt>
                <c:pt idx="20">
                  <c:v>250</c:v>
                </c:pt>
                <c:pt idx="21">
                  <c:v>250</c:v>
                </c:pt>
                <c:pt idx="22">
                  <c:v>250</c:v>
                </c:pt>
                <c:pt idx="23">
                  <c:v>250</c:v>
                </c:pt>
                <c:pt idx="24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5B4-4428-9B2A-FF21AA441B55}"/>
            </c:ext>
          </c:extLst>
        </c:ser>
        <c:ser>
          <c:idx val="7"/>
          <c:order val="7"/>
          <c:tx>
            <c:strRef>
              <c:f>'Calculated Data'!$T$243</c:f>
              <c:strCache>
                <c:ptCount val="1"/>
                <c:pt idx="0">
                  <c:v>Power Curves @ Te 8</c:v>
                </c:pt>
              </c:strCache>
            </c:strRef>
          </c:tx>
          <c:marker>
            <c:symbol val="none"/>
          </c:marker>
          <c:cat>
            <c:numRef>
              <c:f>'Calculated Data'!$AC$419:$AC$443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Data'!$X$245:$X$269</c:f>
              <c:numCache>
                <c:formatCode>General</c:formatCode>
                <c:ptCount val="25"/>
                <c:pt idx="0">
                  <c:v>14.784523048157514</c:v>
                </c:pt>
                <c:pt idx="1">
                  <c:v>20.929464873079564</c:v>
                </c:pt>
                <c:pt idx="2">
                  <c:v>28.139647425740733</c:v>
                </c:pt>
                <c:pt idx="3">
                  <c:v>36.415070706141023</c:v>
                </c:pt>
                <c:pt idx="4">
                  <c:v>45.755734714280436</c:v>
                </c:pt>
                <c:pt idx="5">
                  <c:v>56.161639450158972</c:v>
                </c:pt>
                <c:pt idx="6">
                  <c:v>67.632784913776632</c:v>
                </c:pt>
                <c:pt idx="7">
                  <c:v>80.169171105133415</c:v>
                </c:pt>
                <c:pt idx="8">
                  <c:v>93.770798024229322</c:v>
                </c:pt>
                <c:pt idx="9">
                  <c:v>108.43766567106438</c:v>
                </c:pt>
                <c:pt idx="10">
                  <c:v>124.16977404563849</c:v>
                </c:pt>
                <c:pt idx="11">
                  <c:v>140.96712314795181</c:v>
                </c:pt>
                <c:pt idx="12">
                  <c:v>158.82971297800415</c:v>
                </c:pt>
                <c:pt idx="13">
                  <c:v>177.75754353579566</c:v>
                </c:pt>
                <c:pt idx="14">
                  <c:v>197.75061482132634</c:v>
                </c:pt>
                <c:pt idx="15">
                  <c:v>218.80892683459615</c:v>
                </c:pt>
                <c:pt idx="16">
                  <c:v>240.93247957560496</c:v>
                </c:pt>
                <c:pt idx="17">
                  <c:v>250</c:v>
                </c:pt>
                <c:pt idx="18">
                  <c:v>250</c:v>
                </c:pt>
                <c:pt idx="19">
                  <c:v>250</c:v>
                </c:pt>
                <c:pt idx="20">
                  <c:v>250</c:v>
                </c:pt>
                <c:pt idx="21">
                  <c:v>250</c:v>
                </c:pt>
                <c:pt idx="22">
                  <c:v>250</c:v>
                </c:pt>
                <c:pt idx="23">
                  <c:v>250</c:v>
                </c:pt>
                <c:pt idx="24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5B4-4428-9B2A-FF21AA441B55}"/>
            </c:ext>
          </c:extLst>
        </c:ser>
        <c:ser>
          <c:idx val="8"/>
          <c:order val="8"/>
          <c:tx>
            <c:strRef>
              <c:f>'Calculated Data'!$T$272</c:f>
              <c:strCache>
                <c:ptCount val="1"/>
                <c:pt idx="0">
                  <c:v>Power Curves @ Te 9</c:v>
                </c:pt>
              </c:strCache>
            </c:strRef>
          </c:tx>
          <c:marker>
            <c:symbol val="none"/>
          </c:marker>
          <c:cat>
            <c:numRef>
              <c:f>'Calculated Data'!$AC$419:$AC$443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Data'!$X$274:$X$298</c:f>
              <c:numCache>
                <c:formatCode>General</c:formatCode>
                <c:ptCount val="25"/>
                <c:pt idx="0">
                  <c:v>11.374446478756429</c:v>
                </c:pt>
                <c:pt idx="1">
                  <c:v>16.102046528820825</c:v>
                </c:pt>
                <c:pt idx="2">
                  <c:v>21.64918763578596</c:v>
                </c:pt>
                <c:pt idx="3">
                  <c:v>28.015869799651814</c:v>
                </c:pt>
                <c:pt idx="4">
                  <c:v>35.202093020418388</c:v>
                </c:pt>
                <c:pt idx="5">
                  <c:v>43.207857298085699</c:v>
                </c:pt>
                <c:pt idx="6">
                  <c:v>52.033162632653749</c:v>
                </c:pt>
                <c:pt idx="7">
                  <c:v>61.678009024122531</c:v>
                </c:pt>
                <c:pt idx="8">
                  <c:v>72.142396472492024</c:v>
                </c:pt>
                <c:pt idx="9">
                  <c:v>83.426324977762263</c:v>
                </c:pt>
                <c:pt idx="10">
                  <c:v>95.529794539933221</c:v>
                </c:pt>
                <c:pt idx="11">
                  <c:v>108.45280515900491</c:v>
                </c:pt>
                <c:pt idx="12">
                  <c:v>122.19535683497732</c:v>
                </c:pt>
                <c:pt idx="13">
                  <c:v>136.7574495678505</c:v>
                </c:pt>
                <c:pt idx="14">
                  <c:v>152.1390833576244</c:v>
                </c:pt>
                <c:pt idx="15">
                  <c:v>168.34025820429898</c:v>
                </c:pt>
                <c:pt idx="16">
                  <c:v>185.36097410787434</c:v>
                </c:pt>
                <c:pt idx="17">
                  <c:v>203.20123106835035</c:v>
                </c:pt>
                <c:pt idx="18">
                  <c:v>221.86102908572718</c:v>
                </c:pt>
                <c:pt idx="19">
                  <c:v>241.34036816000472</c:v>
                </c:pt>
                <c:pt idx="20">
                  <c:v>250</c:v>
                </c:pt>
                <c:pt idx="21">
                  <c:v>250</c:v>
                </c:pt>
                <c:pt idx="22">
                  <c:v>250</c:v>
                </c:pt>
                <c:pt idx="23">
                  <c:v>250</c:v>
                </c:pt>
                <c:pt idx="24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5B4-4428-9B2A-FF21AA441B55}"/>
            </c:ext>
          </c:extLst>
        </c:ser>
        <c:ser>
          <c:idx val="9"/>
          <c:order val="9"/>
          <c:tx>
            <c:strRef>
              <c:f>'Calculated Data'!$T$301</c:f>
              <c:strCache>
                <c:ptCount val="1"/>
                <c:pt idx="0">
                  <c:v>Power Curves @ Te 10</c:v>
                </c:pt>
              </c:strCache>
            </c:strRef>
          </c:tx>
          <c:marker>
            <c:symbol val="none"/>
          </c:marker>
          <c:cat>
            <c:numRef>
              <c:f>'Calculated Data'!$AC$419:$AC$443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Data'!$X$303:$X$327</c:f>
              <c:numCache>
                <c:formatCode>General</c:formatCode>
                <c:ptCount val="25"/>
                <c:pt idx="0">
                  <c:v>9.0518877142186156</c:v>
                </c:pt>
                <c:pt idx="1">
                  <c:v>12.814154730098574</c:v>
                </c:pt>
                <c:pt idx="2">
                  <c:v>17.228619955193579</c:v>
                </c:pt>
                <c:pt idx="3">
                  <c:v>22.295283389503641</c:v>
                </c:pt>
                <c:pt idx="4">
                  <c:v>28.014145033028775</c:v>
                </c:pt>
                <c:pt idx="5">
                  <c:v>34.385204885768957</c:v>
                </c:pt>
                <c:pt idx="6">
                  <c:v>41.408462947724196</c:v>
                </c:pt>
                <c:pt idx="7">
                  <c:v>49.083919218894508</c:v>
                </c:pt>
                <c:pt idx="8">
                  <c:v>57.41157369927982</c:v>
                </c:pt>
                <c:pt idx="9">
                  <c:v>66.391426388880262</c:v>
                </c:pt>
                <c:pt idx="10">
                  <c:v>76.023477287695698</c:v>
                </c:pt>
                <c:pt idx="11">
                  <c:v>86.30772639572622</c:v>
                </c:pt>
                <c:pt idx="12">
                  <c:v>97.244173712971801</c:v>
                </c:pt>
                <c:pt idx="13">
                  <c:v>108.83281923943244</c:v>
                </c:pt>
                <c:pt idx="14">
                  <c:v>121.07366297510816</c:v>
                </c:pt>
                <c:pt idx="15">
                  <c:v>133.96670491999888</c:v>
                </c:pt>
                <c:pt idx="16">
                  <c:v>147.51194507410469</c:v>
                </c:pt>
                <c:pt idx="17">
                  <c:v>161.70938343742557</c:v>
                </c:pt>
                <c:pt idx="18">
                  <c:v>176.55902000996147</c:v>
                </c:pt>
                <c:pt idx="19">
                  <c:v>192.06085479171253</c:v>
                </c:pt>
                <c:pt idx="20">
                  <c:v>208.21488778267846</c:v>
                </c:pt>
                <c:pt idx="21">
                  <c:v>225.02111898285955</c:v>
                </c:pt>
                <c:pt idx="22">
                  <c:v>242.47954839225568</c:v>
                </c:pt>
                <c:pt idx="23">
                  <c:v>250</c:v>
                </c:pt>
                <c:pt idx="24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5B4-4428-9B2A-FF21AA441B55}"/>
            </c:ext>
          </c:extLst>
        </c:ser>
        <c:ser>
          <c:idx val="10"/>
          <c:order val="10"/>
          <c:tx>
            <c:strRef>
              <c:f>'Calculated Data'!$T$330</c:f>
              <c:strCache>
                <c:ptCount val="1"/>
                <c:pt idx="0">
                  <c:v>Power Curves @ Te 11</c:v>
                </c:pt>
              </c:strCache>
            </c:strRef>
          </c:tx>
          <c:marker>
            <c:symbol val="none"/>
          </c:marker>
          <c:cat>
            <c:numRef>
              <c:f>'Calculated Data'!$AC$419:$AC$443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Data'!$X$332:$X$356</c:f>
              <c:numCache>
                <c:formatCode>General</c:formatCode>
                <c:ptCount val="25"/>
                <c:pt idx="0">
                  <c:v>7.3907895124625549</c:v>
                </c:pt>
                <c:pt idx="1">
                  <c:v>10.462648607706502</c:v>
                </c:pt>
                <c:pt idx="2">
                  <c:v>14.067022006805752</c:v>
                </c:pt>
                <c:pt idx="3">
                  <c:v>18.203909709760296</c:v>
                </c:pt>
                <c:pt idx="4">
                  <c:v>22.873311716570147</c:v>
                </c:pt>
                <c:pt idx="5">
                  <c:v>28.075228027235315</c:v>
                </c:pt>
                <c:pt idx="6">
                  <c:v>33.809658641755767</c:v>
                </c:pt>
                <c:pt idx="7">
                  <c:v>40.076603560131545</c:v>
                </c:pt>
                <c:pt idx="8">
                  <c:v>46.876062782362595</c:v>
                </c:pt>
                <c:pt idx="9">
                  <c:v>54.208036308448989</c:v>
                </c:pt>
                <c:pt idx="10">
                  <c:v>62.072524138390641</c:v>
                </c:pt>
                <c:pt idx="11">
                  <c:v>70.469526272187622</c:v>
                </c:pt>
                <c:pt idx="12">
                  <c:v>79.399042709839904</c:v>
                </c:pt>
                <c:pt idx="13">
                  <c:v>88.861073451347494</c:v>
                </c:pt>
                <c:pt idx="14">
                  <c:v>98.85561849671042</c:v>
                </c:pt>
                <c:pt idx="15">
                  <c:v>109.38267784592858</c:v>
                </c:pt>
                <c:pt idx="16">
                  <c:v>120.44225149900208</c:v>
                </c:pt>
                <c:pt idx="17">
                  <c:v>132.0343394559309</c:v>
                </c:pt>
                <c:pt idx="18">
                  <c:v>144.15894171671499</c:v>
                </c:pt>
                <c:pt idx="19">
                  <c:v>156.8160582813544</c:v>
                </c:pt>
                <c:pt idx="20">
                  <c:v>170.00568914984908</c:v>
                </c:pt>
                <c:pt idx="21">
                  <c:v>183.7278343221991</c:v>
                </c:pt>
                <c:pt idx="22">
                  <c:v>197.98249379840442</c:v>
                </c:pt>
                <c:pt idx="23">
                  <c:v>212.76966757846509</c:v>
                </c:pt>
                <c:pt idx="24">
                  <c:v>228.08935566238097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5B4-4428-9B2A-FF21AA441B55}"/>
            </c:ext>
          </c:extLst>
        </c:ser>
        <c:ser>
          <c:idx val="11"/>
          <c:order val="11"/>
          <c:tx>
            <c:strRef>
              <c:f>'Calculated Data'!$T$359</c:f>
              <c:strCache>
                <c:ptCount val="1"/>
                <c:pt idx="0">
                  <c:v>Power Curves @ Te 12</c:v>
                </c:pt>
              </c:strCache>
            </c:strRef>
          </c:tx>
          <c:marker>
            <c:symbol val="none"/>
          </c:marker>
          <c:cat>
            <c:numRef>
              <c:f>'Calculated Data'!$AC$419:$AC$443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Data'!$X$361:$X$386</c:f>
              <c:numCache>
                <c:formatCode>General</c:formatCode>
                <c:ptCount val="26"/>
                <c:pt idx="0">
                  <c:v>6.1576437264793604</c:v>
                </c:pt>
                <c:pt idx="1">
                  <c:v>8.7169662257281537</c:v>
                </c:pt>
                <c:pt idx="2">
                  <c:v>11.7199535535945</c:v>
                </c:pt>
                <c:pt idx="3">
                  <c:v>15.166605710078404</c:v>
                </c:pt>
                <c:pt idx="4">
                  <c:v>19.056922695179871</c:v>
                </c:pt>
                <c:pt idx="5">
                  <c:v>23.390904508898888</c:v>
                </c:pt>
                <c:pt idx="6">
                  <c:v>28.168551151235459</c:v>
                </c:pt>
                <c:pt idx="7">
                  <c:v>33.389862622189604</c:v>
                </c:pt>
                <c:pt idx="8">
                  <c:v>39.054838921761274</c:v>
                </c:pt>
                <c:pt idx="9">
                  <c:v>45.163480049950529</c:v>
                </c:pt>
                <c:pt idx="10">
                  <c:v>51.71578600675732</c:v>
                </c:pt>
                <c:pt idx="11">
                  <c:v>58.711756792181681</c:v>
                </c:pt>
                <c:pt idx="12">
                  <c:v>66.151392406223579</c:v>
                </c:pt>
                <c:pt idx="13">
                  <c:v>74.034692848883068</c:v>
                </c:pt>
                <c:pt idx="14">
                  <c:v>82.361658120160101</c:v>
                </c:pt>
                <c:pt idx="15">
                  <c:v>91.132288220054704</c:v>
                </c:pt>
                <c:pt idx="16">
                  <c:v>100.34658314856682</c:v>
                </c:pt>
                <c:pt idx="17">
                  <c:v>110.00454290569654</c:v>
                </c:pt>
                <c:pt idx="18">
                  <c:v>120.10616749144377</c:v>
                </c:pt>
                <c:pt idx="19">
                  <c:v>130.6514569058086</c:v>
                </c:pt>
                <c:pt idx="20">
                  <c:v>141.64041114879097</c:v>
                </c:pt>
                <c:pt idx="21">
                  <c:v>153.07303022039085</c:v>
                </c:pt>
                <c:pt idx="22">
                  <c:v>164.94931412060834</c:v>
                </c:pt>
                <c:pt idx="23">
                  <c:v>177.26926284944338</c:v>
                </c:pt>
                <c:pt idx="24">
                  <c:v>190.03287640689601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5B4-4428-9B2A-FF21AA441B55}"/>
            </c:ext>
          </c:extLst>
        </c:ser>
        <c:ser>
          <c:idx val="12"/>
          <c:order val="12"/>
          <c:tx>
            <c:strRef>
              <c:f>'Calculated Data'!$T$388</c:f>
              <c:strCache>
                <c:ptCount val="1"/>
                <c:pt idx="0">
                  <c:v>Power Curves @ Te 13</c:v>
                </c:pt>
              </c:strCache>
            </c:strRef>
          </c:tx>
          <c:marker>
            <c:symbol val="none"/>
          </c:marker>
          <c:cat>
            <c:numRef>
              <c:f>'Calculated Data'!$AC$419:$AC$443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Data'!$X$390:$X$414</c:f>
              <c:numCache>
                <c:formatCode>General</c:formatCode>
                <c:ptCount val="25"/>
                <c:pt idx="0">
                  <c:v>5.2148463899525295</c:v>
                </c:pt>
                <c:pt idx="1">
                  <c:v>7.3823108112113918</c:v>
                </c:pt>
                <c:pt idx="2">
                  <c:v>9.9255105027516368</c:v>
                </c:pt>
                <c:pt idx="3">
                  <c:v>12.84444546457326</c:v>
                </c:pt>
                <c:pt idx="4">
                  <c:v>16.139115696676267</c:v>
                </c:pt>
                <c:pt idx="5">
                  <c:v>19.809521199060647</c:v>
                </c:pt>
                <c:pt idx="6">
                  <c:v>23.855661971726413</c:v>
                </c:pt>
                <c:pt idx="7">
                  <c:v>28.277538014673571</c:v>
                </c:pt>
                <c:pt idx="8">
                  <c:v>33.075149327902089</c:v>
                </c:pt>
                <c:pt idx="9">
                  <c:v>38.248495911412</c:v>
                </c:pt>
                <c:pt idx="10">
                  <c:v>43.797577765203279</c:v>
                </c:pt>
                <c:pt idx="11">
                  <c:v>49.722394889275982</c:v>
                </c:pt>
                <c:pt idx="12">
                  <c:v>56.022947283630018</c:v>
                </c:pt>
                <c:pt idx="13">
                  <c:v>62.69923494826547</c:v>
                </c:pt>
                <c:pt idx="14">
                  <c:v>69.751257883182291</c:v>
                </c:pt>
                <c:pt idx="15">
                  <c:v>77.179016088380479</c:v>
                </c:pt>
                <c:pt idx="16">
                  <c:v>84.982509563860049</c:v>
                </c:pt>
                <c:pt idx="17">
                  <c:v>93.161738309621001</c:v>
                </c:pt>
                <c:pt idx="18">
                  <c:v>101.71670232566333</c:v>
                </c:pt>
                <c:pt idx="19">
                  <c:v>110.64740161198706</c:v>
                </c:pt>
                <c:pt idx="20">
                  <c:v>119.95383616859216</c:v>
                </c:pt>
                <c:pt idx="21">
                  <c:v>129.63600599547865</c:v>
                </c:pt>
                <c:pt idx="22">
                  <c:v>139.69391109264646</c:v>
                </c:pt>
                <c:pt idx="23">
                  <c:v>150.12755146009576</c:v>
                </c:pt>
                <c:pt idx="24">
                  <c:v>160.93692709782633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5B4-4428-9B2A-FF21AA441B55}"/>
            </c:ext>
          </c:extLst>
        </c:ser>
        <c:ser>
          <c:idx val="13"/>
          <c:order val="13"/>
          <c:tx>
            <c:strRef>
              <c:f>'Calculated Data'!$T$417</c:f>
              <c:strCache>
                <c:ptCount val="1"/>
                <c:pt idx="0">
                  <c:v>Power Curves @ Te 14</c:v>
                </c:pt>
              </c:strCache>
            </c:strRef>
          </c:tx>
          <c:marker>
            <c:symbol val="none"/>
          </c:marker>
          <c:cat>
            <c:numRef>
              <c:f>'Calculated Data'!$AC$419:$AC$443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Data'!$X$419:$X$443</c:f>
              <c:numCache>
                <c:formatCode>General</c:formatCode>
                <c:ptCount val="25"/>
                <c:pt idx="0">
                  <c:v>4.4766131877371649</c:v>
                </c:pt>
                <c:pt idx="1">
                  <c:v>6.3372432210307945</c:v>
                </c:pt>
                <c:pt idx="2">
                  <c:v>8.5204180313441977</c:v>
                </c:pt>
                <c:pt idx="3">
                  <c:v>11.026137618677371</c:v>
                </c:pt>
                <c:pt idx="4">
                  <c:v>13.85440198303033</c:v>
                </c:pt>
                <c:pt idx="5">
                  <c:v>17.005211124403054</c:v>
                </c:pt>
                <c:pt idx="6">
                  <c:v>20.478565042795566</c:v>
                </c:pt>
                <c:pt idx="7">
                  <c:v>24.274463738207842</c:v>
                </c:pt>
                <c:pt idx="8">
                  <c:v>28.392907210639887</c:v>
                </c:pt>
                <c:pt idx="9">
                  <c:v>32.833895460091725</c:v>
                </c:pt>
                <c:pt idx="10">
                  <c:v>37.597428486563317</c:v>
                </c:pt>
                <c:pt idx="11">
                  <c:v>42.683506290054709</c:v>
                </c:pt>
                <c:pt idx="12">
                  <c:v>48.092128870565851</c:v>
                </c:pt>
                <c:pt idx="13">
                  <c:v>53.823296228096787</c:v>
                </c:pt>
                <c:pt idx="14">
                  <c:v>59.877008362647494</c:v>
                </c:pt>
                <c:pt idx="15">
                  <c:v>66.253265274217995</c:v>
                </c:pt>
                <c:pt idx="16">
                  <c:v>72.952066962808232</c:v>
                </c:pt>
                <c:pt idx="17">
                  <c:v>79.97341342841824</c:v>
                </c:pt>
                <c:pt idx="18">
                  <c:v>87.317304671048063</c:v>
                </c:pt>
                <c:pt idx="19">
                  <c:v>94.983740690697658</c:v>
                </c:pt>
                <c:pt idx="20">
                  <c:v>102.97272148736702</c:v>
                </c:pt>
                <c:pt idx="21">
                  <c:v>111.28424706105613</c:v>
                </c:pt>
                <c:pt idx="22">
                  <c:v>119.91831741176502</c:v>
                </c:pt>
                <c:pt idx="23">
                  <c:v>128.87493253949376</c:v>
                </c:pt>
                <c:pt idx="24">
                  <c:v>138.1540924442422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5B4-4428-9B2A-FF21AA441B55}"/>
            </c:ext>
          </c:extLst>
        </c:ser>
        <c:ser>
          <c:idx val="14"/>
          <c:order val="14"/>
          <c:tx>
            <c:strRef>
              <c:f>'Calculated Data'!$T$446</c:f>
              <c:strCache>
                <c:ptCount val="1"/>
                <c:pt idx="0">
                  <c:v>Power Curves @ Te 15</c:v>
                </c:pt>
              </c:strCache>
            </c:strRef>
          </c:tx>
          <c:marker>
            <c:symbol val="none"/>
          </c:marker>
          <c:cat>
            <c:numRef>
              <c:f>'Calculated Data'!$AC$419:$AC$443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Data'!$X$448:$X$472</c:f>
              <c:numCache>
                <c:formatCode>General</c:formatCode>
                <c:ptCount val="25"/>
                <c:pt idx="0">
                  <c:v>3.887002771093961</c:v>
                </c:pt>
                <c:pt idx="1">
                  <c:v>5.5025710125503426</c:v>
                </c:pt>
                <c:pt idx="2">
                  <c:v>7.3982019687197393</c:v>
                </c:pt>
                <c:pt idx="3">
                  <c:v>9.5738956396021475</c:v>
                </c:pt>
                <c:pt idx="4">
                  <c:v>12.029652025197569</c:v>
                </c:pt>
                <c:pt idx="5">
                  <c:v>14.765471125506011</c:v>
                </c:pt>
                <c:pt idx="6">
                  <c:v>17.781352940527455</c:v>
                </c:pt>
                <c:pt idx="7">
                  <c:v>21.077297470261929</c:v>
                </c:pt>
                <c:pt idx="8">
                  <c:v>24.6533047147094</c:v>
                </c:pt>
                <c:pt idx="9">
                  <c:v>28.509374673869907</c:v>
                </c:pt>
                <c:pt idx="10">
                  <c:v>32.645507347743397</c:v>
                </c:pt>
                <c:pt idx="11">
                  <c:v>37.061702736329941</c:v>
                </c:pt>
                <c:pt idx="12">
                  <c:v>41.757960839629455</c:v>
                </c:pt>
                <c:pt idx="13">
                  <c:v>46.734281657642022</c:v>
                </c:pt>
                <c:pt idx="14">
                  <c:v>51.990665190367601</c:v>
                </c:pt>
                <c:pt idx="15">
                  <c:v>57.52711143780617</c:v>
                </c:pt>
                <c:pt idx="16">
                  <c:v>63.34362039995775</c:v>
                </c:pt>
                <c:pt idx="17">
                  <c:v>69.440192076822328</c:v>
                </c:pt>
                <c:pt idx="18">
                  <c:v>75.816826468399981</c:v>
                </c:pt>
                <c:pt idx="19">
                  <c:v>82.473523574690645</c:v>
                </c:pt>
                <c:pt idx="20">
                  <c:v>89.410283395694265</c:v>
                </c:pt>
                <c:pt idx="21">
                  <c:v>96.627105931410895</c:v>
                </c:pt>
                <c:pt idx="22">
                  <c:v>104.12399118184057</c:v>
                </c:pt>
                <c:pt idx="23">
                  <c:v>111.9009391469833</c:v>
                </c:pt>
                <c:pt idx="24">
                  <c:v>119.95794982683897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5B4-4428-9B2A-FF21AA441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812096"/>
        <c:axId val="104384384"/>
      </c:lineChart>
      <c:catAx>
        <c:axId val="101812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 Heights (m)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4384384"/>
        <c:crosses val="autoZero"/>
        <c:auto val="1"/>
        <c:lblAlgn val="ctr"/>
        <c:lblOffset val="100"/>
        <c:noMultiLvlLbl val="0"/>
      </c:catAx>
      <c:valAx>
        <c:axId val="1043843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Power Output (kW)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18120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Attenuator</a:t>
            </a:r>
            <a:r>
              <a:rPr lang="en-GB" baseline="0"/>
              <a:t> </a:t>
            </a:r>
            <a:r>
              <a:rPr lang="en-GB"/>
              <a:t>Performance Curves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'Calculated Data'!$AB$127</c:f>
              <c:strCache>
                <c:ptCount val="1"/>
                <c:pt idx="0">
                  <c:v>Power Curve @ Te 4</c:v>
                </c:pt>
              </c:strCache>
            </c:strRef>
          </c:tx>
          <c:marker>
            <c:symbol val="none"/>
          </c:marker>
          <c:cat>
            <c:numRef>
              <c:f>'Calculated Data'!$AC$274:$AC$298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Data'!$AB$129:$AB$153</c:f>
              <c:numCache>
                <c:formatCode>General</c:formatCode>
                <c:ptCount val="25"/>
                <c:pt idx="0">
                  <c:v>0</c:v>
                </c:pt>
                <c:pt idx="1">
                  <c:v>3.7650000000000001</c:v>
                </c:pt>
                <c:pt idx="2">
                  <c:v>15.058</c:v>
                </c:pt>
                <c:pt idx="3">
                  <c:v>33.881</c:v>
                </c:pt>
                <c:pt idx="4">
                  <c:v>60.232999999999997</c:v>
                </c:pt>
                <c:pt idx="5">
                  <c:v>94.113</c:v>
                </c:pt>
                <c:pt idx="6">
                  <c:v>135.523</c:v>
                </c:pt>
                <c:pt idx="7">
                  <c:v>184.46199999999999</c:v>
                </c:pt>
                <c:pt idx="8">
                  <c:v>240.93</c:v>
                </c:pt>
                <c:pt idx="9">
                  <c:v>304.92700000000002</c:v>
                </c:pt>
                <c:pt idx="10">
                  <c:v>376.45400000000001</c:v>
                </c:pt>
                <c:pt idx="11">
                  <c:v>455.50900000000001</c:v>
                </c:pt>
                <c:pt idx="12">
                  <c:v>542.09299999999996</c:v>
                </c:pt>
                <c:pt idx="13">
                  <c:v>636.20699999999999</c:v>
                </c:pt>
                <c:pt idx="14">
                  <c:v>737.84900000000005</c:v>
                </c:pt>
                <c:pt idx="15">
                  <c:v>750</c:v>
                </c:pt>
                <c:pt idx="16">
                  <c:v>750</c:v>
                </c:pt>
                <c:pt idx="17">
                  <c:v>750</c:v>
                </c:pt>
                <c:pt idx="18">
                  <c:v>750</c:v>
                </c:pt>
                <c:pt idx="19">
                  <c:v>750</c:v>
                </c:pt>
                <c:pt idx="20">
                  <c:v>750</c:v>
                </c:pt>
                <c:pt idx="21">
                  <c:v>750</c:v>
                </c:pt>
                <c:pt idx="22">
                  <c:v>750</c:v>
                </c:pt>
                <c:pt idx="23">
                  <c:v>750</c:v>
                </c:pt>
                <c:pt idx="24">
                  <c:v>750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B7-48FD-AFA7-54D900C2C7C0}"/>
            </c:ext>
          </c:extLst>
        </c:ser>
        <c:ser>
          <c:idx val="1"/>
          <c:order val="1"/>
          <c:tx>
            <c:strRef>
              <c:f>'Calculated Data'!$AB$156</c:f>
              <c:strCache>
                <c:ptCount val="1"/>
                <c:pt idx="0">
                  <c:v>Power Curve @ Te 5</c:v>
                </c:pt>
              </c:strCache>
            </c:strRef>
          </c:tx>
          <c:marker>
            <c:symbol val="none"/>
          </c:marker>
          <c:cat>
            <c:numRef>
              <c:f>'Calculated Data'!$AC$274:$AC$298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Data'!$AB$158:$AB$182</c:f>
              <c:numCache>
                <c:formatCode>General</c:formatCode>
                <c:ptCount val="25"/>
                <c:pt idx="0">
                  <c:v>0</c:v>
                </c:pt>
                <c:pt idx="1">
                  <c:v>15.145</c:v>
                </c:pt>
                <c:pt idx="2">
                  <c:v>60.581000000000003</c:v>
                </c:pt>
                <c:pt idx="3">
                  <c:v>136.30799999999999</c:v>
                </c:pt>
                <c:pt idx="4">
                  <c:v>242.32400000000001</c:v>
                </c:pt>
                <c:pt idx="5">
                  <c:v>378.63200000000001</c:v>
                </c:pt>
                <c:pt idx="6">
                  <c:v>545.23</c:v>
                </c:pt>
                <c:pt idx="7">
                  <c:v>742.11900000000003</c:v>
                </c:pt>
                <c:pt idx="8">
                  <c:v>750</c:v>
                </c:pt>
                <c:pt idx="9">
                  <c:v>750</c:v>
                </c:pt>
                <c:pt idx="10">
                  <c:v>750</c:v>
                </c:pt>
                <c:pt idx="11">
                  <c:v>750</c:v>
                </c:pt>
                <c:pt idx="12">
                  <c:v>750</c:v>
                </c:pt>
                <c:pt idx="13">
                  <c:v>750</c:v>
                </c:pt>
                <c:pt idx="14">
                  <c:v>750</c:v>
                </c:pt>
                <c:pt idx="15">
                  <c:v>750</c:v>
                </c:pt>
                <c:pt idx="16">
                  <c:v>750</c:v>
                </c:pt>
                <c:pt idx="17">
                  <c:v>750</c:v>
                </c:pt>
                <c:pt idx="18">
                  <c:v>750</c:v>
                </c:pt>
                <c:pt idx="19">
                  <c:v>750</c:v>
                </c:pt>
                <c:pt idx="20">
                  <c:v>750</c:v>
                </c:pt>
                <c:pt idx="21">
                  <c:v>750</c:v>
                </c:pt>
                <c:pt idx="22">
                  <c:v>750</c:v>
                </c:pt>
                <c:pt idx="23">
                  <c:v>750</c:v>
                </c:pt>
                <c:pt idx="24">
                  <c:v>750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B7-48FD-AFA7-54D900C2C7C0}"/>
            </c:ext>
          </c:extLst>
        </c:ser>
        <c:ser>
          <c:idx val="2"/>
          <c:order val="2"/>
          <c:tx>
            <c:strRef>
              <c:f>'Calculated Data'!$AB$185</c:f>
              <c:strCache>
                <c:ptCount val="1"/>
                <c:pt idx="0">
                  <c:v>Power Curve @ Te 6</c:v>
                </c:pt>
              </c:strCache>
            </c:strRef>
          </c:tx>
          <c:marker>
            <c:symbol val="none"/>
          </c:marker>
          <c:cat>
            <c:numRef>
              <c:f>'Calculated Data'!$AC$274:$AC$298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Data'!$AB$187:$AB$211</c:f>
              <c:numCache>
                <c:formatCode>General</c:formatCode>
                <c:ptCount val="25"/>
                <c:pt idx="0">
                  <c:v>0</c:v>
                </c:pt>
                <c:pt idx="1">
                  <c:v>10.356</c:v>
                </c:pt>
                <c:pt idx="2">
                  <c:v>41.423000000000002</c:v>
                </c:pt>
                <c:pt idx="3">
                  <c:v>93.201999999999998</c:v>
                </c:pt>
                <c:pt idx="4">
                  <c:v>165.69200000000001</c:v>
                </c:pt>
                <c:pt idx="5">
                  <c:v>258.89400000000001</c:v>
                </c:pt>
                <c:pt idx="6">
                  <c:v>372.80700000000002</c:v>
                </c:pt>
                <c:pt idx="7">
                  <c:v>507.43099999999998</c:v>
                </c:pt>
                <c:pt idx="8">
                  <c:v>662.76800000000003</c:v>
                </c:pt>
                <c:pt idx="9">
                  <c:v>750</c:v>
                </c:pt>
                <c:pt idx="10">
                  <c:v>750</c:v>
                </c:pt>
                <c:pt idx="11">
                  <c:v>750</c:v>
                </c:pt>
                <c:pt idx="12">
                  <c:v>750</c:v>
                </c:pt>
                <c:pt idx="13">
                  <c:v>750</c:v>
                </c:pt>
                <c:pt idx="14">
                  <c:v>750</c:v>
                </c:pt>
                <c:pt idx="15">
                  <c:v>750</c:v>
                </c:pt>
                <c:pt idx="16">
                  <c:v>750</c:v>
                </c:pt>
                <c:pt idx="17">
                  <c:v>750</c:v>
                </c:pt>
                <c:pt idx="18">
                  <c:v>750</c:v>
                </c:pt>
                <c:pt idx="19">
                  <c:v>750</c:v>
                </c:pt>
                <c:pt idx="20">
                  <c:v>750</c:v>
                </c:pt>
                <c:pt idx="21">
                  <c:v>750</c:v>
                </c:pt>
                <c:pt idx="22">
                  <c:v>750</c:v>
                </c:pt>
                <c:pt idx="23">
                  <c:v>750</c:v>
                </c:pt>
                <c:pt idx="24">
                  <c:v>750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B7-48FD-AFA7-54D900C2C7C0}"/>
            </c:ext>
          </c:extLst>
        </c:ser>
        <c:ser>
          <c:idx val="3"/>
          <c:order val="3"/>
          <c:tx>
            <c:strRef>
              <c:f>'Calculated Data'!$AB$214</c:f>
              <c:strCache>
                <c:ptCount val="1"/>
                <c:pt idx="0">
                  <c:v>Power Curve @ Te 7</c:v>
                </c:pt>
              </c:strCache>
            </c:strRef>
          </c:tx>
          <c:marker>
            <c:symbol val="none"/>
          </c:marker>
          <c:cat>
            <c:numRef>
              <c:f>'Calculated Data'!$AC$274:$AC$298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Data'!$AB$216:$AB$240</c:f>
              <c:numCache>
                <c:formatCode>General</c:formatCode>
                <c:ptCount val="25"/>
                <c:pt idx="0">
                  <c:v>0</c:v>
                </c:pt>
                <c:pt idx="1">
                  <c:v>4.0609999999999999</c:v>
                </c:pt>
                <c:pt idx="2">
                  <c:v>16.242000000000001</c:v>
                </c:pt>
                <c:pt idx="3">
                  <c:v>36.545000000000002</c:v>
                </c:pt>
                <c:pt idx="4">
                  <c:v>64.968000000000004</c:v>
                </c:pt>
                <c:pt idx="5">
                  <c:v>101.51300000000001</c:v>
                </c:pt>
                <c:pt idx="6">
                  <c:v>146.178</c:v>
                </c:pt>
                <c:pt idx="7">
                  <c:v>198.965</c:v>
                </c:pt>
                <c:pt idx="8">
                  <c:v>259.87200000000001</c:v>
                </c:pt>
                <c:pt idx="9">
                  <c:v>328.90100000000001</c:v>
                </c:pt>
                <c:pt idx="10">
                  <c:v>406.05099999999999</c:v>
                </c:pt>
                <c:pt idx="11">
                  <c:v>491.32100000000003</c:v>
                </c:pt>
                <c:pt idx="12">
                  <c:v>584.71299999999997</c:v>
                </c:pt>
                <c:pt idx="13">
                  <c:v>686.226</c:v>
                </c:pt>
                <c:pt idx="14">
                  <c:v>750</c:v>
                </c:pt>
                <c:pt idx="15">
                  <c:v>750</c:v>
                </c:pt>
                <c:pt idx="16">
                  <c:v>750</c:v>
                </c:pt>
                <c:pt idx="17">
                  <c:v>750</c:v>
                </c:pt>
                <c:pt idx="18">
                  <c:v>750</c:v>
                </c:pt>
                <c:pt idx="19">
                  <c:v>750</c:v>
                </c:pt>
                <c:pt idx="20">
                  <c:v>750</c:v>
                </c:pt>
                <c:pt idx="21">
                  <c:v>750</c:v>
                </c:pt>
                <c:pt idx="22">
                  <c:v>750</c:v>
                </c:pt>
                <c:pt idx="23">
                  <c:v>750</c:v>
                </c:pt>
                <c:pt idx="24">
                  <c:v>750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B7-48FD-AFA7-54D900C2C7C0}"/>
            </c:ext>
          </c:extLst>
        </c:ser>
        <c:ser>
          <c:idx val="4"/>
          <c:order val="4"/>
          <c:tx>
            <c:strRef>
              <c:f>'Calculated Data'!$AB$243</c:f>
              <c:strCache>
                <c:ptCount val="1"/>
                <c:pt idx="0">
                  <c:v>Power Curve @ Te 8</c:v>
                </c:pt>
              </c:strCache>
            </c:strRef>
          </c:tx>
          <c:marker>
            <c:symbol val="none"/>
          </c:marker>
          <c:cat>
            <c:numRef>
              <c:f>'Calculated Data'!$AC$274:$AC$298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Data'!$AB$245:$AB$269</c:f>
              <c:numCache>
                <c:formatCode>General</c:formatCode>
                <c:ptCount val="25"/>
                <c:pt idx="0">
                  <c:v>0</c:v>
                </c:pt>
                <c:pt idx="1">
                  <c:v>1.417</c:v>
                </c:pt>
                <c:pt idx="2">
                  <c:v>5.6689999999999996</c:v>
                </c:pt>
                <c:pt idx="3">
                  <c:v>12.755000000000001</c:v>
                </c:pt>
                <c:pt idx="4">
                  <c:v>22.675999999999998</c:v>
                </c:pt>
                <c:pt idx="5">
                  <c:v>35.430999999999997</c:v>
                </c:pt>
                <c:pt idx="6">
                  <c:v>51.021000000000001</c:v>
                </c:pt>
                <c:pt idx="7">
                  <c:v>69.444999999999993</c:v>
                </c:pt>
                <c:pt idx="8">
                  <c:v>90.703999999999994</c:v>
                </c:pt>
                <c:pt idx="9">
                  <c:v>124.797</c:v>
                </c:pt>
                <c:pt idx="10">
                  <c:v>141.72399999999999</c:v>
                </c:pt>
                <c:pt idx="11">
                  <c:v>171.48599999999999</c:v>
                </c:pt>
                <c:pt idx="12">
                  <c:v>204.083</c:v>
                </c:pt>
                <c:pt idx="13">
                  <c:v>239.51400000000001</c:v>
                </c:pt>
                <c:pt idx="14">
                  <c:v>277.77999999999997</c:v>
                </c:pt>
                <c:pt idx="15">
                  <c:v>318.88</c:v>
                </c:pt>
                <c:pt idx="16">
                  <c:v>362.81400000000002</c:v>
                </c:pt>
                <c:pt idx="17">
                  <c:v>409.58300000000003</c:v>
                </c:pt>
                <c:pt idx="18">
                  <c:v>459.18700000000001</c:v>
                </c:pt>
                <c:pt idx="19">
                  <c:v>511.625</c:v>
                </c:pt>
                <c:pt idx="20">
                  <c:v>566.89700000000005</c:v>
                </c:pt>
                <c:pt idx="21">
                  <c:v>625.00400000000002</c:v>
                </c:pt>
                <c:pt idx="22">
                  <c:v>685.94600000000003</c:v>
                </c:pt>
                <c:pt idx="23">
                  <c:v>749.72199999999998</c:v>
                </c:pt>
                <c:pt idx="24">
                  <c:v>750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B7-48FD-AFA7-54D900C2C7C0}"/>
            </c:ext>
          </c:extLst>
        </c:ser>
        <c:ser>
          <c:idx val="5"/>
          <c:order val="5"/>
          <c:tx>
            <c:strRef>
              <c:f>'Calculated Data'!$AB$272</c:f>
              <c:strCache>
                <c:ptCount val="1"/>
                <c:pt idx="0">
                  <c:v>Power Curve @ Te 9</c:v>
                </c:pt>
              </c:strCache>
            </c:strRef>
          </c:tx>
          <c:marker>
            <c:symbol val="none"/>
          </c:marker>
          <c:cat>
            <c:numRef>
              <c:f>'Calculated Data'!$AC$274:$AC$298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Data'!$AB$274:$AB$298</c:f>
              <c:numCache>
                <c:formatCode>General</c:formatCode>
                <c:ptCount val="25"/>
                <c:pt idx="0">
                  <c:v>0</c:v>
                </c:pt>
                <c:pt idx="1">
                  <c:v>0.503</c:v>
                </c:pt>
                <c:pt idx="2">
                  <c:v>2.0110000000000001</c:v>
                </c:pt>
                <c:pt idx="3">
                  <c:v>4.5259999999999998</c:v>
                </c:pt>
                <c:pt idx="4">
                  <c:v>8.0449999999999999</c:v>
                </c:pt>
                <c:pt idx="5">
                  <c:v>12.571</c:v>
                </c:pt>
                <c:pt idx="6">
                  <c:v>18.102</c:v>
                </c:pt>
                <c:pt idx="7">
                  <c:v>24.638999999999999</c:v>
                </c:pt>
                <c:pt idx="8">
                  <c:v>32.182000000000002</c:v>
                </c:pt>
                <c:pt idx="9">
                  <c:v>40.729999999999997</c:v>
                </c:pt>
                <c:pt idx="10">
                  <c:v>50.283999999999999</c:v>
                </c:pt>
                <c:pt idx="11">
                  <c:v>60.844000000000001</c:v>
                </c:pt>
                <c:pt idx="12">
                  <c:v>72.409000000000006</c:v>
                </c:pt>
                <c:pt idx="13">
                  <c:v>84.980999999999995</c:v>
                </c:pt>
                <c:pt idx="14">
                  <c:v>98.557000000000002</c:v>
                </c:pt>
                <c:pt idx="15">
                  <c:v>113.14</c:v>
                </c:pt>
                <c:pt idx="16">
                  <c:v>128.72800000000001</c:v>
                </c:pt>
                <c:pt idx="17">
                  <c:v>145.322</c:v>
                </c:pt>
                <c:pt idx="18">
                  <c:v>162.92099999999999</c:v>
                </c:pt>
                <c:pt idx="19">
                  <c:v>181.52600000000001</c:v>
                </c:pt>
                <c:pt idx="20">
                  <c:v>201.137</c:v>
                </c:pt>
                <c:pt idx="21">
                  <c:v>221.75399999999999</c:v>
                </c:pt>
                <c:pt idx="22">
                  <c:v>243.376</c:v>
                </c:pt>
                <c:pt idx="23">
                  <c:v>266.00400000000002</c:v>
                </c:pt>
                <c:pt idx="24">
                  <c:v>289.63799999999998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B7-48FD-AFA7-54D900C2C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14880"/>
        <c:axId val="110731264"/>
      </c:lineChart>
      <c:catAx>
        <c:axId val="110714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 Heights (m)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0731264"/>
        <c:crosses val="autoZero"/>
        <c:auto val="1"/>
        <c:lblAlgn val="ctr"/>
        <c:lblOffset val="100"/>
        <c:noMultiLvlLbl val="0"/>
      </c:catAx>
      <c:valAx>
        <c:axId val="1107312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Power Output (kW)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07148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 - Power Curves @ Te 6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'Calculated Data'!$T$185</c:f>
              <c:strCache>
                <c:ptCount val="1"/>
                <c:pt idx="0">
                  <c:v>Power Curves @ Te 6</c:v>
                </c:pt>
              </c:strCache>
            </c:strRef>
          </c:tx>
          <c:marker>
            <c:symbol val="none"/>
          </c:marker>
          <c:cat>
            <c:numRef>
              <c:f>'Calculated Data'!$AC$42:$AC$66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Data'!$X$187:$X$211</c:f>
              <c:numCache>
                <c:formatCode>General</c:formatCode>
                <c:ptCount val="25"/>
                <c:pt idx="0">
                  <c:v>29.412439464086866</c:v>
                </c:pt>
                <c:pt idx="1">
                  <c:v>41.637232164341022</c:v>
                </c:pt>
                <c:pt idx="2">
                  <c:v>55.98122264441205</c:v>
                </c:pt>
                <c:pt idx="3">
                  <c:v>72.444410904299943</c:v>
                </c:pt>
                <c:pt idx="4">
                  <c:v>91.026796944004701</c:v>
                </c:pt>
                <c:pt idx="5">
                  <c:v>111.72838076352632</c:v>
                </c:pt>
                <c:pt idx="6">
                  <c:v>134.54916236286485</c:v>
                </c:pt>
                <c:pt idx="7">
                  <c:v>159.48914174202028</c:v>
                </c:pt>
                <c:pt idx="8">
                  <c:v>186.54831890099243</c:v>
                </c:pt>
                <c:pt idx="9">
                  <c:v>215.7266938397816</c:v>
                </c:pt>
                <c:pt idx="10">
                  <c:v>247.02426655838755</c:v>
                </c:pt>
                <c:pt idx="11">
                  <c:v>250</c:v>
                </c:pt>
                <c:pt idx="12">
                  <c:v>250</c:v>
                </c:pt>
                <c:pt idx="13">
                  <c:v>250</c:v>
                </c:pt>
                <c:pt idx="14">
                  <c:v>250</c:v>
                </c:pt>
                <c:pt idx="15">
                  <c:v>250</c:v>
                </c:pt>
                <c:pt idx="16">
                  <c:v>250</c:v>
                </c:pt>
                <c:pt idx="17">
                  <c:v>250</c:v>
                </c:pt>
                <c:pt idx="18">
                  <c:v>250</c:v>
                </c:pt>
                <c:pt idx="19">
                  <c:v>250</c:v>
                </c:pt>
                <c:pt idx="20">
                  <c:v>250</c:v>
                </c:pt>
                <c:pt idx="21">
                  <c:v>250</c:v>
                </c:pt>
                <c:pt idx="22">
                  <c:v>250</c:v>
                </c:pt>
                <c:pt idx="23">
                  <c:v>250</c:v>
                </c:pt>
                <c:pt idx="24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1A-4B72-B673-328241BC7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477824"/>
        <c:axId val="62479360"/>
      </c:lineChart>
      <c:catAx>
        <c:axId val="62477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2479360"/>
        <c:crosses val="autoZero"/>
        <c:auto val="1"/>
        <c:lblAlgn val="ctr"/>
        <c:lblOffset val="100"/>
        <c:noMultiLvlLbl val="0"/>
      </c:catAx>
      <c:valAx>
        <c:axId val="62479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24778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 - Power Curves @ Te 7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'Calculated Data'!$T$214</c:f>
              <c:strCache>
                <c:ptCount val="1"/>
                <c:pt idx="0">
                  <c:v>Power Curves @ Te 7</c:v>
                </c:pt>
              </c:strCache>
            </c:strRef>
          </c:tx>
          <c:marker>
            <c:symbol val="none"/>
          </c:marker>
          <c:cat>
            <c:numRef>
              <c:f>'Calculated Data'!$AC$42:$AC$66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Data'!$X$216:$X$240</c:f>
              <c:numCache>
                <c:formatCode>General</c:formatCode>
                <c:ptCount val="25"/>
                <c:pt idx="0">
                  <c:v>20.138759098733853</c:v>
                </c:pt>
                <c:pt idx="1">
                  <c:v>28.509100345776062</c:v>
                </c:pt>
                <c:pt idx="2">
                  <c:v>38.330460765247494</c:v>
                </c:pt>
                <c:pt idx="3">
                  <c:v>49.602840357148111</c:v>
                </c:pt>
                <c:pt idx="4">
                  <c:v>62.326239121477954</c:v>
                </c:pt>
                <c:pt idx="5">
                  <c:v>76.500657058237024</c:v>
                </c:pt>
                <c:pt idx="6">
                  <c:v>92.126094167425308</c:v>
                </c:pt>
                <c:pt idx="7">
                  <c:v>109.20255044904276</c:v>
                </c:pt>
                <c:pt idx="8">
                  <c:v>127.73002590308944</c:v>
                </c:pt>
                <c:pt idx="9">
                  <c:v>147.70852052956539</c:v>
                </c:pt>
                <c:pt idx="10">
                  <c:v>169.13803432847047</c:v>
                </c:pt>
                <c:pt idx="11">
                  <c:v>192.01856729980486</c:v>
                </c:pt>
                <c:pt idx="12">
                  <c:v>216.35011944356833</c:v>
                </c:pt>
                <c:pt idx="13">
                  <c:v>242.13269075976115</c:v>
                </c:pt>
                <c:pt idx="14">
                  <c:v>250</c:v>
                </c:pt>
                <c:pt idx="15">
                  <c:v>250</c:v>
                </c:pt>
                <c:pt idx="16">
                  <c:v>250</c:v>
                </c:pt>
                <c:pt idx="17">
                  <c:v>250</c:v>
                </c:pt>
                <c:pt idx="18">
                  <c:v>250</c:v>
                </c:pt>
                <c:pt idx="19">
                  <c:v>250</c:v>
                </c:pt>
                <c:pt idx="20">
                  <c:v>250</c:v>
                </c:pt>
                <c:pt idx="21">
                  <c:v>250</c:v>
                </c:pt>
                <c:pt idx="22">
                  <c:v>250</c:v>
                </c:pt>
                <c:pt idx="23">
                  <c:v>250</c:v>
                </c:pt>
                <c:pt idx="24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12-47F9-B0D9-162A483FB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494208"/>
        <c:axId val="62495744"/>
      </c:lineChart>
      <c:catAx>
        <c:axId val="62494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2495744"/>
        <c:crosses val="autoZero"/>
        <c:auto val="1"/>
        <c:lblAlgn val="ctr"/>
        <c:lblOffset val="100"/>
        <c:noMultiLvlLbl val="0"/>
      </c:catAx>
      <c:valAx>
        <c:axId val="62495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24942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 - Power Curves @ Te 8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'Calculated Data'!$T$243</c:f>
              <c:strCache>
                <c:ptCount val="1"/>
                <c:pt idx="0">
                  <c:v>Power Curves @ Te 8</c:v>
                </c:pt>
              </c:strCache>
            </c:strRef>
          </c:tx>
          <c:marker>
            <c:symbol val="none"/>
          </c:marker>
          <c:cat>
            <c:numRef>
              <c:f>'Calculated Data'!$AC$42:$AC$66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Data'!$X$245:$X$269</c:f>
              <c:numCache>
                <c:formatCode>General</c:formatCode>
                <c:ptCount val="25"/>
                <c:pt idx="0">
                  <c:v>14.784523048157514</c:v>
                </c:pt>
                <c:pt idx="1">
                  <c:v>20.929464873079564</c:v>
                </c:pt>
                <c:pt idx="2">
                  <c:v>28.139647425740733</c:v>
                </c:pt>
                <c:pt idx="3">
                  <c:v>36.415070706141023</c:v>
                </c:pt>
                <c:pt idx="4">
                  <c:v>45.755734714280436</c:v>
                </c:pt>
                <c:pt idx="5">
                  <c:v>56.161639450158972</c:v>
                </c:pt>
                <c:pt idx="6">
                  <c:v>67.632784913776632</c:v>
                </c:pt>
                <c:pt idx="7">
                  <c:v>80.169171105133415</c:v>
                </c:pt>
                <c:pt idx="8">
                  <c:v>93.770798024229322</c:v>
                </c:pt>
                <c:pt idx="9">
                  <c:v>108.43766567106438</c:v>
                </c:pt>
                <c:pt idx="10">
                  <c:v>124.16977404563849</c:v>
                </c:pt>
                <c:pt idx="11">
                  <c:v>140.96712314795181</c:v>
                </c:pt>
                <c:pt idx="12">
                  <c:v>158.82971297800415</c:v>
                </c:pt>
                <c:pt idx="13">
                  <c:v>177.75754353579566</c:v>
                </c:pt>
                <c:pt idx="14">
                  <c:v>197.75061482132634</c:v>
                </c:pt>
                <c:pt idx="15">
                  <c:v>218.80892683459615</c:v>
                </c:pt>
                <c:pt idx="16">
                  <c:v>240.93247957560496</c:v>
                </c:pt>
                <c:pt idx="17">
                  <c:v>250</c:v>
                </c:pt>
                <c:pt idx="18">
                  <c:v>250</c:v>
                </c:pt>
                <c:pt idx="19">
                  <c:v>250</c:v>
                </c:pt>
                <c:pt idx="20">
                  <c:v>250</c:v>
                </c:pt>
                <c:pt idx="21">
                  <c:v>250</c:v>
                </c:pt>
                <c:pt idx="22">
                  <c:v>250</c:v>
                </c:pt>
                <c:pt idx="23">
                  <c:v>250</c:v>
                </c:pt>
                <c:pt idx="24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43-48A6-AE18-758C4DEFC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44512"/>
        <c:axId val="62558592"/>
      </c:lineChart>
      <c:catAx>
        <c:axId val="62544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2558592"/>
        <c:crosses val="autoZero"/>
        <c:auto val="1"/>
        <c:lblAlgn val="ctr"/>
        <c:lblOffset val="100"/>
        <c:noMultiLvlLbl val="0"/>
      </c:catAx>
      <c:valAx>
        <c:axId val="62558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25445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 - Power Curves @ Te 9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'Calculated Data'!$T$272</c:f>
              <c:strCache>
                <c:ptCount val="1"/>
                <c:pt idx="0">
                  <c:v>Power Curves @ Te 9</c:v>
                </c:pt>
              </c:strCache>
            </c:strRef>
          </c:tx>
          <c:marker>
            <c:symbol val="none"/>
          </c:marker>
          <c:cat>
            <c:numRef>
              <c:f>'Calculated Data'!$AC$42:$AC$66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cat>
          <c:val>
            <c:numRef>
              <c:f>'Calculated Data'!$X$274:$X$298</c:f>
              <c:numCache>
                <c:formatCode>General</c:formatCode>
                <c:ptCount val="25"/>
                <c:pt idx="0">
                  <c:v>11.374446478756429</c:v>
                </c:pt>
                <c:pt idx="1">
                  <c:v>16.102046528820825</c:v>
                </c:pt>
                <c:pt idx="2">
                  <c:v>21.64918763578596</c:v>
                </c:pt>
                <c:pt idx="3">
                  <c:v>28.015869799651814</c:v>
                </c:pt>
                <c:pt idx="4">
                  <c:v>35.202093020418388</c:v>
                </c:pt>
                <c:pt idx="5">
                  <c:v>43.207857298085699</c:v>
                </c:pt>
                <c:pt idx="6">
                  <c:v>52.033162632653749</c:v>
                </c:pt>
                <c:pt idx="7">
                  <c:v>61.678009024122531</c:v>
                </c:pt>
                <c:pt idx="8">
                  <c:v>72.142396472492024</c:v>
                </c:pt>
                <c:pt idx="9">
                  <c:v>83.426324977762263</c:v>
                </c:pt>
                <c:pt idx="10">
                  <c:v>95.529794539933221</c:v>
                </c:pt>
                <c:pt idx="11">
                  <c:v>108.45280515900491</c:v>
                </c:pt>
                <c:pt idx="12">
                  <c:v>122.19535683497732</c:v>
                </c:pt>
                <c:pt idx="13">
                  <c:v>136.7574495678505</c:v>
                </c:pt>
                <c:pt idx="14">
                  <c:v>152.1390833576244</c:v>
                </c:pt>
                <c:pt idx="15">
                  <c:v>168.34025820429898</c:v>
                </c:pt>
                <c:pt idx="16">
                  <c:v>185.36097410787434</c:v>
                </c:pt>
                <c:pt idx="17">
                  <c:v>203.20123106835035</c:v>
                </c:pt>
                <c:pt idx="18">
                  <c:v>221.86102908572718</c:v>
                </c:pt>
                <c:pt idx="19">
                  <c:v>241.34036816000472</c:v>
                </c:pt>
                <c:pt idx="20">
                  <c:v>250</c:v>
                </c:pt>
                <c:pt idx="21">
                  <c:v>250</c:v>
                </c:pt>
                <c:pt idx="22">
                  <c:v>250</c:v>
                </c:pt>
                <c:pt idx="23">
                  <c:v>250</c:v>
                </c:pt>
                <c:pt idx="24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7F-481E-B8E1-697EE0211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74592"/>
        <c:axId val="62576128"/>
      </c:lineChart>
      <c:catAx>
        <c:axId val="6257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2576128"/>
        <c:crosses val="autoZero"/>
        <c:auto val="1"/>
        <c:lblAlgn val="ctr"/>
        <c:lblOffset val="100"/>
        <c:noMultiLvlLbl val="0"/>
      </c:catAx>
      <c:valAx>
        <c:axId val="62576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25745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1.xml"/><Relationship Id="rId18" Type="http://schemas.openxmlformats.org/officeDocument/2006/relationships/chart" Target="../charts/chart16.xml"/><Relationship Id="rId26" Type="http://schemas.openxmlformats.org/officeDocument/2006/relationships/chart" Target="../charts/chart24.xml"/><Relationship Id="rId39" Type="http://schemas.openxmlformats.org/officeDocument/2006/relationships/chart" Target="../charts/chart37.xml"/><Relationship Id="rId21" Type="http://schemas.openxmlformats.org/officeDocument/2006/relationships/chart" Target="../charts/chart19.xml"/><Relationship Id="rId34" Type="http://schemas.openxmlformats.org/officeDocument/2006/relationships/chart" Target="../charts/chart32.xml"/><Relationship Id="rId42" Type="http://schemas.openxmlformats.org/officeDocument/2006/relationships/chart" Target="../charts/chart40.xml"/><Relationship Id="rId47" Type="http://schemas.openxmlformats.org/officeDocument/2006/relationships/chart" Target="../charts/chart45.xml"/><Relationship Id="rId50" Type="http://schemas.openxmlformats.org/officeDocument/2006/relationships/chart" Target="../charts/chart48.xml"/><Relationship Id="rId7" Type="http://schemas.openxmlformats.org/officeDocument/2006/relationships/chart" Target="../charts/chart5.xml"/><Relationship Id="rId2" Type="http://schemas.openxmlformats.org/officeDocument/2006/relationships/image" Target="../media/image7.png"/><Relationship Id="rId16" Type="http://schemas.openxmlformats.org/officeDocument/2006/relationships/chart" Target="../charts/chart14.xml"/><Relationship Id="rId29" Type="http://schemas.openxmlformats.org/officeDocument/2006/relationships/chart" Target="../charts/chart27.xml"/><Relationship Id="rId11" Type="http://schemas.openxmlformats.org/officeDocument/2006/relationships/chart" Target="../charts/chart9.xml"/><Relationship Id="rId24" Type="http://schemas.openxmlformats.org/officeDocument/2006/relationships/chart" Target="../charts/chart22.xml"/><Relationship Id="rId32" Type="http://schemas.openxmlformats.org/officeDocument/2006/relationships/chart" Target="../charts/chart30.xml"/><Relationship Id="rId37" Type="http://schemas.openxmlformats.org/officeDocument/2006/relationships/chart" Target="../charts/chart35.xml"/><Relationship Id="rId40" Type="http://schemas.openxmlformats.org/officeDocument/2006/relationships/chart" Target="../charts/chart38.xml"/><Relationship Id="rId45" Type="http://schemas.openxmlformats.org/officeDocument/2006/relationships/chart" Target="../charts/chart43.xml"/><Relationship Id="rId53" Type="http://schemas.openxmlformats.org/officeDocument/2006/relationships/chart" Target="../charts/chart51.xml"/><Relationship Id="rId5" Type="http://schemas.openxmlformats.org/officeDocument/2006/relationships/chart" Target="../charts/chart3.xml"/><Relationship Id="rId10" Type="http://schemas.openxmlformats.org/officeDocument/2006/relationships/chart" Target="../charts/chart8.xml"/><Relationship Id="rId19" Type="http://schemas.openxmlformats.org/officeDocument/2006/relationships/chart" Target="../charts/chart17.xml"/><Relationship Id="rId31" Type="http://schemas.openxmlformats.org/officeDocument/2006/relationships/chart" Target="../charts/chart29.xml"/><Relationship Id="rId44" Type="http://schemas.openxmlformats.org/officeDocument/2006/relationships/chart" Target="../charts/chart42.xml"/><Relationship Id="rId52" Type="http://schemas.openxmlformats.org/officeDocument/2006/relationships/chart" Target="../charts/chart50.xml"/><Relationship Id="rId4" Type="http://schemas.openxmlformats.org/officeDocument/2006/relationships/chart" Target="../charts/chart2.xml"/><Relationship Id="rId9" Type="http://schemas.openxmlformats.org/officeDocument/2006/relationships/chart" Target="../charts/chart7.xml"/><Relationship Id="rId14" Type="http://schemas.openxmlformats.org/officeDocument/2006/relationships/chart" Target="../charts/chart12.xml"/><Relationship Id="rId22" Type="http://schemas.openxmlformats.org/officeDocument/2006/relationships/chart" Target="../charts/chart20.xml"/><Relationship Id="rId27" Type="http://schemas.openxmlformats.org/officeDocument/2006/relationships/chart" Target="../charts/chart25.xml"/><Relationship Id="rId30" Type="http://schemas.openxmlformats.org/officeDocument/2006/relationships/chart" Target="../charts/chart28.xml"/><Relationship Id="rId35" Type="http://schemas.openxmlformats.org/officeDocument/2006/relationships/chart" Target="../charts/chart33.xml"/><Relationship Id="rId43" Type="http://schemas.openxmlformats.org/officeDocument/2006/relationships/chart" Target="../charts/chart41.xml"/><Relationship Id="rId48" Type="http://schemas.openxmlformats.org/officeDocument/2006/relationships/chart" Target="../charts/chart46.xml"/><Relationship Id="rId8" Type="http://schemas.openxmlformats.org/officeDocument/2006/relationships/chart" Target="../charts/chart6.xml"/><Relationship Id="rId51" Type="http://schemas.openxmlformats.org/officeDocument/2006/relationships/chart" Target="../charts/chart49.xml"/><Relationship Id="rId3" Type="http://schemas.openxmlformats.org/officeDocument/2006/relationships/chart" Target="../charts/chart1.xml"/><Relationship Id="rId12" Type="http://schemas.openxmlformats.org/officeDocument/2006/relationships/chart" Target="../charts/chart10.xml"/><Relationship Id="rId17" Type="http://schemas.openxmlformats.org/officeDocument/2006/relationships/chart" Target="../charts/chart15.xml"/><Relationship Id="rId25" Type="http://schemas.openxmlformats.org/officeDocument/2006/relationships/chart" Target="../charts/chart23.xml"/><Relationship Id="rId33" Type="http://schemas.openxmlformats.org/officeDocument/2006/relationships/chart" Target="../charts/chart31.xml"/><Relationship Id="rId38" Type="http://schemas.openxmlformats.org/officeDocument/2006/relationships/chart" Target="../charts/chart36.xml"/><Relationship Id="rId46" Type="http://schemas.openxmlformats.org/officeDocument/2006/relationships/chart" Target="../charts/chart44.xml"/><Relationship Id="rId20" Type="http://schemas.openxmlformats.org/officeDocument/2006/relationships/chart" Target="../charts/chart18.xml"/><Relationship Id="rId41" Type="http://schemas.openxmlformats.org/officeDocument/2006/relationships/chart" Target="../charts/chart39.xml"/><Relationship Id="rId54" Type="http://schemas.openxmlformats.org/officeDocument/2006/relationships/chart" Target="../charts/chart52.xml"/><Relationship Id="rId1" Type="http://schemas.openxmlformats.org/officeDocument/2006/relationships/image" Target="../media/image6.png"/><Relationship Id="rId6" Type="http://schemas.openxmlformats.org/officeDocument/2006/relationships/chart" Target="../charts/chart4.xml"/><Relationship Id="rId15" Type="http://schemas.openxmlformats.org/officeDocument/2006/relationships/chart" Target="../charts/chart13.xml"/><Relationship Id="rId23" Type="http://schemas.openxmlformats.org/officeDocument/2006/relationships/chart" Target="../charts/chart21.xml"/><Relationship Id="rId28" Type="http://schemas.openxmlformats.org/officeDocument/2006/relationships/chart" Target="../charts/chart26.xml"/><Relationship Id="rId36" Type="http://schemas.openxmlformats.org/officeDocument/2006/relationships/chart" Target="../charts/chart34.xml"/><Relationship Id="rId49" Type="http://schemas.openxmlformats.org/officeDocument/2006/relationships/chart" Target="../charts/chart4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3</xdr:row>
      <xdr:rowOff>152400</xdr:rowOff>
    </xdr:from>
    <xdr:to>
      <xdr:col>12</xdr:col>
      <xdr:colOff>0</xdr:colOff>
      <xdr:row>21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685800"/>
          <a:ext cx="7404100" cy="3073400"/>
        </a:xfrm>
        <a:prstGeom prst="rect">
          <a:avLst/>
        </a:prstGeom>
      </xdr:spPr>
    </xdr:pic>
    <xdr:clientData/>
  </xdr:twoCellAnchor>
  <xdr:twoCellAnchor editAs="oneCell">
    <xdr:from>
      <xdr:col>0</xdr:col>
      <xdr:colOff>657225</xdr:colOff>
      <xdr:row>25</xdr:row>
      <xdr:rowOff>38100</xdr:rowOff>
    </xdr:from>
    <xdr:to>
      <xdr:col>12</xdr:col>
      <xdr:colOff>0</xdr:colOff>
      <xdr:row>42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0400" y="4483100"/>
          <a:ext cx="7366000" cy="30353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19050</xdr:rowOff>
    </xdr:from>
    <xdr:to>
      <xdr:col>12</xdr:col>
      <xdr:colOff>0</xdr:colOff>
      <xdr:row>64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3100" y="8382000"/>
          <a:ext cx="7353300" cy="30226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69</xdr:row>
      <xdr:rowOff>0</xdr:rowOff>
    </xdr:from>
    <xdr:to>
      <xdr:col>11</xdr:col>
      <xdr:colOff>581025</xdr:colOff>
      <xdr:row>85</xdr:row>
      <xdr:rowOff>161925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3100" y="12268200"/>
          <a:ext cx="7366000" cy="3022600"/>
        </a:xfrm>
        <a:prstGeom prst="rect">
          <a:avLst/>
        </a:prstGeom>
      </xdr:spPr>
    </xdr:pic>
    <xdr:clientData/>
  </xdr:twoCellAnchor>
  <xdr:twoCellAnchor editAs="oneCell">
    <xdr:from>
      <xdr:col>0</xdr:col>
      <xdr:colOff>657225</xdr:colOff>
      <xdr:row>92</xdr:row>
      <xdr:rowOff>0</xdr:rowOff>
    </xdr:from>
    <xdr:to>
      <xdr:col>11</xdr:col>
      <xdr:colOff>581025</xdr:colOff>
      <xdr:row>109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60400" y="16357600"/>
          <a:ext cx="7340600" cy="304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</xdr:colOff>
      <xdr:row>5</xdr:row>
      <xdr:rowOff>114300</xdr:rowOff>
    </xdr:from>
    <xdr:to>
      <xdr:col>14</xdr:col>
      <xdr:colOff>1504950</xdr:colOff>
      <xdr:row>8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8500" y="1117600"/>
          <a:ext cx="4216400" cy="609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20</xdr:col>
      <xdr:colOff>66675</xdr:colOff>
      <xdr:row>4</xdr:row>
      <xdr:rowOff>123825</xdr:rowOff>
    </xdr:from>
    <xdr:to>
      <xdr:col>27</xdr:col>
      <xdr:colOff>361950</xdr:colOff>
      <xdr:row>22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986878" y="961571"/>
          <a:ext cx="5492419" cy="3275565"/>
        </a:xfrm>
        <a:prstGeom prst="rect">
          <a:avLst/>
        </a:prstGeom>
      </xdr:spPr>
    </xdr:pic>
    <xdr:clientData/>
  </xdr:twoCellAnchor>
  <xdr:twoCellAnchor>
    <xdr:from>
      <xdr:col>31</xdr:col>
      <xdr:colOff>266700</xdr:colOff>
      <xdr:row>42</xdr:row>
      <xdr:rowOff>19050</xdr:rowOff>
    </xdr:from>
    <xdr:to>
      <xdr:col>39</xdr:col>
      <xdr:colOff>228600</xdr:colOff>
      <xdr:row>65</xdr:row>
      <xdr:rowOff>161925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323850</xdr:colOff>
      <xdr:row>69</xdr:row>
      <xdr:rowOff>0</xdr:rowOff>
    </xdr:from>
    <xdr:to>
      <xdr:col>39</xdr:col>
      <xdr:colOff>285750</xdr:colOff>
      <xdr:row>92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31</xdr:col>
      <xdr:colOff>323850</xdr:colOff>
      <xdr:row>97</xdr:row>
      <xdr:rowOff>9525</xdr:rowOff>
    </xdr:from>
    <xdr:to>
      <xdr:col>39</xdr:col>
      <xdr:colOff>285750</xdr:colOff>
      <xdr:row>120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361950</xdr:colOff>
      <xdr:row>126</xdr:row>
      <xdr:rowOff>85725</xdr:rowOff>
    </xdr:from>
    <xdr:to>
      <xdr:col>39</xdr:col>
      <xdr:colOff>323850</xdr:colOff>
      <xdr:row>150</xdr:row>
      <xdr:rowOff>38100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390525</xdr:colOff>
      <xdr:row>155</xdr:row>
      <xdr:rowOff>9525</xdr:rowOff>
    </xdr:from>
    <xdr:to>
      <xdr:col>39</xdr:col>
      <xdr:colOff>361950</xdr:colOff>
      <xdr:row>178</xdr:row>
      <xdr:rowOff>152400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31</xdr:col>
      <xdr:colOff>381000</xdr:colOff>
      <xdr:row>183</xdr:row>
      <xdr:rowOff>161925</xdr:rowOff>
    </xdr:from>
    <xdr:to>
      <xdr:col>39</xdr:col>
      <xdr:colOff>342900</xdr:colOff>
      <xdr:row>207</xdr:row>
      <xdr:rowOff>114300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31</xdr:col>
      <xdr:colOff>85725</xdr:colOff>
      <xdr:row>213</xdr:row>
      <xdr:rowOff>142875</xdr:rowOff>
    </xdr:from>
    <xdr:to>
      <xdr:col>39</xdr:col>
      <xdr:colOff>47625</xdr:colOff>
      <xdr:row>237</xdr:row>
      <xdr:rowOff>95250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31</xdr:col>
      <xdr:colOff>123825</xdr:colOff>
      <xdr:row>242</xdr:row>
      <xdr:rowOff>66675</xdr:rowOff>
    </xdr:from>
    <xdr:to>
      <xdr:col>39</xdr:col>
      <xdr:colOff>85725</xdr:colOff>
      <xdr:row>266</xdr:row>
      <xdr:rowOff>28575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31</xdr:col>
      <xdr:colOff>0</xdr:colOff>
      <xdr:row>271</xdr:row>
      <xdr:rowOff>0</xdr:rowOff>
    </xdr:from>
    <xdr:to>
      <xdr:col>38</xdr:col>
      <xdr:colOff>628650</xdr:colOff>
      <xdr:row>294</xdr:row>
      <xdr:rowOff>133350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31</xdr:col>
      <xdr:colOff>0</xdr:colOff>
      <xdr:row>300</xdr:row>
      <xdr:rowOff>0</xdr:rowOff>
    </xdr:from>
    <xdr:to>
      <xdr:col>38</xdr:col>
      <xdr:colOff>628650</xdr:colOff>
      <xdr:row>323</xdr:row>
      <xdr:rowOff>133350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31</xdr:col>
      <xdr:colOff>9525</xdr:colOff>
      <xdr:row>330</xdr:row>
      <xdr:rowOff>0</xdr:rowOff>
    </xdr:from>
    <xdr:to>
      <xdr:col>38</xdr:col>
      <xdr:colOff>647700</xdr:colOff>
      <xdr:row>353</xdr:row>
      <xdr:rowOff>133350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31</xdr:col>
      <xdr:colOff>0</xdr:colOff>
      <xdr:row>358</xdr:row>
      <xdr:rowOff>0</xdr:rowOff>
    </xdr:from>
    <xdr:to>
      <xdr:col>38</xdr:col>
      <xdr:colOff>628650</xdr:colOff>
      <xdr:row>381</xdr:row>
      <xdr:rowOff>133350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31</xdr:col>
      <xdr:colOff>0</xdr:colOff>
      <xdr:row>387</xdr:row>
      <xdr:rowOff>0</xdr:rowOff>
    </xdr:from>
    <xdr:to>
      <xdr:col>38</xdr:col>
      <xdr:colOff>628650</xdr:colOff>
      <xdr:row>410</xdr:row>
      <xdr:rowOff>133350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31</xdr:col>
      <xdr:colOff>0</xdr:colOff>
      <xdr:row>416</xdr:row>
      <xdr:rowOff>123825</xdr:rowOff>
    </xdr:from>
    <xdr:to>
      <xdr:col>38</xdr:col>
      <xdr:colOff>628650</xdr:colOff>
      <xdr:row>440</xdr:row>
      <xdr:rowOff>76200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31</xdr:col>
      <xdr:colOff>0</xdr:colOff>
      <xdr:row>445</xdr:row>
      <xdr:rowOff>0</xdr:rowOff>
    </xdr:from>
    <xdr:to>
      <xdr:col>38</xdr:col>
      <xdr:colOff>628650</xdr:colOff>
      <xdr:row>468</xdr:row>
      <xdr:rowOff>133350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31</xdr:col>
      <xdr:colOff>0</xdr:colOff>
      <xdr:row>474</xdr:row>
      <xdr:rowOff>0</xdr:rowOff>
    </xdr:from>
    <xdr:to>
      <xdr:col>38</xdr:col>
      <xdr:colOff>628650</xdr:colOff>
      <xdr:row>497</xdr:row>
      <xdr:rowOff>133350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31</xdr:col>
      <xdr:colOff>0</xdr:colOff>
      <xdr:row>503</xdr:row>
      <xdr:rowOff>0</xdr:rowOff>
    </xdr:from>
    <xdr:to>
      <xdr:col>38</xdr:col>
      <xdr:colOff>628650</xdr:colOff>
      <xdr:row>526</xdr:row>
      <xdr:rowOff>133350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31</xdr:col>
      <xdr:colOff>0</xdr:colOff>
      <xdr:row>531</xdr:row>
      <xdr:rowOff>0</xdr:rowOff>
    </xdr:from>
    <xdr:to>
      <xdr:col>38</xdr:col>
      <xdr:colOff>628650</xdr:colOff>
      <xdr:row>554</xdr:row>
      <xdr:rowOff>133350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31</xdr:col>
      <xdr:colOff>0</xdr:colOff>
      <xdr:row>561</xdr:row>
      <xdr:rowOff>0</xdr:rowOff>
    </xdr:from>
    <xdr:to>
      <xdr:col>38</xdr:col>
      <xdr:colOff>628650</xdr:colOff>
      <xdr:row>584</xdr:row>
      <xdr:rowOff>133350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31</xdr:col>
      <xdr:colOff>0</xdr:colOff>
      <xdr:row>590</xdr:row>
      <xdr:rowOff>0</xdr:rowOff>
    </xdr:from>
    <xdr:to>
      <xdr:col>38</xdr:col>
      <xdr:colOff>628650</xdr:colOff>
      <xdr:row>613</xdr:row>
      <xdr:rowOff>133350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31</xdr:col>
      <xdr:colOff>0</xdr:colOff>
      <xdr:row>619</xdr:row>
      <xdr:rowOff>47625</xdr:rowOff>
    </xdr:from>
    <xdr:to>
      <xdr:col>38</xdr:col>
      <xdr:colOff>628650</xdr:colOff>
      <xdr:row>643</xdr:row>
      <xdr:rowOff>9525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31</xdr:col>
      <xdr:colOff>0</xdr:colOff>
      <xdr:row>648</xdr:row>
      <xdr:rowOff>0</xdr:rowOff>
    </xdr:from>
    <xdr:to>
      <xdr:col>38</xdr:col>
      <xdr:colOff>628650</xdr:colOff>
      <xdr:row>671</xdr:row>
      <xdr:rowOff>133350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31</xdr:col>
      <xdr:colOff>0</xdr:colOff>
      <xdr:row>677</xdr:row>
      <xdr:rowOff>0</xdr:rowOff>
    </xdr:from>
    <xdr:to>
      <xdr:col>38</xdr:col>
      <xdr:colOff>628650</xdr:colOff>
      <xdr:row>700</xdr:row>
      <xdr:rowOff>133350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31</xdr:col>
      <xdr:colOff>0</xdr:colOff>
      <xdr:row>706</xdr:row>
      <xdr:rowOff>0</xdr:rowOff>
    </xdr:from>
    <xdr:to>
      <xdr:col>38</xdr:col>
      <xdr:colOff>628650</xdr:colOff>
      <xdr:row>729</xdr:row>
      <xdr:rowOff>133350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31</xdr:col>
      <xdr:colOff>0</xdr:colOff>
      <xdr:row>735</xdr:row>
      <xdr:rowOff>0</xdr:rowOff>
    </xdr:from>
    <xdr:to>
      <xdr:col>38</xdr:col>
      <xdr:colOff>628650</xdr:colOff>
      <xdr:row>758</xdr:row>
      <xdr:rowOff>133350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40</xdr:col>
      <xdr:colOff>85725</xdr:colOff>
      <xdr:row>41</xdr:row>
      <xdr:rowOff>180975</xdr:rowOff>
    </xdr:from>
    <xdr:to>
      <xdr:col>47</xdr:col>
      <xdr:colOff>342900</xdr:colOff>
      <xdr:row>65</xdr:row>
      <xdr:rowOff>133350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40</xdr:col>
      <xdr:colOff>0</xdr:colOff>
      <xdr:row>69</xdr:row>
      <xdr:rowOff>0</xdr:rowOff>
    </xdr:from>
    <xdr:to>
      <xdr:col>47</xdr:col>
      <xdr:colOff>247650</xdr:colOff>
      <xdr:row>92</xdr:row>
      <xdr:rowOff>133350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40</xdr:col>
      <xdr:colOff>0</xdr:colOff>
      <xdr:row>97</xdr:row>
      <xdr:rowOff>0</xdr:rowOff>
    </xdr:from>
    <xdr:to>
      <xdr:col>47</xdr:col>
      <xdr:colOff>247650</xdr:colOff>
      <xdr:row>120</xdr:row>
      <xdr:rowOff>133350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40</xdr:col>
      <xdr:colOff>0</xdr:colOff>
      <xdr:row>126</xdr:row>
      <xdr:rowOff>0</xdr:rowOff>
    </xdr:from>
    <xdr:to>
      <xdr:col>47</xdr:col>
      <xdr:colOff>247650</xdr:colOff>
      <xdr:row>149</xdr:row>
      <xdr:rowOff>133350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40</xdr:col>
      <xdr:colOff>0</xdr:colOff>
      <xdr:row>155</xdr:row>
      <xdr:rowOff>0</xdr:rowOff>
    </xdr:from>
    <xdr:to>
      <xdr:col>47</xdr:col>
      <xdr:colOff>247650</xdr:colOff>
      <xdr:row>178</xdr:row>
      <xdr:rowOff>133350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40</xdr:col>
      <xdr:colOff>85725</xdr:colOff>
      <xdr:row>183</xdr:row>
      <xdr:rowOff>142875</xdr:rowOff>
    </xdr:from>
    <xdr:to>
      <xdr:col>47</xdr:col>
      <xdr:colOff>342900</xdr:colOff>
      <xdr:row>207</xdr:row>
      <xdr:rowOff>95250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40</xdr:col>
      <xdr:colOff>104775</xdr:colOff>
      <xdr:row>213</xdr:row>
      <xdr:rowOff>161925</xdr:rowOff>
    </xdr:from>
    <xdr:to>
      <xdr:col>47</xdr:col>
      <xdr:colOff>361950</xdr:colOff>
      <xdr:row>237</xdr:row>
      <xdr:rowOff>114300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40</xdr:col>
      <xdr:colOff>0</xdr:colOff>
      <xdr:row>242</xdr:row>
      <xdr:rowOff>0</xdr:rowOff>
    </xdr:from>
    <xdr:to>
      <xdr:col>47</xdr:col>
      <xdr:colOff>247650</xdr:colOff>
      <xdr:row>265</xdr:row>
      <xdr:rowOff>133350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40</xdr:col>
      <xdr:colOff>0</xdr:colOff>
      <xdr:row>270</xdr:row>
      <xdr:rowOff>0</xdr:rowOff>
    </xdr:from>
    <xdr:to>
      <xdr:col>47</xdr:col>
      <xdr:colOff>247650</xdr:colOff>
      <xdr:row>293</xdr:row>
      <xdr:rowOff>133350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40</xdr:col>
      <xdr:colOff>0</xdr:colOff>
      <xdr:row>299</xdr:row>
      <xdr:rowOff>0</xdr:rowOff>
    </xdr:from>
    <xdr:to>
      <xdr:col>47</xdr:col>
      <xdr:colOff>247650</xdr:colOff>
      <xdr:row>322</xdr:row>
      <xdr:rowOff>133350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40</xdr:col>
      <xdr:colOff>0</xdr:colOff>
      <xdr:row>329</xdr:row>
      <xdr:rowOff>0</xdr:rowOff>
    </xdr:from>
    <xdr:to>
      <xdr:col>47</xdr:col>
      <xdr:colOff>247650</xdr:colOff>
      <xdr:row>352</xdr:row>
      <xdr:rowOff>133350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40</xdr:col>
      <xdr:colOff>0</xdr:colOff>
      <xdr:row>357</xdr:row>
      <xdr:rowOff>0</xdr:rowOff>
    </xdr:from>
    <xdr:to>
      <xdr:col>47</xdr:col>
      <xdr:colOff>247650</xdr:colOff>
      <xdr:row>380</xdr:row>
      <xdr:rowOff>133350</xdr:rowOff>
    </xdr:to>
    <xdr:graphicFrame macro="">
      <xdr:nvGraphicFramePr>
        <xdr:cNvPr id="42" name="Chart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40</xdr:col>
      <xdr:colOff>0</xdr:colOff>
      <xdr:row>386</xdr:row>
      <xdr:rowOff>0</xdr:rowOff>
    </xdr:from>
    <xdr:to>
      <xdr:col>47</xdr:col>
      <xdr:colOff>247650</xdr:colOff>
      <xdr:row>409</xdr:row>
      <xdr:rowOff>133350</xdr:rowOff>
    </xdr:to>
    <xdr:graphicFrame macro="">
      <xdr:nvGraphicFramePr>
        <xdr:cNvPr id="43" name="Chart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39</xdr:col>
      <xdr:colOff>590550</xdr:colOff>
      <xdr:row>416</xdr:row>
      <xdr:rowOff>0</xdr:rowOff>
    </xdr:from>
    <xdr:to>
      <xdr:col>47</xdr:col>
      <xdr:colOff>180975</xdr:colOff>
      <xdr:row>439</xdr:row>
      <xdr:rowOff>133350</xdr:rowOff>
    </xdr:to>
    <xdr:graphicFrame macro="">
      <xdr:nvGraphicFramePr>
        <xdr:cNvPr id="44" name="Chart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40</xdr:col>
      <xdr:colOff>0</xdr:colOff>
      <xdr:row>445</xdr:row>
      <xdr:rowOff>0</xdr:rowOff>
    </xdr:from>
    <xdr:to>
      <xdr:col>47</xdr:col>
      <xdr:colOff>247650</xdr:colOff>
      <xdr:row>468</xdr:row>
      <xdr:rowOff>133350</xdr:rowOff>
    </xdr:to>
    <xdr:graphicFrame macro="">
      <xdr:nvGraphicFramePr>
        <xdr:cNvPr id="45" name="Chart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40</xdr:col>
      <xdr:colOff>0</xdr:colOff>
      <xdr:row>473</xdr:row>
      <xdr:rowOff>85725</xdr:rowOff>
    </xdr:from>
    <xdr:to>
      <xdr:col>47</xdr:col>
      <xdr:colOff>247650</xdr:colOff>
      <xdr:row>497</xdr:row>
      <xdr:rowOff>38100</xdr:rowOff>
    </xdr:to>
    <xdr:graphicFrame macro="">
      <xdr:nvGraphicFramePr>
        <xdr:cNvPr id="46" name="Chart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40</xdr:col>
      <xdr:colOff>0</xdr:colOff>
      <xdr:row>502</xdr:row>
      <xdr:rowOff>161925</xdr:rowOff>
    </xdr:from>
    <xdr:to>
      <xdr:col>47</xdr:col>
      <xdr:colOff>247650</xdr:colOff>
      <xdr:row>526</xdr:row>
      <xdr:rowOff>114300</xdr:rowOff>
    </xdr:to>
    <xdr:graphicFrame macro="">
      <xdr:nvGraphicFramePr>
        <xdr:cNvPr id="47" name="Chart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40</xdr:col>
      <xdr:colOff>0</xdr:colOff>
      <xdr:row>530</xdr:row>
      <xdr:rowOff>142875</xdr:rowOff>
    </xdr:from>
    <xdr:to>
      <xdr:col>47</xdr:col>
      <xdr:colOff>247650</xdr:colOff>
      <xdr:row>554</xdr:row>
      <xdr:rowOff>95250</xdr:rowOff>
    </xdr:to>
    <xdr:graphicFrame macro="">
      <xdr:nvGraphicFramePr>
        <xdr:cNvPr id="48" name="Chart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40</xdr:col>
      <xdr:colOff>0</xdr:colOff>
      <xdr:row>560</xdr:row>
      <xdr:rowOff>0</xdr:rowOff>
    </xdr:from>
    <xdr:to>
      <xdr:col>47</xdr:col>
      <xdr:colOff>247650</xdr:colOff>
      <xdr:row>583</xdr:row>
      <xdr:rowOff>133350</xdr:rowOff>
    </xdr:to>
    <xdr:graphicFrame macro="">
      <xdr:nvGraphicFramePr>
        <xdr:cNvPr id="49" name="Chart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40</xdr:col>
      <xdr:colOff>0</xdr:colOff>
      <xdr:row>590</xdr:row>
      <xdr:rowOff>0</xdr:rowOff>
    </xdr:from>
    <xdr:to>
      <xdr:col>47</xdr:col>
      <xdr:colOff>247650</xdr:colOff>
      <xdr:row>613</xdr:row>
      <xdr:rowOff>133350</xdr:rowOff>
    </xdr:to>
    <xdr:graphicFrame macro="">
      <xdr:nvGraphicFramePr>
        <xdr:cNvPr id="50" name="Chart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40</xdr:col>
      <xdr:colOff>0</xdr:colOff>
      <xdr:row>619</xdr:row>
      <xdr:rowOff>0</xdr:rowOff>
    </xdr:from>
    <xdr:to>
      <xdr:col>47</xdr:col>
      <xdr:colOff>247650</xdr:colOff>
      <xdr:row>642</xdr:row>
      <xdr:rowOff>133350</xdr:rowOff>
    </xdr:to>
    <xdr:graphicFrame macro="">
      <xdr:nvGraphicFramePr>
        <xdr:cNvPr id="51" name="Chart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40</xdr:col>
      <xdr:colOff>0</xdr:colOff>
      <xdr:row>648</xdr:row>
      <xdr:rowOff>0</xdr:rowOff>
    </xdr:from>
    <xdr:to>
      <xdr:col>47</xdr:col>
      <xdr:colOff>247650</xdr:colOff>
      <xdr:row>671</xdr:row>
      <xdr:rowOff>133350</xdr:rowOff>
    </xdr:to>
    <xdr:graphicFrame macro="">
      <xdr:nvGraphicFramePr>
        <xdr:cNvPr id="52" name="Chart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40</xdr:col>
      <xdr:colOff>0</xdr:colOff>
      <xdr:row>677</xdr:row>
      <xdr:rowOff>0</xdr:rowOff>
    </xdr:from>
    <xdr:to>
      <xdr:col>47</xdr:col>
      <xdr:colOff>247650</xdr:colOff>
      <xdr:row>700</xdr:row>
      <xdr:rowOff>133350</xdr:rowOff>
    </xdr:to>
    <xdr:graphicFrame macro="">
      <xdr:nvGraphicFramePr>
        <xdr:cNvPr id="53" name="Chart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40</xdr:col>
      <xdr:colOff>0</xdr:colOff>
      <xdr:row>706</xdr:row>
      <xdr:rowOff>0</xdr:rowOff>
    </xdr:from>
    <xdr:to>
      <xdr:col>47</xdr:col>
      <xdr:colOff>247650</xdr:colOff>
      <xdr:row>729</xdr:row>
      <xdr:rowOff>133350</xdr:rowOff>
    </xdr:to>
    <xdr:graphicFrame macro="">
      <xdr:nvGraphicFramePr>
        <xdr:cNvPr id="54" name="Chart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40</xdr:col>
      <xdr:colOff>0</xdr:colOff>
      <xdr:row>735</xdr:row>
      <xdr:rowOff>0</xdr:rowOff>
    </xdr:from>
    <xdr:to>
      <xdr:col>47</xdr:col>
      <xdr:colOff>247650</xdr:colOff>
      <xdr:row>758</xdr:row>
      <xdr:rowOff>133350</xdr:rowOff>
    </xdr:to>
    <xdr:graphicFrame macro="">
      <xdr:nvGraphicFramePr>
        <xdr:cNvPr id="55" name="Chart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12</xdr:col>
      <xdr:colOff>561975</xdr:colOff>
      <xdr:row>46</xdr:row>
      <xdr:rowOff>133350</xdr:rowOff>
    </xdr:from>
    <xdr:to>
      <xdr:col>15</xdr:col>
      <xdr:colOff>847725</xdr:colOff>
      <xdr:row>62</xdr:row>
      <xdr:rowOff>57150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13</xdr:col>
      <xdr:colOff>0</xdr:colOff>
      <xdr:row>68</xdr:row>
      <xdr:rowOff>0</xdr:rowOff>
    </xdr:from>
    <xdr:to>
      <xdr:col>15</xdr:col>
      <xdr:colOff>866775</xdr:colOff>
      <xdr:row>83</xdr:row>
      <xdr:rowOff>114300</xdr:rowOff>
    </xdr:to>
    <xdr:graphicFrame macro="">
      <xdr:nvGraphicFramePr>
        <xdr:cNvPr id="57" name="Chart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D112"/>
  <sheetViews>
    <sheetView showGridLines="0" zoomScale="70" zoomScaleNormal="70" zoomScalePageLayoutView="85" workbookViewId="0">
      <selection activeCell="C3" sqref="C3"/>
    </sheetView>
  </sheetViews>
  <sheetFormatPr defaultColWidth="8.85546875" defaultRowHeight="15"/>
  <cols>
    <col min="23" max="23" width="9.140625" bestFit="1" customWidth="1"/>
    <col min="27" max="27" width="9.85546875" bestFit="1" customWidth="1"/>
    <col min="28" max="28" width="9.42578125" bestFit="1" customWidth="1"/>
    <col min="55" max="56" width="10.7109375" customWidth="1"/>
    <col min="57" max="57" width="11.140625" customWidth="1"/>
    <col min="58" max="58" width="11.7109375" customWidth="1"/>
    <col min="59" max="59" width="11" customWidth="1"/>
    <col min="60" max="60" width="14" customWidth="1"/>
    <col min="62" max="62" width="10.28515625" customWidth="1"/>
    <col min="63" max="63" width="11.140625" customWidth="1"/>
    <col min="80" max="80" width="10.28515625" customWidth="1"/>
    <col min="81" max="81" width="11" bestFit="1" customWidth="1"/>
  </cols>
  <sheetData>
    <row r="2" spans="2:80">
      <c r="U2" s="2" t="s">
        <v>0</v>
      </c>
      <c r="AG2" s="2" t="s">
        <v>1</v>
      </c>
      <c r="AH2" s="2"/>
      <c r="AI2" s="2"/>
      <c r="AV2" s="2" t="s">
        <v>2</v>
      </c>
      <c r="BB2" t="s">
        <v>3</v>
      </c>
      <c r="BN2" s="2" t="s">
        <v>4</v>
      </c>
    </row>
    <row r="3" spans="2:80">
      <c r="B3" t="s">
        <v>5</v>
      </c>
      <c r="E3" t="s">
        <v>6</v>
      </c>
      <c r="U3">
        <f>(5*8760)</f>
        <v>43800</v>
      </c>
      <c r="AV3" s="2" t="s">
        <v>5</v>
      </c>
      <c r="AW3" s="2"/>
      <c r="AX3" s="2"/>
      <c r="AY3" s="2" t="s">
        <v>6</v>
      </c>
      <c r="AZ3" s="2"/>
      <c r="BN3" s="2" t="s">
        <v>5</v>
      </c>
      <c r="BO3" s="2"/>
      <c r="BP3" s="2"/>
      <c r="BQ3" s="2" t="s">
        <v>6</v>
      </c>
      <c r="BR3" s="2"/>
    </row>
    <row r="5" spans="2:80">
      <c r="P5" s="71" t="s">
        <v>7</v>
      </c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G5" s="71" t="s">
        <v>8</v>
      </c>
      <c r="AH5" s="71"/>
      <c r="AI5" s="69" t="s">
        <v>7</v>
      </c>
      <c r="AJ5" s="69"/>
      <c r="AK5" s="69"/>
      <c r="AL5" s="69"/>
      <c r="AM5" s="69"/>
      <c r="AN5" s="69"/>
      <c r="AO5" s="69"/>
      <c r="AP5" s="69"/>
      <c r="AQ5" s="69"/>
      <c r="AR5" s="69"/>
      <c r="AS5" s="69"/>
      <c r="AV5" s="71" t="s">
        <v>8</v>
      </c>
      <c r="AW5" s="71"/>
      <c r="AX5" s="72" t="s">
        <v>7</v>
      </c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4"/>
      <c r="BN5" s="71" t="s">
        <v>8</v>
      </c>
      <c r="BO5" s="71"/>
      <c r="BP5" s="72" t="s">
        <v>7</v>
      </c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4"/>
    </row>
    <row r="6" spans="2:80"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G6" s="71"/>
      <c r="AH6" s="71"/>
      <c r="AI6" s="11" t="s">
        <v>9</v>
      </c>
      <c r="AJ6" s="3">
        <v>2</v>
      </c>
      <c r="AK6" s="3">
        <v>3</v>
      </c>
      <c r="AL6" s="3">
        <v>4</v>
      </c>
      <c r="AM6" s="3">
        <v>5</v>
      </c>
      <c r="AN6" s="3">
        <v>6</v>
      </c>
      <c r="AO6" s="3">
        <v>7</v>
      </c>
      <c r="AP6" s="3">
        <v>8</v>
      </c>
      <c r="AQ6" s="3">
        <v>9</v>
      </c>
      <c r="AR6" s="3">
        <v>10</v>
      </c>
      <c r="AS6" s="3" t="s">
        <v>10</v>
      </c>
      <c r="AV6" s="71"/>
      <c r="AW6" s="71"/>
      <c r="AX6" s="11" t="s">
        <v>9</v>
      </c>
      <c r="AY6" s="3">
        <v>2</v>
      </c>
      <c r="AZ6" s="3">
        <v>3</v>
      </c>
      <c r="BA6" s="3">
        <v>4</v>
      </c>
      <c r="BB6" s="3">
        <v>5</v>
      </c>
      <c r="BC6" s="3">
        <v>6</v>
      </c>
      <c r="BD6" s="3">
        <v>7</v>
      </c>
      <c r="BE6" s="3">
        <v>8</v>
      </c>
      <c r="BF6" s="3">
        <v>9</v>
      </c>
      <c r="BG6" s="3">
        <v>10</v>
      </c>
      <c r="BH6" s="3" t="s">
        <v>10</v>
      </c>
      <c r="BI6" s="69" t="s">
        <v>11</v>
      </c>
      <c r="BJ6" s="69"/>
      <c r="BN6" s="71"/>
      <c r="BO6" s="71"/>
      <c r="BP6" s="11" t="s">
        <v>9</v>
      </c>
      <c r="BQ6" s="3">
        <v>2</v>
      </c>
      <c r="BR6" s="3">
        <v>3</v>
      </c>
      <c r="BS6" s="3">
        <v>4</v>
      </c>
      <c r="BT6" s="3">
        <v>5</v>
      </c>
      <c r="BU6" s="3">
        <v>6</v>
      </c>
      <c r="BV6" s="3">
        <v>7</v>
      </c>
      <c r="BW6" s="3">
        <v>8</v>
      </c>
      <c r="BX6" s="3">
        <v>9</v>
      </c>
      <c r="BY6" s="3">
        <v>10</v>
      </c>
      <c r="BZ6" s="3" t="s">
        <v>10</v>
      </c>
      <c r="CA6" s="69" t="s">
        <v>11</v>
      </c>
      <c r="CB6" s="69"/>
    </row>
    <row r="7" spans="2:80">
      <c r="P7" s="71" t="s">
        <v>12</v>
      </c>
      <c r="Q7" s="71"/>
      <c r="R7" s="3" t="s">
        <v>9</v>
      </c>
      <c r="S7" s="3">
        <v>2</v>
      </c>
      <c r="T7" s="3">
        <v>3</v>
      </c>
      <c r="U7" s="3">
        <v>4</v>
      </c>
      <c r="V7" s="3">
        <v>5</v>
      </c>
      <c r="W7" s="3">
        <v>6</v>
      </c>
      <c r="X7" s="3">
        <v>7</v>
      </c>
      <c r="Y7" s="3">
        <v>8</v>
      </c>
      <c r="Z7" s="3">
        <v>9</v>
      </c>
      <c r="AA7" s="3">
        <v>10</v>
      </c>
      <c r="AB7" s="3" t="s">
        <v>10</v>
      </c>
      <c r="AC7" s="69" t="s">
        <v>13</v>
      </c>
      <c r="AD7" s="69"/>
      <c r="AG7" s="71" t="s">
        <v>12</v>
      </c>
      <c r="AH7" s="10" t="s">
        <v>14</v>
      </c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V7" s="75" t="s">
        <v>12</v>
      </c>
      <c r="AW7" s="10" t="s">
        <v>14</v>
      </c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69">
        <f>SUM(AY7:BH7)</f>
        <v>0</v>
      </c>
      <c r="BJ7" s="69"/>
      <c r="BN7" s="75" t="s">
        <v>12</v>
      </c>
      <c r="BO7" s="10" t="s">
        <v>14</v>
      </c>
      <c r="BP7" s="3">
        <f>AI28*S8</f>
        <v>0</v>
      </c>
      <c r="BQ7" s="3">
        <f t="shared" ref="BQ7:BZ17" si="0">AJ28*T8</f>
        <v>0</v>
      </c>
      <c r="BR7" s="3">
        <f t="shared" si="0"/>
        <v>0</v>
      </c>
      <c r="BS7" s="3">
        <f t="shared" si="0"/>
        <v>0</v>
      </c>
      <c r="BT7" s="3">
        <f t="shared" si="0"/>
        <v>0</v>
      </c>
      <c r="BU7" s="3">
        <f t="shared" si="0"/>
        <v>0</v>
      </c>
      <c r="BV7" s="3">
        <f t="shared" si="0"/>
        <v>0</v>
      </c>
      <c r="BW7" s="3">
        <f t="shared" si="0"/>
        <v>0</v>
      </c>
      <c r="BX7" s="3">
        <f t="shared" si="0"/>
        <v>0</v>
      </c>
      <c r="BY7" s="3">
        <f t="shared" si="0"/>
        <v>0</v>
      </c>
      <c r="BZ7" s="3">
        <f t="shared" si="0"/>
        <v>0</v>
      </c>
      <c r="CA7" s="69">
        <f>SUM(BQ7:BZ7)</f>
        <v>0</v>
      </c>
      <c r="CB7" s="69"/>
    </row>
    <row r="8" spans="2:80">
      <c r="P8" s="71"/>
      <c r="Q8" s="71"/>
      <c r="R8" s="3" t="s">
        <v>14</v>
      </c>
      <c r="S8" s="3"/>
      <c r="T8" s="3"/>
      <c r="U8" s="3"/>
      <c r="V8" s="3"/>
      <c r="W8" s="7">
        <f>0.00095*U3</f>
        <v>41.61</v>
      </c>
      <c r="X8" s="3"/>
      <c r="Y8" s="3"/>
      <c r="Z8" s="3"/>
      <c r="AA8" s="3"/>
      <c r="AB8" s="3"/>
      <c r="AC8" s="69">
        <f>SUM(S8:AB8)</f>
        <v>41.61</v>
      </c>
      <c r="AD8" s="69"/>
      <c r="AG8" s="71"/>
      <c r="AH8" s="12">
        <v>1</v>
      </c>
      <c r="AI8" s="3"/>
      <c r="AJ8" s="3"/>
      <c r="AK8" s="3"/>
      <c r="AL8" s="3"/>
      <c r="AM8" s="3"/>
      <c r="AN8" s="3">
        <v>6</v>
      </c>
      <c r="AO8" s="3">
        <v>8</v>
      </c>
      <c r="AP8" s="3">
        <v>11</v>
      </c>
      <c r="AQ8" s="3">
        <v>12</v>
      </c>
      <c r="AR8" s="3">
        <v>11</v>
      </c>
      <c r="AS8" s="3">
        <v>5</v>
      </c>
      <c r="AV8" s="76"/>
      <c r="AW8" s="12">
        <v>1</v>
      </c>
      <c r="AX8" s="3"/>
      <c r="AY8" s="3"/>
      <c r="AZ8" s="3"/>
      <c r="BA8" s="3"/>
      <c r="BB8" s="3"/>
      <c r="BC8" s="8">
        <f>AN8*W9</f>
        <v>4407.1559999999999</v>
      </c>
      <c r="BD8" s="8">
        <f t="shared" ref="BD8:BH17" si="1">AO8*X9</f>
        <v>3486.48</v>
      </c>
      <c r="BE8" s="8">
        <f t="shared" si="1"/>
        <v>8802.4860000000008</v>
      </c>
      <c r="BF8" s="8">
        <f t="shared" si="1"/>
        <v>8851.1039999999994</v>
      </c>
      <c r="BG8" s="8">
        <f t="shared" si="1"/>
        <v>7453.4459999999999</v>
      </c>
      <c r="BH8" s="8">
        <f t="shared" si="1"/>
        <v>4224.51</v>
      </c>
      <c r="BI8" s="69">
        <f t="shared" ref="BI8:BI16" si="2">SUM(AY8:BH8)</f>
        <v>37225.182000000008</v>
      </c>
      <c r="BJ8" s="69"/>
      <c r="BN8" s="76"/>
      <c r="BO8" s="12">
        <v>1</v>
      </c>
      <c r="BP8" s="3">
        <f t="shared" ref="BP8:BP17" si="3">AI29*S9</f>
        <v>0</v>
      </c>
      <c r="BQ8" s="3">
        <f t="shared" si="0"/>
        <v>0</v>
      </c>
      <c r="BR8" s="3">
        <f t="shared" si="0"/>
        <v>0</v>
      </c>
      <c r="BS8" s="3">
        <f t="shared" si="0"/>
        <v>0</v>
      </c>
      <c r="BT8" s="3">
        <f t="shared" si="0"/>
        <v>0</v>
      </c>
      <c r="BU8" s="3">
        <f t="shared" si="0"/>
        <v>11113.155000000001</v>
      </c>
      <c r="BV8" s="3">
        <f t="shared" si="0"/>
        <v>28408.023000000005</v>
      </c>
      <c r="BW8" s="3">
        <f t="shared" si="0"/>
        <v>28028.495999999999</v>
      </c>
      <c r="BX8" s="3">
        <f t="shared" si="0"/>
        <v>24393.096000000001</v>
      </c>
      <c r="BY8" s="3">
        <f t="shared" si="0"/>
        <v>25769.511000000002</v>
      </c>
      <c r="BZ8" s="3">
        <f t="shared" si="0"/>
        <v>52711.635599999994</v>
      </c>
      <c r="CA8" s="69">
        <f t="shared" ref="CA8:CA16" si="4">SUM(BQ8:BZ8)</f>
        <v>170423.9166</v>
      </c>
      <c r="CB8" s="69"/>
    </row>
    <row r="9" spans="2:80">
      <c r="P9" s="71"/>
      <c r="Q9" s="71"/>
      <c r="R9" s="10">
        <v>1</v>
      </c>
      <c r="S9" s="3"/>
      <c r="T9" s="3"/>
      <c r="U9" s="7">
        <f>0.00075*U3</f>
        <v>32.85</v>
      </c>
      <c r="V9" s="7">
        <f>0.00552*U3</f>
        <v>241.77599999999998</v>
      </c>
      <c r="W9" s="7">
        <f>0.01677*U3</f>
        <v>734.52599999999995</v>
      </c>
      <c r="X9" s="7">
        <f>0.00995*U3</f>
        <v>435.81</v>
      </c>
      <c r="Y9" s="7">
        <f>0.01827*U3</f>
        <v>800.22600000000011</v>
      </c>
      <c r="Z9" s="7">
        <f>0.01684*U3</f>
        <v>737.59199999999998</v>
      </c>
      <c r="AA9" s="7">
        <f>0.01547*U3</f>
        <v>677.58600000000001</v>
      </c>
      <c r="AB9" s="7">
        <f>0.01929*U3</f>
        <v>844.90200000000004</v>
      </c>
      <c r="AC9" s="69">
        <f t="shared" ref="AC9:AC17" si="5">SUM(S9:AB9)</f>
        <v>4505.268</v>
      </c>
      <c r="AD9" s="69"/>
      <c r="AG9" s="71"/>
      <c r="AH9" s="10">
        <v>1.5</v>
      </c>
      <c r="AI9" s="3"/>
      <c r="AJ9" s="3"/>
      <c r="AK9" s="3"/>
      <c r="AL9" s="3"/>
      <c r="AM9" s="3"/>
      <c r="AN9" s="3">
        <v>13</v>
      </c>
      <c r="AO9" s="3">
        <v>17</v>
      </c>
      <c r="AP9" s="3">
        <v>25</v>
      </c>
      <c r="AQ9" s="3">
        <v>26</v>
      </c>
      <c r="AR9" s="3">
        <v>26</v>
      </c>
      <c r="AS9" s="3">
        <v>15.2</v>
      </c>
      <c r="AV9" s="76"/>
      <c r="AW9" s="10">
        <v>1.5</v>
      </c>
      <c r="AX9" s="3"/>
      <c r="AY9" s="3"/>
      <c r="AZ9" s="3"/>
      <c r="BA9" s="3"/>
      <c r="BB9" s="3"/>
      <c r="BC9" s="8">
        <f t="shared" ref="BC9:BC17" si="6">AN9*W10</f>
        <v>10556.675999999999</v>
      </c>
      <c r="BD9" s="8">
        <f t="shared" si="1"/>
        <v>9538.3259999999991</v>
      </c>
      <c r="BE9" s="8">
        <f t="shared" si="1"/>
        <v>23881.95</v>
      </c>
      <c r="BF9" s="8">
        <f t="shared" si="1"/>
        <v>45403.955999999998</v>
      </c>
      <c r="BG9" s="8">
        <f t="shared" si="1"/>
        <v>51769.847999999998</v>
      </c>
      <c r="BH9" s="8">
        <f t="shared" si="1"/>
        <v>56090.28</v>
      </c>
      <c r="BI9" s="69">
        <f t="shared" si="2"/>
        <v>197241.03599999999</v>
      </c>
      <c r="BJ9" s="69"/>
      <c r="BN9" s="76"/>
      <c r="BO9" s="10">
        <v>1.5</v>
      </c>
      <c r="BP9" s="3">
        <f t="shared" si="3"/>
        <v>0</v>
      </c>
      <c r="BQ9" s="3">
        <f t="shared" si="0"/>
        <v>0</v>
      </c>
      <c r="BR9" s="3">
        <f t="shared" si="0"/>
        <v>0</v>
      </c>
      <c r="BS9" s="3">
        <f t="shared" si="0"/>
        <v>0</v>
      </c>
      <c r="BT9" s="3">
        <f t="shared" si="0"/>
        <v>25985.664000000001</v>
      </c>
      <c r="BU9" s="3">
        <f t="shared" si="0"/>
        <v>32261.984999999997</v>
      </c>
      <c r="BV9" s="3">
        <f t="shared" si="0"/>
        <v>75944.600999999995</v>
      </c>
      <c r="BW9" s="3">
        <f t="shared" si="0"/>
        <v>150182.31599999999</v>
      </c>
      <c r="BX9" s="3">
        <f t="shared" si="0"/>
        <v>160287.41399999999</v>
      </c>
      <c r="BY9" s="3">
        <f t="shared" si="0"/>
        <v>252775.27499999999</v>
      </c>
      <c r="BZ9" s="3">
        <f t="shared" si="0"/>
        <v>453919.37280000001</v>
      </c>
      <c r="CA9" s="69">
        <f t="shared" si="4"/>
        <v>1151356.6277999999</v>
      </c>
      <c r="CB9" s="69"/>
    </row>
    <row r="10" spans="2:80">
      <c r="P10" s="71"/>
      <c r="Q10" s="71"/>
      <c r="R10" s="10">
        <v>1.5</v>
      </c>
      <c r="S10" s="3"/>
      <c r="T10" s="3"/>
      <c r="U10" s="7"/>
      <c r="V10" s="7">
        <f>0.00654*U3</f>
        <v>286.452</v>
      </c>
      <c r="W10" s="7">
        <f>0.01854*U3</f>
        <v>812.05200000000002</v>
      </c>
      <c r="X10" s="7">
        <f>0.01281*U3</f>
        <v>561.07799999999997</v>
      </c>
      <c r="Y10" s="7">
        <f>0.02181*U3</f>
        <v>955.27800000000002</v>
      </c>
      <c r="Z10" s="7">
        <f>0.03987*U3</f>
        <v>1746.306</v>
      </c>
      <c r="AA10" s="7">
        <f>0.04546*U3</f>
        <v>1991.1479999999999</v>
      </c>
      <c r="AB10" s="7">
        <f>0.08425*U3</f>
        <v>3690.15</v>
      </c>
      <c r="AC10" s="69">
        <f t="shared" si="5"/>
        <v>10042.464</v>
      </c>
      <c r="AD10" s="69"/>
      <c r="AG10" s="71"/>
      <c r="AH10" s="10">
        <v>2</v>
      </c>
      <c r="AI10" s="3"/>
      <c r="AJ10" s="3"/>
      <c r="AK10" s="3"/>
      <c r="AL10" s="3"/>
      <c r="AM10" s="3"/>
      <c r="AN10" s="3">
        <v>24</v>
      </c>
      <c r="AO10" s="3">
        <v>30</v>
      </c>
      <c r="AP10" s="3">
        <v>44</v>
      </c>
      <c r="AQ10" s="3">
        <v>47</v>
      </c>
      <c r="AR10" s="3">
        <v>47</v>
      </c>
      <c r="AS10" s="3">
        <v>27.6</v>
      </c>
      <c r="AV10" s="76"/>
      <c r="AW10" s="10">
        <v>2</v>
      </c>
      <c r="AX10" s="3"/>
      <c r="AY10" s="3"/>
      <c r="AZ10" s="3"/>
      <c r="BA10" s="3"/>
      <c r="BB10" s="3"/>
      <c r="BC10" s="8">
        <f t="shared" si="6"/>
        <v>13108.464</v>
      </c>
      <c r="BD10" s="8">
        <f t="shared" si="1"/>
        <v>18356.579999999998</v>
      </c>
      <c r="BE10" s="8">
        <f t="shared" si="1"/>
        <v>21681</v>
      </c>
      <c r="BF10" s="8">
        <f t="shared" si="1"/>
        <v>29190.947999999997</v>
      </c>
      <c r="BG10" s="8">
        <f t="shared" si="1"/>
        <v>48685.890000000007</v>
      </c>
      <c r="BH10" s="8">
        <f t="shared" si="1"/>
        <v>160515.0864</v>
      </c>
      <c r="BI10" s="69">
        <f t="shared" si="2"/>
        <v>291537.96840000001</v>
      </c>
      <c r="BJ10" s="69"/>
      <c r="BN10" s="76"/>
      <c r="BO10" s="10">
        <v>2</v>
      </c>
      <c r="BP10" s="3">
        <f t="shared" si="3"/>
        <v>0</v>
      </c>
      <c r="BQ10" s="3">
        <f t="shared" si="0"/>
        <v>0</v>
      </c>
      <c r="BR10" s="3">
        <f t="shared" si="0"/>
        <v>0</v>
      </c>
      <c r="BS10" s="3">
        <f t="shared" si="0"/>
        <v>0</v>
      </c>
      <c r="BT10" s="3">
        <f t="shared" si="0"/>
        <v>31132.602000000003</v>
      </c>
      <c r="BU10" s="3">
        <f t="shared" si="0"/>
        <v>62106.428999999996</v>
      </c>
      <c r="BV10" s="3">
        <f t="shared" si="0"/>
        <v>69970.5</v>
      </c>
      <c r="BW10" s="3">
        <f t="shared" si="0"/>
        <v>94715.31</v>
      </c>
      <c r="BX10" s="3">
        <f t="shared" si="0"/>
        <v>147611.47500000001</v>
      </c>
      <c r="BY10" s="3">
        <f t="shared" si="0"/>
        <v>706615.326</v>
      </c>
      <c r="BZ10" s="3">
        <f t="shared" si="0"/>
        <v>731868.30359999987</v>
      </c>
      <c r="CA10" s="69">
        <f t="shared" si="4"/>
        <v>1844019.9455999997</v>
      </c>
      <c r="CB10" s="69"/>
    </row>
    <row r="11" spans="2:80">
      <c r="P11" s="71"/>
      <c r="Q11" s="71"/>
      <c r="R11" s="10">
        <v>2</v>
      </c>
      <c r="S11" s="3"/>
      <c r="T11" s="3"/>
      <c r="U11" s="3"/>
      <c r="V11" s="7">
        <f>0.00109*U3</f>
        <v>47.742000000000004</v>
      </c>
      <c r="W11" s="7">
        <f>0.01247*U3</f>
        <v>546.18600000000004</v>
      </c>
      <c r="X11" s="7">
        <f>0.01397*U3</f>
        <v>611.88599999999997</v>
      </c>
      <c r="Y11" s="7">
        <f>0.01125*U3</f>
        <v>492.75</v>
      </c>
      <c r="Z11" s="7">
        <f>0.01418*U3</f>
        <v>621.08399999999995</v>
      </c>
      <c r="AA11" s="7">
        <f>0.02365*U3</f>
        <v>1035.8700000000001</v>
      </c>
      <c r="AB11" s="7">
        <f>0.13278*U3</f>
        <v>5815.7640000000001</v>
      </c>
      <c r="AC11" s="69">
        <f t="shared" si="5"/>
        <v>9171.2819999999992</v>
      </c>
      <c r="AD11" s="69"/>
      <c r="AG11" s="71"/>
      <c r="AH11" s="10">
        <v>2.5</v>
      </c>
      <c r="AI11" s="3"/>
      <c r="AJ11" s="3"/>
      <c r="AK11" s="3"/>
      <c r="AL11" s="3"/>
      <c r="AM11" s="3"/>
      <c r="AN11" s="3">
        <v>37</v>
      </c>
      <c r="AO11" s="3">
        <v>47</v>
      </c>
      <c r="AP11" s="3">
        <v>69</v>
      </c>
      <c r="AQ11" s="3">
        <v>73</v>
      </c>
      <c r="AR11" s="3">
        <v>73</v>
      </c>
      <c r="AS11" s="3">
        <v>43.2</v>
      </c>
      <c r="AV11" s="76"/>
      <c r="AW11" s="10">
        <v>2.5</v>
      </c>
      <c r="AX11" s="3"/>
      <c r="AY11" s="3"/>
      <c r="AZ11" s="3"/>
      <c r="BA11" s="3"/>
      <c r="BB11" s="3"/>
      <c r="BC11" s="8">
        <f t="shared" si="6"/>
        <v>4083.9120000000003</v>
      </c>
      <c r="BD11" s="8">
        <f t="shared" si="1"/>
        <v>16983.45</v>
      </c>
      <c r="BE11" s="8">
        <f t="shared" si="1"/>
        <v>30886.884000000002</v>
      </c>
      <c r="BF11" s="8">
        <f t="shared" si="1"/>
        <v>32037.947999999997</v>
      </c>
      <c r="BG11" s="8">
        <f t="shared" si="1"/>
        <v>32677.428000000004</v>
      </c>
      <c r="BH11" s="8">
        <f t="shared" si="1"/>
        <v>220417.71840000001</v>
      </c>
      <c r="BI11" s="69">
        <f t="shared" si="2"/>
        <v>337087.34039999999</v>
      </c>
      <c r="BJ11" s="69"/>
      <c r="BN11" s="76"/>
      <c r="BO11" s="10">
        <v>2.5</v>
      </c>
      <c r="BP11" s="3">
        <f t="shared" si="3"/>
        <v>0</v>
      </c>
      <c r="BQ11" s="3">
        <f t="shared" si="0"/>
        <v>0</v>
      </c>
      <c r="BR11" s="3">
        <f t="shared" si="0"/>
        <v>0</v>
      </c>
      <c r="BS11" s="3">
        <f t="shared" si="0"/>
        <v>0</v>
      </c>
      <c r="BT11" s="3">
        <f t="shared" si="0"/>
        <v>9823.4639999999999</v>
      </c>
      <c r="BU11" s="3">
        <f t="shared" si="0"/>
        <v>57454.65</v>
      </c>
      <c r="BV11" s="3">
        <f t="shared" si="0"/>
        <v>99151.374000000011</v>
      </c>
      <c r="BW11" s="3">
        <f t="shared" si="0"/>
        <v>104452.488</v>
      </c>
      <c r="BX11" s="3">
        <f t="shared" si="0"/>
        <v>99822.828000000009</v>
      </c>
      <c r="BY11" s="3">
        <f t="shared" si="0"/>
        <v>969429.77999999991</v>
      </c>
      <c r="BZ11" s="3">
        <f t="shared" si="0"/>
        <v>863900.24999999988</v>
      </c>
      <c r="CA11" s="69">
        <f t="shared" si="4"/>
        <v>2204034.8339999998</v>
      </c>
      <c r="CB11" s="69"/>
    </row>
    <row r="12" spans="2:80">
      <c r="P12" s="71"/>
      <c r="Q12" s="71"/>
      <c r="R12" s="10">
        <v>2.5</v>
      </c>
      <c r="S12" s="3"/>
      <c r="T12" s="3"/>
      <c r="U12" s="3"/>
      <c r="V12" s="7">
        <f>U3*0.00007</f>
        <v>3.0659999999999998</v>
      </c>
      <c r="W12" s="7">
        <f>U3*0.00252</f>
        <v>110.376</v>
      </c>
      <c r="X12" s="7">
        <f>0.00825*U3</f>
        <v>361.35</v>
      </c>
      <c r="Y12" s="7">
        <f>0.01022*U3</f>
        <v>447.63600000000002</v>
      </c>
      <c r="Z12" s="7">
        <f>U3*0.01002</f>
        <v>438.87599999999998</v>
      </c>
      <c r="AA12" s="8">
        <f>Y12</f>
        <v>447.63600000000002</v>
      </c>
      <c r="AB12" s="7">
        <f>U3*0.11649</f>
        <v>5102.2619999999997</v>
      </c>
      <c r="AC12" s="69">
        <f t="shared" si="5"/>
        <v>6911.2019999999993</v>
      </c>
      <c r="AD12" s="69"/>
      <c r="AG12" s="71"/>
      <c r="AH12" s="10">
        <v>3</v>
      </c>
      <c r="AI12" s="3"/>
      <c r="AJ12" s="3"/>
      <c r="AK12" s="3"/>
      <c r="AL12" s="3"/>
      <c r="AM12" s="3"/>
      <c r="AN12" s="3">
        <v>54</v>
      </c>
      <c r="AO12" s="3">
        <v>68</v>
      </c>
      <c r="AP12" s="3">
        <v>99</v>
      </c>
      <c r="AQ12" s="3">
        <v>106</v>
      </c>
      <c r="AR12" s="3">
        <v>106</v>
      </c>
      <c r="AS12" s="3">
        <v>62</v>
      </c>
      <c r="AV12" s="76"/>
      <c r="AW12" s="10">
        <v>3</v>
      </c>
      <c r="AX12" s="3"/>
      <c r="AY12" s="3"/>
      <c r="AZ12" s="3"/>
      <c r="BA12" s="3"/>
      <c r="BB12" s="3"/>
      <c r="BC12" s="8">
        <f t="shared" si="6"/>
        <v>165.56399999999999</v>
      </c>
      <c r="BD12" s="8">
        <f t="shared" si="1"/>
        <v>11585.976000000001</v>
      </c>
      <c r="BE12" s="8">
        <f t="shared" si="1"/>
        <v>34559.514000000003</v>
      </c>
      <c r="BF12" s="8">
        <f t="shared" si="1"/>
        <v>22796.148000000001</v>
      </c>
      <c r="BG12" s="8">
        <f t="shared" si="1"/>
        <v>30085.344000000001</v>
      </c>
      <c r="BH12" s="8">
        <f t="shared" si="1"/>
        <v>226942.69200000004</v>
      </c>
      <c r="BI12" s="69">
        <f t="shared" si="2"/>
        <v>326135.23800000001</v>
      </c>
      <c r="BJ12" s="69"/>
      <c r="BN12" s="76"/>
      <c r="BO12" s="10">
        <v>3</v>
      </c>
      <c r="BP12" s="3">
        <f t="shared" si="3"/>
        <v>0</v>
      </c>
      <c r="BQ12" s="3">
        <f t="shared" si="0"/>
        <v>0</v>
      </c>
      <c r="BR12" s="3">
        <f t="shared" si="0"/>
        <v>0</v>
      </c>
      <c r="BS12" s="3">
        <f t="shared" si="0"/>
        <v>0</v>
      </c>
      <c r="BT12" s="3">
        <f t="shared" si="0"/>
        <v>395.51399999999995</v>
      </c>
      <c r="BU12" s="3">
        <f t="shared" si="0"/>
        <v>39017.478000000003</v>
      </c>
      <c r="BV12" s="3">
        <f t="shared" si="0"/>
        <v>111183.891</v>
      </c>
      <c r="BW12" s="3">
        <f t="shared" si="0"/>
        <v>72259.488000000012</v>
      </c>
      <c r="BX12" s="3">
        <f t="shared" si="0"/>
        <v>86140.584000000003</v>
      </c>
      <c r="BY12" s="3">
        <f t="shared" si="0"/>
        <v>926072.59800000011</v>
      </c>
      <c r="BZ12" s="3">
        <f t="shared" si="0"/>
        <v>831016.30500000005</v>
      </c>
      <c r="CA12" s="69">
        <f t="shared" si="4"/>
        <v>2066085.858</v>
      </c>
      <c r="CB12" s="69"/>
    </row>
    <row r="13" spans="2:80" ht="15.75">
      <c r="M13" s="14"/>
      <c r="N13" s="14"/>
      <c r="O13" s="14"/>
      <c r="P13" s="71"/>
      <c r="Q13" s="71"/>
      <c r="R13" s="10">
        <v>3</v>
      </c>
      <c r="S13" s="3"/>
      <c r="T13" s="3"/>
      <c r="U13" s="3"/>
      <c r="V13" s="3"/>
      <c r="W13" s="7">
        <f>0.00007*U3</f>
        <v>3.0659999999999998</v>
      </c>
      <c r="X13" s="7">
        <f>U3*0.00389</f>
        <v>170.38200000000001</v>
      </c>
      <c r="Y13" s="7">
        <f>U3*0.00797</f>
        <v>349.08600000000001</v>
      </c>
      <c r="Z13" s="7">
        <f>U3*0.00491</f>
        <v>215.05800000000002</v>
      </c>
      <c r="AA13" s="7">
        <f>U3*0.00648</f>
        <v>283.82400000000001</v>
      </c>
      <c r="AB13" s="7">
        <f>U3*0.08357</f>
        <v>3660.3660000000004</v>
      </c>
      <c r="AC13" s="69">
        <f t="shared" si="5"/>
        <v>4681.7820000000002</v>
      </c>
      <c r="AD13" s="69"/>
      <c r="AG13" s="71"/>
      <c r="AH13" s="10">
        <v>3.5</v>
      </c>
      <c r="AI13" s="3"/>
      <c r="AJ13" s="3"/>
      <c r="AK13" s="3"/>
      <c r="AL13" s="3"/>
      <c r="AM13" s="3"/>
      <c r="AN13" s="3">
        <v>93</v>
      </c>
      <c r="AO13" s="3">
        <v>135</v>
      </c>
      <c r="AP13" s="3">
        <v>152</v>
      </c>
      <c r="AQ13" s="3">
        <v>126</v>
      </c>
      <c r="AR13" s="3">
        <v>126</v>
      </c>
      <c r="AS13" s="3">
        <v>70</v>
      </c>
      <c r="AV13" s="76"/>
      <c r="AW13" s="10">
        <v>3.5</v>
      </c>
      <c r="AX13" s="3"/>
      <c r="AY13" s="3"/>
      <c r="AZ13" s="3"/>
      <c r="BA13" s="3"/>
      <c r="BB13" s="3"/>
      <c r="BC13" s="8">
        <f t="shared" si="6"/>
        <v>285.13799999999998</v>
      </c>
      <c r="BD13" s="8">
        <f t="shared" si="1"/>
        <v>3252.15</v>
      </c>
      <c r="BE13" s="8">
        <f t="shared" si="1"/>
        <v>18574.703999999998</v>
      </c>
      <c r="BF13" s="8">
        <f t="shared" si="1"/>
        <v>18432.792000000001</v>
      </c>
      <c r="BG13" s="8">
        <f t="shared" si="1"/>
        <v>21799.260000000002</v>
      </c>
      <c r="BH13" s="8">
        <f t="shared" si="1"/>
        <v>169059.24</v>
      </c>
      <c r="BI13" s="69">
        <f t="shared" si="2"/>
        <v>231403.28399999999</v>
      </c>
      <c r="BJ13" s="69"/>
      <c r="BN13" s="76"/>
      <c r="BO13" s="10">
        <v>3.5</v>
      </c>
      <c r="BP13" s="3">
        <f t="shared" si="3"/>
        <v>0</v>
      </c>
      <c r="BQ13" s="3">
        <f t="shared" si="0"/>
        <v>0</v>
      </c>
      <c r="BR13" s="3">
        <f t="shared" si="0"/>
        <v>0</v>
      </c>
      <c r="BS13" s="3">
        <f t="shared" si="0"/>
        <v>0</v>
      </c>
      <c r="BT13" s="3">
        <f t="shared" si="0"/>
        <v>0</v>
      </c>
      <c r="BU13" s="3">
        <f t="shared" si="0"/>
        <v>7516.08</v>
      </c>
      <c r="BV13" s="3">
        <f t="shared" si="0"/>
        <v>51996.951000000001</v>
      </c>
      <c r="BW13" s="3">
        <f t="shared" si="0"/>
        <v>63198.144</v>
      </c>
      <c r="BX13" s="3">
        <f t="shared" si="0"/>
        <v>67560.405000000013</v>
      </c>
      <c r="BY13" s="3">
        <f t="shared" si="0"/>
        <v>830805.40800000005</v>
      </c>
      <c r="BZ13" s="3">
        <f t="shared" si="0"/>
        <v>662695.40159999998</v>
      </c>
      <c r="CA13" s="69">
        <f t="shared" si="4"/>
        <v>1683772.3896000001</v>
      </c>
      <c r="CB13" s="69"/>
    </row>
    <row r="14" spans="2:80">
      <c r="P14" s="71"/>
      <c r="Q14" s="71"/>
      <c r="R14" s="10">
        <v>3.5</v>
      </c>
      <c r="S14" s="3"/>
      <c r="T14" s="3"/>
      <c r="U14" s="3"/>
      <c r="V14" s="3"/>
      <c r="W14" s="7">
        <f>U3*0.00007</f>
        <v>3.0659999999999998</v>
      </c>
      <c r="X14" s="7">
        <f>U3*0.00055</f>
        <v>24.09</v>
      </c>
      <c r="Y14" s="7">
        <f>U3*0.00279</f>
        <v>122.202</v>
      </c>
      <c r="Z14" s="7">
        <f>U3*0.00334</f>
        <v>146.292</v>
      </c>
      <c r="AA14" s="7">
        <f>U3*0.00395</f>
        <v>173.01000000000002</v>
      </c>
      <c r="AB14" s="7">
        <f>U3*0.05514</f>
        <v>2415.1320000000001</v>
      </c>
      <c r="AC14" s="69">
        <f t="shared" si="5"/>
        <v>2883.7919999999999</v>
      </c>
      <c r="AD14" s="69"/>
      <c r="AG14" s="71"/>
      <c r="AH14" s="10">
        <v>4</v>
      </c>
      <c r="AI14" s="3"/>
      <c r="AJ14" s="3"/>
      <c r="AK14" s="3"/>
      <c r="AL14" s="3"/>
      <c r="AM14" s="3"/>
      <c r="AN14" s="3">
        <v>122</v>
      </c>
      <c r="AO14" s="3">
        <v>176</v>
      </c>
      <c r="AP14" s="3">
        <v>198</v>
      </c>
      <c r="AQ14" s="3">
        <v>164</v>
      </c>
      <c r="AR14" s="3">
        <v>164</v>
      </c>
      <c r="AS14" s="3">
        <v>100</v>
      </c>
      <c r="AV14" s="76"/>
      <c r="AW14" s="10">
        <v>4</v>
      </c>
      <c r="AX14" s="3"/>
      <c r="AY14" s="3"/>
      <c r="AZ14" s="3"/>
      <c r="BA14" s="3"/>
      <c r="BB14" s="3"/>
      <c r="BC14" s="8">
        <f t="shared" si="6"/>
        <v>0</v>
      </c>
      <c r="BD14" s="8">
        <f t="shared" si="1"/>
        <v>0</v>
      </c>
      <c r="BE14" s="8">
        <f t="shared" si="1"/>
        <v>4769.82</v>
      </c>
      <c r="BF14" s="8">
        <f t="shared" si="1"/>
        <v>20041.128000000001</v>
      </c>
      <c r="BG14" s="8">
        <f t="shared" si="1"/>
        <v>15659.376000000002</v>
      </c>
      <c r="BH14" s="8">
        <f t="shared" si="1"/>
        <v>163286.39999999999</v>
      </c>
      <c r="BI14" s="69">
        <f t="shared" si="2"/>
        <v>203756.72399999999</v>
      </c>
      <c r="BJ14" s="69"/>
      <c r="BN14" s="76"/>
      <c r="BO14" s="10">
        <v>4</v>
      </c>
      <c r="BP14" s="3">
        <f t="shared" si="3"/>
        <v>0</v>
      </c>
      <c r="BQ14" s="3">
        <f t="shared" si="0"/>
        <v>0</v>
      </c>
      <c r="BR14" s="3">
        <f t="shared" si="0"/>
        <v>0</v>
      </c>
      <c r="BS14" s="3">
        <f t="shared" si="0"/>
        <v>0</v>
      </c>
      <c r="BT14" s="3">
        <f t="shared" si="0"/>
        <v>0</v>
      </c>
      <c r="BU14" s="3">
        <f t="shared" si="0"/>
        <v>0</v>
      </c>
      <c r="BV14" s="3">
        <f t="shared" si="0"/>
        <v>12550.89</v>
      </c>
      <c r="BW14" s="3">
        <f t="shared" si="0"/>
        <v>65744.675999999992</v>
      </c>
      <c r="BX14" s="3">
        <f t="shared" si="0"/>
        <v>46500.708000000006</v>
      </c>
      <c r="BY14" s="3">
        <f t="shared" si="0"/>
        <v>663759.21600000001</v>
      </c>
      <c r="BZ14" s="3">
        <f t="shared" si="0"/>
        <v>538396.60800000001</v>
      </c>
      <c r="CA14" s="69">
        <f t="shared" si="4"/>
        <v>1326952.098</v>
      </c>
      <c r="CB14" s="69"/>
    </row>
    <row r="15" spans="2:80">
      <c r="P15" s="71"/>
      <c r="Q15" s="71"/>
      <c r="R15" s="10">
        <v>4</v>
      </c>
      <c r="S15" s="3"/>
      <c r="T15" s="3"/>
      <c r="U15" s="3"/>
      <c r="V15" s="3"/>
      <c r="W15" s="7"/>
      <c r="X15" s="7"/>
      <c r="Y15" s="7">
        <f>U3*0.00055</f>
        <v>24.09</v>
      </c>
      <c r="Z15" s="7">
        <f>U3*0.00279</f>
        <v>122.202</v>
      </c>
      <c r="AA15" s="7">
        <f>U3*0.00218</f>
        <v>95.484000000000009</v>
      </c>
      <c r="AB15" s="7">
        <f>U3*0.03728</f>
        <v>1632.864</v>
      </c>
      <c r="AC15" s="69">
        <f t="shared" si="5"/>
        <v>1874.64</v>
      </c>
      <c r="AD15" s="69"/>
      <c r="AG15" s="71"/>
      <c r="AH15" s="10">
        <v>4.5</v>
      </c>
      <c r="AI15" s="3"/>
      <c r="AJ15" s="3"/>
      <c r="AK15" s="3"/>
      <c r="AL15" s="3"/>
      <c r="AM15" s="3"/>
      <c r="AN15" s="3">
        <v>223</v>
      </c>
      <c r="AO15" s="3">
        <v>250</v>
      </c>
      <c r="AP15" s="3">
        <v>239</v>
      </c>
      <c r="AQ15" s="3">
        <v>173</v>
      </c>
      <c r="AR15" s="3">
        <v>173</v>
      </c>
      <c r="AS15" s="3">
        <v>115</v>
      </c>
      <c r="AV15" s="76"/>
      <c r="AW15" s="10">
        <v>4.5</v>
      </c>
      <c r="AX15" s="3"/>
      <c r="AY15" s="3"/>
      <c r="AZ15" s="3"/>
      <c r="BA15" s="3"/>
      <c r="BB15" s="3"/>
      <c r="BC15" s="8">
        <f t="shared" si="6"/>
        <v>0</v>
      </c>
      <c r="BD15" s="8">
        <f t="shared" si="1"/>
        <v>0</v>
      </c>
      <c r="BE15" s="8">
        <f>AP15*Y16</f>
        <v>0</v>
      </c>
      <c r="BF15" s="8">
        <f t="shared" si="1"/>
        <v>5683.05</v>
      </c>
      <c r="BG15" s="8">
        <f t="shared" si="1"/>
        <v>13411.998000000001</v>
      </c>
      <c r="BH15" s="8">
        <f t="shared" si="1"/>
        <v>124615.38</v>
      </c>
      <c r="BI15" s="69">
        <f t="shared" si="2"/>
        <v>143710.42800000001</v>
      </c>
      <c r="BJ15" s="69"/>
      <c r="BN15" s="76"/>
      <c r="BO15" s="10">
        <v>4.5</v>
      </c>
      <c r="BP15" s="3">
        <f t="shared" si="3"/>
        <v>0</v>
      </c>
      <c r="BQ15" s="3">
        <f t="shared" si="0"/>
        <v>0</v>
      </c>
      <c r="BR15" s="3">
        <f t="shared" si="0"/>
        <v>0</v>
      </c>
      <c r="BS15" s="3">
        <f t="shared" si="0"/>
        <v>0</v>
      </c>
      <c r="BT15" s="3">
        <f t="shared" si="0"/>
        <v>0</v>
      </c>
      <c r="BU15" s="3">
        <f t="shared" si="0"/>
        <v>0</v>
      </c>
      <c r="BV15" s="3">
        <f t="shared" si="0"/>
        <v>0</v>
      </c>
      <c r="BW15" s="3">
        <f t="shared" si="0"/>
        <v>20958.3</v>
      </c>
      <c r="BX15" s="3">
        <f t="shared" si="0"/>
        <v>44654.97600000001</v>
      </c>
      <c r="BY15" s="3">
        <f t="shared" si="0"/>
        <v>542347.80599999998</v>
      </c>
      <c r="BZ15" s="3">
        <f t="shared" si="0"/>
        <v>412761.65159999998</v>
      </c>
      <c r="CA15" s="69">
        <f t="shared" si="4"/>
        <v>1020722.7335999999</v>
      </c>
      <c r="CB15" s="69"/>
    </row>
    <row r="16" spans="2:80">
      <c r="P16" s="71"/>
      <c r="Q16" s="71"/>
      <c r="R16" s="10">
        <v>4.5</v>
      </c>
      <c r="S16" s="3"/>
      <c r="T16" s="3"/>
      <c r="U16" s="3"/>
      <c r="V16" s="3"/>
      <c r="W16" s="7"/>
      <c r="X16" s="7"/>
      <c r="Y16" s="7"/>
      <c r="Z16" s="7">
        <f>U3*0.00075</f>
        <v>32.85</v>
      </c>
      <c r="AA16" s="7">
        <f>U3*0.00177</f>
        <v>77.52600000000001</v>
      </c>
      <c r="AB16" s="7">
        <f>U3*0.02474</f>
        <v>1083.6120000000001</v>
      </c>
      <c r="AC16" s="69">
        <f t="shared" si="5"/>
        <v>1193.9880000000001</v>
      </c>
      <c r="AD16" s="69"/>
      <c r="AG16" s="71"/>
      <c r="AH16" s="10">
        <v>5</v>
      </c>
      <c r="AI16" s="3"/>
      <c r="AJ16" s="3"/>
      <c r="AK16" s="3"/>
      <c r="AL16" s="3"/>
      <c r="AM16" s="3"/>
      <c r="AN16" s="3">
        <v>250</v>
      </c>
      <c r="AO16" s="3">
        <v>250</v>
      </c>
      <c r="AP16" s="3">
        <v>250</v>
      </c>
      <c r="AQ16" s="3">
        <v>214</v>
      </c>
      <c r="AR16" s="3">
        <v>214</v>
      </c>
      <c r="AS16" s="3">
        <v>142</v>
      </c>
      <c r="AV16" s="76"/>
      <c r="AW16" s="10">
        <v>5</v>
      </c>
      <c r="AX16" s="3"/>
      <c r="AY16" s="3"/>
      <c r="AZ16" s="3"/>
      <c r="BA16" s="3"/>
      <c r="BB16" s="3"/>
      <c r="BC16" s="8">
        <f t="shared" si="6"/>
        <v>0</v>
      </c>
      <c r="BD16" s="8">
        <f t="shared" si="1"/>
        <v>0</v>
      </c>
      <c r="BE16" s="8">
        <f t="shared" si="1"/>
        <v>0</v>
      </c>
      <c r="BF16" s="8">
        <f t="shared" si="1"/>
        <v>1874.6399999999999</v>
      </c>
      <c r="BG16" s="8">
        <f t="shared" si="1"/>
        <v>5717.652</v>
      </c>
      <c r="BH16" s="8">
        <f t="shared" si="1"/>
        <v>103431.948</v>
      </c>
      <c r="BI16" s="69">
        <f t="shared" si="2"/>
        <v>111024.24</v>
      </c>
      <c r="BJ16" s="69"/>
      <c r="BN16" s="76"/>
      <c r="BO16" s="10">
        <v>5</v>
      </c>
      <c r="BP16" s="3">
        <f t="shared" si="3"/>
        <v>0</v>
      </c>
      <c r="BQ16" s="3">
        <f t="shared" si="0"/>
        <v>0</v>
      </c>
      <c r="BR16" s="3">
        <f t="shared" si="0"/>
        <v>0</v>
      </c>
      <c r="BS16" s="3">
        <f t="shared" si="0"/>
        <v>0</v>
      </c>
      <c r="BT16" s="3">
        <f t="shared" si="0"/>
        <v>0</v>
      </c>
      <c r="BU16" s="3">
        <f t="shared" si="0"/>
        <v>0</v>
      </c>
      <c r="BV16" s="3">
        <f t="shared" si="0"/>
        <v>0</v>
      </c>
      <c r="BW16" s="3">
        <f t="shared" si="0"/>
        <v>6298.44</v>
      </c>
      <c r="BX16" s="3">
        <f t="shared" si="0"/>
        <v>18128.163</v>
      </c>
      <c r="BY16" s="3">
        <f t="shared" si="0"/>
        <v>423925.30800000002</v>
      </c>
      <c r="BZ16" s="3">
        <f t="shared" si="0"/>
        <v>312576.42239999998</v>
      </c>
      <c r="CA16" s="69">
        <f t="shared" si="4"/>
        <v>760928.3334</v>
      </c>
      <c r="CB16" s="69"/>
    </row>
    <row r="17" spans="2:81">
      <c r="P17" s="71"/>
      <c r="Q17" s="71"/>
      <c r="R17" s="10">
        <v>5</v>
      </c>
      <c r="S17" s="3"/>
      <c r="T17" s="3"/>
      <c r="U17" s="3"/>
      <c r="V17" s="3"/>
      <c r="W17" s="7"/>
      <c r="X17" s="7"/>
      <c r="Y17" s="7"/>
      <c r="Z17" s="7">
        <f>U3*0.0002</f>
        <v>8.76</v>
      </c>
      <c r="AA17" s="7">
        <f>U3*0.00061</f>
        <v>26.718</v>
      </c>
      <c r="AB17" s="7">
        <f>U3*0.01663</f>
        <v>728.39400000000001</v>
      </c>
      <c r="AC17" s="69">
        <f t="shared" si="5"/>
        <v>763.87199999999996</v>
      </c>
      <c r="AD17" s="69"/>
      <c r="AG17" s="71"/>
      <c r="AH17" s="10" t="s">
        <v>15</v>
      </c>
      <c r="AI17" s="3"/>
      <c r="AJ17" s="3"/>
      <c r="AK17" s="3"/>
      <c r="AL17" s="3"/>
      <c r="AM17" s="3"/>
      <c r="AN17" s="3">
        <v>250</v>
      </c>
      <c r="AO17" s="3">
        <v>250</v>
      </c>
      <c r="AP17" s="3">
        <v>250</v>
      </c>
      <c r="AQ17" s="3">
        <v>250</v>
      </c>
      <c r="AR17" s="3">
        <v>250</v>
      </c>
      <c r="AS17" s="3">
        <v>172</v>
      </c>
      <c r="AV17" s="76"/>
      <c r="AW17" s="10" t="s">
        <v>15</v>
      </c>
      <c r="AX17" s="3"/>
      <c r="AY17" s="3"/>
      <c r="AZ17" s="3"/>
      <c r="BA17" s="3"/>
      <c r="BB17" s="3"/>
      <c r="BC17" s="8">
        <f t="shared" si="6"/>
        <v>0</v>
      </c>
      <c r="BD17" s="8">
        <f t="shared" si="1"/>
        <v>0</v>
      </c>
      <c r="BE17" s="8">
        <f t="shared" si="1"/>
        <v>0</v>
      </c>
      <c r="BF17" s="8">
        <f t="shared" si="1"/>
        <v>766.5</v>
      </c>
      <c r="BG17" s="8">
        <f t="shared" si="1"/>
        <v>4489.5</v>
      </c>
      <c r="BH17" s="8">
        <f t="shared" si="1"/>
        <v>293735.06400000001</v>
      </c>
      <c r="BI17" s="69">
        <f>SUM(AY17:BH17)+1</f>
        <v>298992.06400000001</v>
      </c>
      <c r="BJ17" s="69"/>
      <c r="BN17" s="76"/>
      <c r="BO17" s="10" t="s">
        <v>15</v>
      </c>
      <c r="BP17" s="3">
        <f t="shared" si="3"/>
        <v>0</v>
      </c>
      <c r="BQ17" s="3">
        <f t="shared" si="0"/>
        <v>0</v>
      </c>
      <c r="BR17" s="3">
        <f t="shared" si="0"/>
        <v>0</v>
      </c>
      <c r="BS17" s="3">
        <f t="shared" si="0"/>
        <v>0</v>
      </c>
      <c r="BT17" s="3">
        <f t="shared" si="0"/>
        <v>0</v>
      </c>
      <c r="BU17" s="3">
        <f t="shared" si="0"/>
        <v>0</v>
      </c>
      <c r="BV17" s="3">
        <f t="shared" si="0"/>
        <v>0</v>
      </c>
      <c r="BW17" s="3">
        <f t="shared" si="0"/>
        <v>2299.5</v>
      </c>
      <c r="BX17" s="3">
        <f t="shared" si="0"/>
        <v>13468.499999999998</v>
      </c>
      <c r="BY17" s="3">
        <f t="shared" si="0"/>
        <v>1250423.3364000001</v>
      </c>
      <c r="BZ17" s="3">
        <f t="shared" si="0"/>
        <v>1055861.3743999999</v>
      </c>
      <c r="CA17" s="69">
        <f>SUM(BQ17:BZ17)+1</f>
        <v>2322053.7108</v>
      </c>
      <c r="CB17" s="69"/>
    </row>
    <row r="18" spans="2:81">
      <c r="P18" s="71"/>
      <c r="Q18" s="71"/>
      <c r="R18" s="10" t="s">
        <v>15</v>
      </c>
      <c r="S18" s="3"/>
      <c r="T18" s="3"/>
      <c r="U18" s="3"/>
      <c r="V18" s="3"/>
      <c r="W18" s="7"/>
      <c r="X18" s="7"/>
      <c r="Y18" s="7"/>
      <c r="Z18" s="7">
        <f>U3*0.00007</f>
        <v>3.0659999999999998</v>
      </c>
      <c r="AA18" s="7">
        <f>U3*0.00041</f>
        <v>17.957999999999998</v>
      </c>
      <c r="AB18" s="7">
        <f>U3*0.03899</f>
        <v>1707.7619999999999</v>
      </c>
      <c r="AC18" s="69">
        <f>SUM(S18:AB18)+1</f>
        <v>1729.7859999999998</v>
      </c>
      <c r="AD18" s="69"/>
      <c r="AG18" s="1"/>
      <c r="AV18" s="76"/>
      <c r="AW18" s="47" t="s">
        <v>16</v>
      </c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16"/>
      <c r="BI18" s="70">
        <f>SUM(BI7:BJ17)</f>
        <v>2178113.5048000002</v>
      </c>
      <c r="BJ18" s="70"/>
      <c r="BN18" s="76"/>
      <c r="BO18" s="47" t="s">
        <v>16</v>
      </c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16"/>
      <c r="CA18" s="70">
        <f>SUM(CA7:CB17)</f>
        <v>14550350.447399998</v>
      </c>
      <c r="CB18" s="70"/>
    </row>
    <row r="19" spans="2:81">
      <c r="P19" s="71"/>
      <c r="Q19" s="71"/>
      <c r="R19" s="71" t="s">
        <v>16</v>
      </c>
      <c r="S19" s="6"/>
      <c r="T19" s="6"/>
      <c r="U19" s="6"/>
      <c r="V19" s="6"/>
      <c r="W19" s="6"/>
      <c r="X19" s="6"/>
      <c r="Y19" s="6"/>
      <c r="Z19" s="6"/>
      <c r="AA19" s="6"/>
      <c r="AB19" s="6"/>
      <c r="AC19" s="70">
        <f>SUM(AC8:AD18)</f>
        <v>43799.686000000002</v>
      </c>
      <c r="AD19" s="70"/>
      <c r="AG19" s="1"/>
      <c r="AV19" s="76"/>
      <c r="AW19" s="13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15"/>
      <c r="BI19" s="70"/>
      <c r="BJ19" s="70"/>
      <c r="BN19" s="76"/>
      <c r="BO19" s="13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15"/>
      <c r="CA19" s="70"/>
      <c r="CB19" s="70"/>
    </row>
    <row r="20" spans="2:81">
      <c r="P20" s="71"/>
      <c r="Q20" s="71"/>
      <c r="R20" s="71"/>
      <c r="S20" s="4"/>
      <c r="T20" s="4"/>
      <c r="U20" s="4"/>
      <c r="V20" s="4"/>
      <c r="W20" s="4"/>
      <c r="X20" s="4"/>
      <c r="Y20" s="4"/>
      <c r="Z20" s="4"/>
      <c r="AA20" s="4"/>
      <c r="AB20" s="4"/>
      <c r="AC20" s="70"/>
      <c r="AD20" s="70"/>
      <c r="AG20" s="1"/>
      <c r="AV20" s="77"/>
      <c r="AW20" s="48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17"/>
      <c r="BI20" s="70"/>
      <c r="BJ20" s="70"/>
      <c r="BN20" s="77"/>
      <c r="BO20" s="48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17"/>
      <c r="CA20" s="70"/>
      <c r="CB20" s="70"/>
    </row>
    <row r="21" spans="2:81">
      <c r="P21" s="71"/>
      <c r="Q21" s="71"/>
      <c r="R21" s="71"/>
      <c r="S21" s="5"/>
      <c r="T21" s="5"/>
      <c r="U21" s="5"/>
      <c r="V21" s="5"/>
      <c r="W21" s="5"/>
      <c r="X21" s="5"/>
      <c r="Y21" s="5"/>
      <c r="Z21" s="5"/>
      <c r="AA21" s="5"/>
      <c r="AB21" s="5"/>
      <c r="AC21" s="70"/>
      <c r="AD21" s="70"/>
      <c r="AG21" s="1"/>
      <c r="BI21" s="63">
        <f>BI18/5</f>
        <v>435622.70096000005</v>
      </c>
      <c r="BJ21" s="64"/>
      <c r="BK21" s="67" t="s">
        <v>17</v>
      </c>
      <c r="CA21" s="63">
        <f>CA18/5</f>
        <v>2910070.0894799996</v>
      </c>
      <c r="CB21" s="64"/>
      <c r="CC21" s="67" t="s">
        <v>17</v>
      </c>
    </row>
    <row r="22" spans="2:81">
      <c r="BI22" s="65"/>
      <c r="BJ22" s="66"/>
      <c r="BK22" s="68"/>
      <c r="CA22" s="65"/>
      <c r="CB22" s="66"/>
      <c r="CC22" s="68"/>
    </row>
    <row r="23" spans="2:81">
      <c r="V23" s="24">
        <f>(X12/4)/365</f>
        <v>0.24750000000000003</v>
      </c>
      <c r="BI23" s="57">
        <f>BI21*0.001</f>
        <v>435.62270096000003</v>
      </c>
      <c r="BJ23" s="58"/>
      <c r="BK23" s="61" t="s">
        <v>18</v>
      </c>
      <c r="CA23" s="57">
        <f>CA21*0.001</f>
        <v>2910.0700894799998</v>
      </c>
      <c r="CB23" s="58"/>
      <c r="CC23" s="61" t="s">
        <v>18</v>
      </c>
    </row>
    <row r="24" spans="2:81">
      <c r="B24" t="s">
        <v>19</v>
      </c>
      <c r="E24" t="s">
        <v>20</v>
      </c>
      <c r="AG24" s="2" t="s">
        <v>21</v>
      </c>
      <c r="AV24" s="9" t="s">
        <v>19</v>
      </c>
      <c r="AW24" s="9"/>
      <c r="AX24" s="9"/>
      <c r="AY24" s="9" t="s">
        <v>20</v>
      </c>
      <c r="AZ24" s="2"/>
      <c r="BA24" s="2"/>
      <c r="BI24" s="59"/>
      <c r="BJ24" s="60"/>
      <c r="BK24" s="62"/>
      <c r="BN24" s="9" t="s">
        <v>19</v>
      </c>
      <c r="BO24" s="9"/>
      <c r="BP24" s="9"/>
      <c r="BQ24" s="9" t="s">
        <v>20</v>
      </c>
      <c r="BR24" s="2"/>
      <c r="BS24" s="2"/>
      <c r="CA24" s="59"/>
      <c r="CB24" s="60"/>
      <c r="CC24" s="62"/>
    </row>
    <row r="26" spans="2:81">
      <c r="P26" s="71" t="s">
        <v>7</v>
      </c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G26" s="71" t="s">
        <v>22</v>
      </c>
      <c r="AH26" s="71"/>
      <c r="AI26" s="69" t="s">
        <v>7</v>
      </c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V26" s="71" t="s">
        <v>8</v>
      </c>
      <c r="AW26" s="71"/>
      <c r="AX26" s="72" t="s">
        <v>7</v>
      </c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4"/>
      <c r="BN26" s="71" t="s">
        <v>8</v>
      </c>
      <c r="BO26" s="71"/>
      <c r="BP26" s="72" t="s">
        <v>7</v>
      </c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4"/>
    </row>
    <row r="27" spans="2:81"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G27" s="71"/>
      <c r="AH27" s="71"/>
      <c r="AI27" s="11" t="s">
        <v>9</v>
      </c>
      <c r="AJ27" s="3">
        <v>2</v>
      </c>
      <c r="AK27" s="3">
        <v>3</v>
      </c>
      <c r="AL27" s="3">
        <v>4</v>
      </c>
      <c r="AM27" s="3">
        <v>5</v>
      </c>
      <c r="AN27" s="3">
        <v>6</v>
      </c>
      <c r="AO27" s="3">
        <v>7</v>
      </c>
      <c r="AP27" s="3">
        <v>8</v>
      </c>
      <c r="AQ27" s="3">
        <v>9</v>
      </c>
      <c r="AR27" s="3">
        <v>10</v>
      </c>
      <c r="AS27" s="3" t="s">
        <v>10</v>
      </c>
      <c r="AV27" s="71"/>
      <c r="AW27" s="71"/>
      <c r="AX27" s="11" t="s">
        <v>9</v>
      </c>
      <c r="AY27" s="3">
        <v>2</v>
      </c>
      <c r="AZ27" s="3">
        <v>3</v>
      </c>
      <c r="BA27" s="3">
        <v>4</v>
      </c>
      <c r="BB27" s="3">
        <v>5</v>
      </c>
      <c r="BC27" s="3">
        <v>6</v>
      </c>
      <c r="BD27" s="3">
        <v>7</v>
      </c>
      <c r="BE27" s="3">
        <v>8</v>
      </c>
      <c r="BF27" s="3">
        <v>9</v>
      </c>
      <c r="BG27" s="3">
        <v>10</v>
      </c>
      <c r="BH27" s="3" t="s">
        <v>10</v>
      </c>
      <c r="BI27" s="69" t="s">
        <v>11</v>
      </c>
      <c r="BJ27" s="69"/>
      <c r="BN27" s="71"/>
      <c r="BO27" s="71"/>
      <c r="BP27" s="11" t="s">
        <v>9</v>
      </c>
      <c r="BQ27" s="3">
        <v>2</v>
      </c>
      <c r="BR27" s="3">
        <v>3</v>
      </c>
      <c r="BS27" s="3">
        <v>4</v>
      </c>
      <c r="BT27" s="3">
        <v>5</v>
      </c>
      <c r="BU27" s="3">
        <v>6</v>
      </c>
      <c r="BV27" s="3">
        <v>7</v>
      </c>
      <c r="BW27" s="3">
        <v>8</v>
      </c>
      <c r="BX27" s="3">
        <v>9</v>
      </c>
      <c r="BY27" s="3">
        <v>10</v>
      </c>
      <c r="BZ27" s="3" t="s">
        <v>10</v>
      </c>
      <c r="CA27" s="69" t="s">
        <v>11</v>
      </c>
      <c r="CB27" s="69"/>
    </row>
    <row r="28" spans="2:81">
      <c r="P28" s="71" t="s">
        <v>12</v>
      </c>
      <c r="Q28" s="71"/>
      <c r="R28" s="3" t="s">
        <v>9</v>
      </c>
      <c r="S28" s="3">
        <v>2</v>
      </c>
      <c r="T28" s="3">
        <v>3</v>
      </c>
      <c r="U28" s="3">
        <v>4</v>
      </c>
      <c r="V28" s="3">
        <v>5</v>
      </c>
      <c r="W28" s="3">
        <v>6</v>
      </c>
      <c r="X28" s="3">
        <v>7</v>
      </c>
      <c r="Y28" s="3">
        <v>8</v>
      </c>
      <c r="Z28" s="3">
        <v>9</v>
      </c>
      <c r="AA28" s="3">
        <v>10</v>
      </c>
      <c r="AB28" s="3" t="s">
        <v>10</v>
      </c>
      <c r="AC28" s="69" t="s">
        <v>13</v>
      </c>
      <c r="AD28" s="69"/>
      <c r="AG28" s="71" t="s">
        <v>12</v>
      </c>
      <c r="AH28" s="10" t="s">
        <v>14</v>
      </c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V28" s="75" t="s">
        <v>12</v>
      </c>
      <c r="AW28" s="10" t="s">
        <v>14</v>
      </c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69">
        <f>SUM(AY28:BH28)</f>
        <v>0</v>
      </c>
      <c r="BJ28" s="69"/>
      <c r="BN28" s="75" t="s">
        <v>12</v>
      </c>
      <c r="BO28" s="10" t="s">
        <v>14</v>
      </c>
      <c r="BP28" s="3">
        <f>AI28*S29</f>
        <v>0</v>
      </c>
      <c r="BQ28" s="3">
        <f t="shared" ref="BQ28:BZ38" si="7">AJ28*T29</f>
        <v>0</v>
      </c>
      <c r="BR28" s="3">
        <f t="shared" si="7"/>
        <v>0</v>
      </c>
      <c r="BS28" s="3">
        <f t="shared" si="7"/>
        <v>0</v>
      </c>
      <c r="BT28" s="3">
        <f t="shared" si="7"/>
        <v>0</v>
      </c>
      <c r="BU28" s="3">
        <f t="shared" si="7"/>
        <v>0</v>
      </c>
      <c r="BV28" s="3">
        <f t="shared" si="7"/>
        <v>0</v>
      </c>
      <c r="BW28" s="3">
        <f t="shared" si="7"/>
        <v>0</v>
      </c>
      <c r="BX28" s="3">
        <f t="shared" si="7"/>
        <v>0</v>
      </c>
      <c r="BY28" s="3">
        <f t="shared" si="7"/>
        <v>0</v>
      </c>
      <c r="BZ28" s="3">
        <f t="shared" si="7"/>
        <v>0</v>
      </c>
      <c r="CA28" s="69">
        <f>SUM(BQ28:BZ28)</f>
        <v>0</v>
      </c>
      <c r="CB28" s="69"/>
    </row>
    <row r="29" spans="2:81">
      <c r="P29" s="71"/>
      <c r="Q29" s="71"/>
      <c r="R29" s="10" t="s">
        <v>14</v>
      </c>
      <c r="S29" s="3"/>
      <c r="T29" s="3"/>
      <c r="U29" s="3"/>
      <c r="V29" s="7"/>
      <c r="W29" s="7">
        <v>0</v>
      </c>
      <c r="X29" s="7">
        <f>U3*0.00041</f>
        <v>17.957999999999998</v>
      </c>
      <c r="Y29" s="7"/>
      <c r="Z29" s="7"/>
      <c r="AA29" s="7">
        <f>U3*0.00014</f>
        <v>6.1319999999999997</v>
      </c>
      <c r="AB29" s="7"/>
      <c r="AC29" s="69">
        <f>SUM(S29:AB29)</f>
        <v>24.089999999999996</v>
      </c>
      <c r="AD29" s="69"/>
      <c r="AG29" s="71"/>
      <c r="AH29" s="12">
        <v>1</v>
      </c>
      <c r="AI29" s="3"/>
      <c r="AJ29" s="3"/>
      <c r="AK29" s="3"/>
      <c r="AL29" s="3"/>
      <c r="AM29" s="3"/>
      <c r="AN29" s="3">
        <v>25.5</v>
      </c>
      <c r="AO29" s="3">
        <v>35.5</v>
      </c>
      <c r="AP29" s="3">
        <v>38</v>
      </c>
      <c r="AQ29" s="3">
        <v>36</v>
      </c>
      <c r="AR29" s="3">
        <v>30.5</v>
      </c>
      <c r="AS29" s="3">
        <v>11.7</v>
      </c>
      <c r="AV29" s="76"/>
      <c r="AW29" s="12">
        <v>1</v>
      </c>
      <c r="AX29" s="3"/>
      <c r="AY29" s="3"/>
      <c r="AZ29" s="3"/>
      <c r="BA29" s="3"/>
      <c r="BB29" s="3"/>
      <c r="BC29" s="8">
        <f>AN8*W30</f>
        <v>1395.4679999999998</v>
      </c>
      <c r="BD29" s="8">
        <f t="shared" ref="BD29:BH38" si="8">AO8*X30</f>
        <v>2694.576</v>
      </c>
      <c r="BE29" s="8">
        <f t="shared" si="8"/>
        <v>4394.0159999999996</v>
      </c>
      <c r="BF29" s="8">
        <f t="shared" si="8"/>
        <v>3794.8319999999999</v>
      </c>
      <c r="BG29" s="8">
        <f t="shared" si="8"/>
        <v>2163.2820000000002</v>
      </c>
      <c r="BH29" s="8">
        <f t="shared" si="8"/>
        <v>1342.4700000000003</v>
      </c>
      <c r="BI29" s="69">
        <f t="shared" ref="BI29:BI37" si="9">SUM(AY29:BH29)</f>
        <v>15784.644</v>
      </c>
      <c r="BJ29" s="69"/>
      <c r="BN29" s="76"/>
      <c r="BO29" s="12">
        <v>1</v>
      </c>
      <c r="BP29" s="3">
        <f t="shared" ref="BP29:BP38" si="10">AI29*S30</f>
        <v>0</v>
      </c>
      <c r="BQ29" s="3">
        <f t="shared" si="7"/>
        <v>0</v>
      </c>
      <c r="BR29" s="3">
        <f t="shared" si="7"/>
        <v>0</v>
      </c>
      <c r="BS29" s="3">
        <f t="shared" si="7"/>
        <v>0</v>
      </c>
      <c r="BT29" s="3">
        <f t="shared" si="7"/>
        <v>0</v>
      </c>
      <c r="BU29" s="3">
        <f t="shared" si="7"/>
        <v>8588.9609999999993</v>
      </c>
      <c r="BV29" s="3">
        <f t="shared" si="7"/>
        <v>14180.687999999998</v>
      </c>
      <c r="BW29" s="3">
        <f t="shared" si="7"/>
        <v>12016.967999999999</v>
      </c>
      <c r="BX29" s="3">
        <f t="shared" si="7"/>
        <v>7079.8320000000003</v>
      </c>
      <c r="BY29" s="3">
        <f t="shared" si="7"/>
        <v>8189.0670000000009</v>
      </c>
      <c r="BZ29" s="3">
        <f t="shared" si="7"/>
        <v>20592.093599999997</v>
      </c>
      <c r="CA29" s="69">
        <f t="shared" ref="CA29:CA37" si="11">SUM(BQ29:BZ29)</f>
        <v>70647.609599999996</v>
      </c>
      <c r="CB29" s="69"/>
    </row>
    <row r="30" spans="2:81">
      <c r="P30" s="71"/>
      <c r="Q30" s="71"/>
      <c r="R30" s="10">
        <v>1</v>
      </c>
      <c r="S30" s="3"/>
      <c r="T30" s="3"/>
      <c r="U30" s="7">
        <f>0.00075*U24</f>
        <v>0</v>
      </c>
      <c r="V30" s="7">
        <f>U3*0.0002</f>
        <v>8.76</v>
      </c>
      <c r="W30" s="7">
        <f>U3*0.00531</f>
        <v>232.57799999999997</v>
      </c>
      <c r="X30" s="7">
        <f>U3*0.00769</f>
        <v>336.822</v>
      </c>
      <c r="Y30" s="7">
        <f>U3*0.00912</f>
        <v>399.45599999999996</v>
      </c>
      <c r="Z30" s="7">
        <f>U3*0.00722</f>
        <v>316.23599999999999</v>
      </c>
      <c r="AA30" s="7">
        <f>U3*0.00449</f>
        <v>196.66200000000001</v>
      </c>
      <c r="AB30" s="7">
        <f>U3*0.00613</f>
        <v>268.49400000000003</v>
      </c>
      <c r="AC30" s="69">
        <f>SUM(S30:AB30)+1</f>
        <v>1760.0079999999998</v>
      </c>
      <c r="AD30" s="69"/>
      <c r="AG30" s="71"/>
      <c r="AH30" s="10">
        <v>1.5</v>
      </c>
      <c r="AI30" s="3"/>
      <c r="AJ30" s="3"/>
      <c r="AK30" s="3"/>
      <c r="AL30" s="3"/>
      <c r="AM30" s="3">
        <v>32</v>
      </c>
      <c r="AN30" s="3">
        <v>57.5</v>
      </c>
      <c r="AO30" s="3">
        <v>79.5</v>
      </c>
      <c r="AP30" s="3">
        <v>86</v>
      </c>
      <c r="AQ30" s="3">
        <v>80.5</v>
      </c>
      <c r="AR30" s="3">
        <v>68.5</v>
      </c>
      <c r="AS30" s="3">
        <v>45.2</v>
      </c>
      <c r="AV30" s="76"/>
      <c r="AW30" s="10">
        <v>1.5</v>
      </c>
      <c r="AX30" s="3"/>
      <c r="AY30" s="3"/>
      <c r="AZ30" s="3"/>
      <c r="BA30" s="3"/>
      <c r="BB30" s="3"/>
      <c r="BC30" s="8">
        <f t="shared" ref="BC30:BC38" si="12">AN9*W31</f>
        <v>9884.7840000000015</v>
      </c>
      <c r="BD30" s="8">
        <f t="shared" si="8"/>
        <v>28138.433999999997</v>
      </c>
      <c r="BE30" s="8">
        <f t="shared" si="8"/>
        <v>50775.15</v>
      </c>
      <c r="BF30" s="8">
        <f t="shared" si="8"/>
        <v>59172.047999999995</v>
      </c>
      <c r="BG30" s="8">
        <f t="shared" si="8"/>
        <v>49936.380000000005</v>
      </c>
      <c r="BH30" s="8">
        <f t="shared" si="8"/>
        <v>50777.515200000002</v>
      </c>
      <c r="BI30" s="69">
        <f t="shared" si="9"/>
        <v>248684.3112</v>
      </c>
      <c r="BJ30" s="69"/>
      <c r="BN30" s="76"/>
      <c r="BO30" s="10">
        <v>1.5</v>
      </c>
      <c r="BP30" s="3">
        <f t="shared" si="10"/>
        <v>0</v>
      </c>
      <c r="BQ30" s="3">
        <f t="shared" si="7"/>
        <v>0</v>
      </c>
      <c r="BR30" s="3">
        <f t="shared" si="7"/>
        <v>0</v>
      </c>
      <c r="BS30" s="3">
        <f t="shared" si="7"/>
        <v>0</v>
      </c>
      <c r="BT30" s="3">
        <f t="shared" si="7"/>
        <v>24331.776000000002</v>
      </c>
      <c r="BU30" s="3">
        <f t="shared" si="7"/>
        <v>95174.114999999991</v>
      </c>
      <c r="BV30" s="3">
        <f t="shared" si="7"/>
        <v>161464.97700000001</v>
      </c>
      <c r="BW30" s="3">
        <f t="shared" si="7"/>
        <v>195722.92799999999</v>
      </c>
      <c r="BX30" s="3">
        <f t="shared" si="7"/>
        <v>154610.715</v>
      </c>
      <c r="BY30" s="3">
        <f t="shared" si="7"/>
        <v>228832.88100000002</v>
      </c>
      <c r="BZ30" s="3">
        <f t="shared" si="7"/>
        <v>543008.57280000008</v>
      </c>
      <c r="CA30" s="69">
        <f t="shared" si="11"/>
        <v>1403145.9648000002</v>
      </c>
      <c r="CB30" s="69"/>
    </row>
    <row r="31" spans="2:81">
      <c r="P31" s="71"/>
      <c r="Q31" s="71"/>
      <c r="R31" s="10">
        <v>1.5</v>
      </c>
      <c r="S31" s="3"/>
      <c r="T31" s="3"/>
      <c r="U31" s="7"/>
      <c r="V31" s="7">
        <f>U3*0.00068</f>
        <v>29.784000000000002</v>
      </c>
      <c r="W31" s="7">
        <f>U3*0.01736</f>
        <v>760.36800000000005</v>
      </c>
      <c r="X31" s="7">
        <f>U3*0.03779</f>
        <v>1655.2019999999998</v>
      </c>
      <c r="Y31" s="7">
        <f>U3*0.04637</f>
        <v>2031.0060000000001</v>
      </c>
      <c r="Z31" s="7">
        <f>U3*0.05196</f>
        <v>2275.848</v>
      </c>
      <c r="AA31" s="7">
        <f>U3*0.04385</f>
        <v>1920.63</v>
      </c>
      <c r="AB31" s="7">
        <f>U3*0.07627</f>
        <v>3340.6260000000002</v>
      </c>
      <c r="AC31" s="69">
        <f t="shared" ref="AC31:AC39" si="13">SUM(S31:AB31)</f>
        <v>12013.464</v>
      </c>
      <c r="AD31" s="69"/>
      <c r="AG31" s="71"/>
      <c r="AH31" s="10">
        <v>2</v>
      </c>
      <c r="AI31" s="3"/>
      <c r="AJ31" s="3"/>
      <c r="AK31" s="3"/>
      <c r="AL31" s="3"/>
      <c r="AM31" s="3">
        <v>57</v>
      </c>
      <c r="AN31" s="3">
        <v>101.5</v>
      </c>
      <c r="AO31" s="3">
        <v>142</v>
      </c>
      <c r="AP31" s="3">
        <v>152.5</v>
      </c>
      <c r="AQ31" s="3">
        <v>142.5</v>
      </c>
      <c r="AR31" s="3">
        <v>121.5</v>
      </c>
      <c r="AS31" s="3">
        <v>79.8</v>
      </c>
      <c r="AV31" s="76"/>
      <c r="AW31" s="10">
        <v>2</v>
      </c>
      <c r="AX31" s="3"/>
      <c r="AY31" s="3"/>
      <c r="AZ31" s="3"/>
      <c r="BA31" s="3"/>
      <c r="BB31" s="3"/>
      <c r="BC31" s="8">
        <f t="shared" si="12"/>
        <v>4078.6560000000004</v>
      </c>
      <c r="BD31" s="8">
        <f t="shared" si="8"/>
        <v>36056.160000000003</v>
      </c>
      <c r="BE31" s="8">
        <f t="shared" si="8"/>
        <v>125325.81600000002</v>
      </c>
      <c r="BF31" s="8">
        <f t="shared" si="8"/>
        <v>63651.912000000004</v>
      </c>
      <c r="BG31" s="8">
        <f t="shared" si="8"/>
        <v>68263.176000000007</v>
      </c>
      <c r="BH31" s="8">
        <f t="shared" si="8"/>
        <v>186046.63200000001</v>
      </c>
      <c r="BI31" s="69">
        <f t="shared" si="9"/>
        <v>483422.35200000007</v>
      </c>
      <c r="BJ31" s="69"/>
      <c r="BN31" s="76"/>
      <c r="BO31" s="10">
        <v>2</v>
      </c>
      <c r="BP31" s="3">
        <f t="shared" si="10"/>
        <v>0</v>
      </c>
      <c r="BQ31" s="3">
        <f t="shared" si="7"/>
        <v>0</v>
      </c>
      <c r="BR31" s="3">
        <f t="shared" si="7"/>
        <v>0</v>
      </c>
      <c r="BS31" s="3">
        <f t="shared" si="7"/>
        <v>0</v>
      </c>
      <c r="BT31" s="3">
        <f t="shared" si="7"/>
        <v>9686.8080000000009</v>
      </c>
      <c r="BU31" s="3">
        <f t="shared" si="7"/>
        <v>121990.008</v>
      </c>
      <c r="BV31" s="3">
        <f t="shared" si="7"/>
        <v>404460.58800000005</v>
      </c>
      <c r="BW31" s="3">
        <f t="shared" si="7"/>
        <v>206530.14</v>
      </c>
      <c r="BX31" s="3">
        <f t="shared" si="7"/>
        <v>206968.14</v>
      </c>
      <c r="BY31" s="3">
        <f t="shared" si="7"/>
        <v>819009.63000000012</v>
      </c>
      <c r="BZ31" s="3">
        <f t="shared" si="7"/>
        <v>1100091.8376</v>
      </c>
      <c r="CA31" s="69">
        <f t="shared" si="11"/>
        <v>2868737.1516000004</v>
      </c>
      <c r="CB31" s="69"/>
    </row>
    <row r="32" spans="2:81">
      <c r="P32" s="71"/>
      <c r="Q32" s="71"/>
      <c r="R32" s="10">
        <v>2</v>
      </c>
      <c r="S32" s="3"/>
      <c r="T32" s="3"/>
      <c r="U32" s="3"/>
      <c r="V32" s="7">
        <f>U3*0.00041</f>
        <v>17.957999999999998</v>
      </c>
      <c r="W32" s="7">
        <f>U3*0.00388</f>
        <v>169.94400000000002</v>
      </c>
      <c r="X32" s="7">
        <f>U3*0.02744</f>
        <v>1201.8720000000001</v>
      </c>
      <c r="Y32" s="7">
        <f>U3*0.06503</f>
        <v>2848.3140000000003</v>
      </c>
      <c r="Z32" s="7">
        <f>U3*0.03092</f>
        <v>1354.296</v>
      </c>
      <c r="AA32" s="7">
        <f>U3*0.03316</f>
        <v>1452.4080000000001</v>
      </c>
      <c r="AB32" s="7">
        <f>U3*0.1539</f>
        <v>6740.8200000000006</v>
      </c>
      <c r="AC32" s="69">
        <f t="shared" si="13"/>
        <v>13785.612000000001</v>
      </c>
      <c r="AD32" s="69"/>
      <c r="AG32" s="71"/>
      <c r="AH32" s="10">
        <v>2.5</v>
      </c>
      <c r="AI32" s="3"/>
      <c r="AJ32" s="3"/>
      <c r="AK32" s="3"/>
      <c r="AL32" s="3"/>
      <c r="AM32" s="3">
        <v>89</v>
      </c>
      <c r="AN32" s="3">
        <v>159</v>
      </c>
      <c r="AO32" s="3">
        <v>221.5</v>
      </c>
      <c r="AP32" s="3">
        <v>238</v>
      </c>
      <c r="AQ32" s="3">
        <v>223</v>
      </c>
      <c r="AR32" s="3">
        <v>190</v>
      </c>
      <c r="AS32" s="3">
        <v>125</v>
      </c>
      <c r="AV32" s="76"/>
      <c r="AW32" s="10">
        <v>2.5</v>
      </c>
      <c r="AX32" s="3"/>
      <c r="AY32" s="3"/>
      <c r="AZ32" s="3"/>
      <c r="BA32" s="3"/>
      <c r="BB32" s="3"/>
      <c r="BC32" s="8">
        <f t="shared" si="12"/>
        <v>664.44599999999991</v>
      </c>
      <c r="BD32" s="8">
        <f t="shared" si="8"/>
        <v>8275.5720000000001</v>
      </c>
      <c r="BE32" s="8">
        <f t="shared" si="8"/>
        <v>105565.44600000001</v>
      </c>
      <c r="BF32" s="8">
        <f t="shared" si="8"/>
        <v>90134.706000000006</v>
      </c>
      <c r="BG32" s="8">
        <f t="shared" si="8"/>
        <v>41790.018000000004</v>
      </c>
      <c r="BH32" s="8">
        <f t="shared" si="8"/>
        <v>216463.10400000002</v>
      </c>
      <c r="BI32" s="69">
        <f t="shared" si="9"/>
        <v>462893.29200000002</v>
      </c>
      <c r="BJ32" s="69"/>
      <c r="BN32" s="76"/>
      <c r="BO32" s="10">
        <v>2.5</v>
      </c>
      <c r="BP32" s="3">
        <f t="shared" si="10"/>
        <v>0</v>
      </c>
      <c r="BQ32" s="3">
        <f t="shared" si="7"/>
        <v>0</v>
      </c>
      <c r="BR32" s="3">
        <f t="shared" si="7"/>
        <v>0</v>
      </c>
      <c r="BS32" s="3">
        <f t="shared" si="7"/>
        <v>0</v>
      </c>
      <c r="BT32" s="3">
        <f t="shared" si="7"/>
        <v>1598.2619999999999</v>
      </c>
      <c r="BU32" s="3">
        <f t="shared" si="7"/>
        <v>27996.083999999999</v>
      </c>
      <c r="BV32" s="3">
        <f t="shared" si="7"/>
        <v>338880.38100000005</v>
      </c>
      <c r="BW32" s="3">
        <f t="shared" si="7"/>
        <v>293863.83600000001</v>
      </c>
      <c r="BX32" s="3">
        <f t="shared" si="7"/>
        <v>127659.91800000001</v>
      </c>
      <c r="BY32" s="3">
        <f t="shared" si="7"/>
        <v>952036.8</v>
      </c>
      <c r="BZ32" s="3">
        <f t="shared" si="7"/>
        <v>1067734.5</v>
      </c>
      <c r="CA32" s="69">
        <f t="shared" si="11"/>
        <v>2809769.7810000004</v>
      </c>
      <c r="CB32" s="69"/>
    </row>
    <row r="33" spans="2:82" ht="15.75">
      <c r="M33" s="14"/>
      <c r="N33" s="14"/>
      <c r="O33" s="14"/>
      <c r="P33" s="71"/>
      <c r="Q33" s="71"/>
      <c r="R33" s="10">
        <v>2.5</v>
      </c>
      <c r="S33" s="3"/>
      <c r="T33" s="3"/>
      <c r="U33" s="3"/>
      <c r="V33" s="7">
        <f>U24*0.00007</f>
        <v>0</v>
      </c>
      <c r="W33" s="7">
        <f>U3*0.00041</f>
        <v>17.957999999999998</v>
      </c>
      <c r="X33" s="7">
        <f>U3*0.00402</f>
        <v>176.07599999999999</v>
      </c>
      <c r="Y33" s="7">
        <f>U3*0.03493</f>
        <v>1529.9340000000002</v>
      </c>
      <c r="Z33" s="7">
        <f>U3*0.02819</f>
        <v>1234.722</v>
      </c>
      <c r="AA33" s="7">
        <f>U3*0.01307</f>
        <v>572.46600000000001</v>
      </c>
      <c r="AB33" s="7">
        <f>U3*0.1144</f>
        <v>5010.72</v>
      </c>
      <c r="AC33" s="69">
        <f t="shared" si="13"/>
        <v>8541.8760000000002</v>
      </c>
      <c r="AD33" s="69"/>
      <c r="AG33" s="71"/>
      <c r="AH33" s="10">
        <v>3</v>
      </c>
      <c r="AI33" s="3"/>
      <c r="AJ33" s="3"/>
      <c r="AK33" s="3"/>
      <c r="AL33" s="3"/>
      <c r="AM33" s="3">
        <v>129</v>
      </c>
      <c r="AN33" s="3">
        <v>229</v>
      </c>
      <c r="AO33" s="3">
        <v>318.5</v>
      </c>
      <c r="AP33" s="3">
        <v>336</v>
      </c>
      <c r="AQ33" s="3">
        <v>303.5</v>
      </c>
      <c r="AR33" s="3">
        <v>253</v>
      </c>
      <c r="AS33" s="3">
        <v>177.5</v>
      </c>
      <c r="AV33" s="76"/>
      <c r="AW33" s="10">
        <v>3</v>
      </c>
      <c r="AX33" s="3"/>
      <c r="AY33" s="3"/>
      <c r="AZ33" s="3"/>
      <c r="BA33" s="3"/>
      <c r="BB33" s="3"/>
      <c r="BC33" s="8">
        <f t="shared" si="12"/>
        <v>165.56399999999999</v>
      </c>
      <c r="BD33" s="8">
        <f t="shared" si="8"/>
        <v>3246.4560000000001</v>
      </c>
      <c r="BE33" s="8">
        <f t="shared" si="8"/>
        <v>22157.982</v>
      </c>
      <c r="BF33" s="8">
        <f t="shared" si="8"/>
        <v>93598.847999999998</v>
      </c>
      <c r="BG33" s="8">
        <f t="shared" si="8"/>
        <v>51860.076000000001</v>
      </c>
      <c r="BH33" s="8">
        <f t="shared" si="8"/>
        <v>169018.94400000002</v>
      </c>
      <c r="BI33" s="69">
        <f t="shared" si="9"/>
        <v>340047.87</v>
      </c>
      <c r="BJ33" s="69"/>
      <c r="BN33" s="76"/>
      <c r="BO33" s="10">
        <v>3</v>
      </c>
      <c r="BP33" s="3">
        <f t="shared" si="10"/>
        <v>0</v>
      </c>
      <c r="BQ33" s="3">
        <f t="shared" si="7"/>
        <v>0</v>
      </c>
      <c r="BR33" s="3">
        <f t="shared" si="7"/>
        <v>0</v>
      </c>
      <c r="BS33" s="3">
        <f t="shared" si="7"/>
        <v>0</v>
      </c>
      <c r="BT33" s="3">
        <f t="shared" si="7"/>
        <v>395.51399999999995</v>
      </c>
      <c r="BU33" s="3">
        <f t="shared" si="7"/>
        <v>10932.918000000001</v>
      </c>
      <c r="BV33" s="3">
        <f t="shared" si="7"/>
        <v>71286.03300000001</v>
      </c>
      <c r="BW33" s="3">
        <f t="shared" si="7"/>
        <v>296690.68800000002</v>
      </c>
      <c r="BX33" s="3">
        <f t="shared" si="7"/>
        <v>148486.16099999999</v>
      </c>
      <c r="BY33" s="3">
        <f t="shared" si="7"/>
        <v>689706.33600000001</v>
      </c>
      <c r="BZ33" s="3">
        <f t="shared" si="7"/>
        <v>776206.08000000007</v>
      </c>
      <c r="CA33" s="69">
        <f t="shared" si="11"/>
        <v>1993703.73</v>
      </c>
      <c r="CB33" s="69"/>
    </row>
    <row r="34" spans="2:82">
      <c r="P34" s="71"/>
      <c r="Q34" s="71"/>
      <c r="R34" s="10">
        <v>3</v>
      </c>
      <c r="S34" s="3"/>
      <c r="T34" s="3"/>
      <c r="U34" s="3"/>
      <c r="V34" s="7"/>
      <c r="W34" s="7">
        <f>U3*0.00007</f>
        <v>3.0659999999999998</v>
      </c>
      <c r="X34" s="7">
        <f>U3*0.00109</f>
        <v>47.742000000000004</v>
      </c>
      <c r="Y34" s="7">
        <f>U3*0.00511</f>
        <v>223.81800000000001</v>
      </c>
      <c r="Z34" s="7">
        <f>U3*0.02016</f>
        <v>883.00800000000004</v>
      </c>
      <c r="AA34" s="7">
        <f>U3*0.01117</f>
        <v>489.24599999999998</v>
      </c>
      <c r="AB34" s="7">
        <f>U3*0.06224</f>
        <v>2726.1120000000001</v>
      </c>
      <c r="AC34" s="69">
        <f t="shared" si="13"/>
        <v>4372.9920000000002</v>
      </c>
      <c r="AD34" s="69"/>
      <c r="AG34" s="71"/>
      <c r="AH34" s="10">
        <v>3.5</v>
      </c>
      <c r="AI34" s="3"/>
      <c r="AJ34" s="3"/>
      <c r="AK34" s="3"/>
      <c r="AL34" s="3"/>
      <c r="AM34" s="3"/>
      <c r="AN34" s="3">
        <v>312</v>
      </c>
      <c r="AO34" s="3">
        <v>425.5</v>
      </c>
      <c r="AP34" s="3">
        <v>432</v>
      </c>
      <c r="AQ34" s="3">
        <v>390.5</v>
      </c>
      <c r="AR34" s="3">
        <v>344</v>
      </c>
      <c r="AS34" s="3">
        <v>229.8</v>
      </c>
      <c r="AV34" s="76"/>
      <c r="AW34" s="10">
        <v>3.5</v>
      </c>
      <c r="AX34" s="3"/>
      <c r="AY34" s="3"/>
      <c r="AZ34" s="3"/>
      <c r="BA34" s="3"/>
      <c r="BB34" s="3"/>
      <c r="BC34" s="8">
        <f t="shared" si="12"/>
        <v>0</v>
      </c>
      <c r="BD34" s="8">
        <f t="shared" si="8"/>
        <v>827.81999999999994</v>
      </c>
      <c r="BE34" s="8">
        <f t="shared" si="8"/>
        <v>11317.919999999998</v>
      </c>
      <c r="BF34" s="8">
        <f t="shared" si="8"/>
        <v>28587.383999999998</v>
      </c>
      <c r="BG34" s="8">
        <f t="shared" si="8"/>
        <v>31567.536</v>
      </c>
      <c r="BH34" s="8">
        <f t="shared" si="8"/>
        <v>104182.68000000001</v>
      </c>
      <c r="BI34" s="69">
        <f t="shared" si="9"/>
        <v>176483.34000000003</v>
      </c>
      <c r="BJ34" s="69"/>
      <c r="BN34" s="76"/>
      <c r="BO34" s="10">
        <v>3.5</v>
      </c>
      <c r="BP34" s="3">
        <f t="shared" si="10"/>
        <v>0</v>
      </c>
      <c r="BQ34" s="3">
        <f t="shared" si="7"/>
        <v>0</v>
      </c>
      <c r="BR34" s="3">
        <f t="shared" si="7"/>
        <v>0</v>
      </c>
      <c r="BS34" s="3">
        <f t="shared" si="7"/>
        <v>0</v>
      </c>
      <c r="BT34" s="3">
        <f t="shared" si="7"/>
        <v>0</v>
      </c>
      <c r="BU34" s="3">
        <f t="shared" si="7"/>
        <v>1913.184</v>
      </c>
      <c r="BV34" s="3">
        <f t="shared" si="7"/>
        <v>31682.729999999996</v>
      </c>
      <c r="BW34" s="3">
        <f t="shared" si="7"/>
        <v>98013.887999999992</v>
      </c>
      <c r="BX34" s="3">
        <f t="shared" si="7"/>
        <v>97834.308000000005</v>
      </c>
      <c r="BY34" s="3">
        <f t="shared" si="7"/>
        <v>511983.45600000001</v>
      </c>
      <c r="BZ34" s="3">
        <f t="shared" si="7"/>
        <v>470248.01280000003</v>
      </c>
      <c r="CA34" s="69">
        <f t="shared" si="11"/>
        <v>1211675.5788</v>
      </c>
      <c r="CB34" s="69"/>
    </row>
    <row r="35" spans="2:82">
      <c r="P35" s="71"/>
      <c r="Q35" s="71"/>
      <c r="R35" s="10">
        <v>3.5</v>
      </c>
      <c r="S35" s="3"/>
      <c r="T35" s="3"/>
      <c r="U35" s="3"/>
      <c r="V35" s="7"/>
      <c r="W35" s="7">
        <v>0</v>
      </c>
      <c r="X35" s="7">
        <f>U3*0.00014</f>
        <v>6.1319999999999997</v>
      </c>
      <c r="Y35" s="7">
        <f>U3*0.0017</f>
        <v>74.459999999999994</v>
      </c>
      <c r="Z35" s="7">
        <f>U3*0.00518</f>
        <v>226.88399999999999</v>
      </c>
      <c r="AA35" s="7">
        <f>U3*0.00572</f>
        <v>250.536</v>
      </c>
      <c r="AB35" s="7">
        <f>U3*0.03398</f>
        <v>1488.3240000000001</v>
      </c>
      <c r="AC35" s="69">
        <f t="shared" si="13"/>
        <v>2046.336</v>
      </c>
      <c r="AD35" s="69"/>
      <c r="AG35" s="71"/>
      <c r="AH35" s="10">
        <v>4</v>
      </c>
      <c r="AI35" s="3"/>
      <c r="AJ35" s="3"/>
      <c r="AK35" s="3"/>
      <c r="AL35" s="3"/>
      <c r="AM35" s="3"/>
      <c r="AN35" s="3">
        <v>462</v>
      </c>
      <c r="AO35" s="3">
        <v>521</v>
      </c>
      <c r="AP35" s="3">
        <v>538</v>
      </c>
      <c r="AQ35" s="3">
        <v>487</v>
      </c>
      <c r="AR35" s="3">
        <v>406.5</v>
      </c>
      <c r="AS35" s="3">
        <v>287.2</v>
      </c>
      <c r="AV35" s="76"/>
      <c r="AW35" s="10">
        <v>4</v>
      </c>
      <c r="AX35" s="3"/>
      <c r="AY35" s="3"/>
      <c r="AZ35" s="3"/>
      <c r="BA35" s="3"/>
      <c r="BB35" s="3"/>
      <c r="BC35" s="8">
        <f t="shared" si="12"/>
        <v>0</v>
      </c>
      <c r="BD35" s="8">
        <f t="shared" si="8"/>
        <v>0</v>
      </c>
      <c r="BE35" s="8">
        <f t="shared" si="8"/>
        <v>1734.48</v>
      </c>
      <c r="BF35" s="8">
        <f t="shared" si="8"/>
        <v>7326.8640000000005</v>
      </c>
      <c r="BG35" s="8">
        <f t="shared" si="8"/>
        <v>16665.024000000001</v>
      </c>
      <c r="BH35" s="8">
        <f t="shared" si="8"/>
        <v>60531.600000000006</v>
      </c>
      <c r="BI35" s="69">
        <f t="shared" si="9"/>
        <v>86257.968000000008</v>
      </c>
      <c r="BJ35" s="69"/>
      <c r="BN35" s="76"/>
      <c r="BO35" s="10">
        <v>4</v>
      </c>
      <c r="BP35" s="3">
        <f t="shared" si="10"/>
        <v>0</v>
      </c>
      <c r="BQ35" s="3">
        <f t="shared" si="7"/>
        <v>0</v>
      </c>
      <c r="BR35" s="3">
        <f t="shared" si="7"/>
        <v>0</v>
      </c>
      <c r="BS35" s="3">
        <f t="shared" si="7"/>
        <v>0</v>
      </c>
      <c r="BT35" s="3">
        <f t="shared" si="7"/>
        <v>0</v>
      </c>
      <c r="BU35" s="3">
        <f t="shared" si="7"/>
        <v>0</v>
      </c>
      <c r="BV35" s="3">
        <f t="shared" si="7"/>
        <v>4563.96</v>
      </c>
      <c r="BW35" s="3">
        <f t="shared" si="7"/>
        <v>24035.688000000002</v>
      </c>
      <c r="BX35" s="3">
        <f t="shared" si="7"/>
        <v>49486.991999999998</v>
      </c>
      <c r="BY35" s="3">
        <f t="shared" si="7"/>
        <v>246060.95400000003</v>
      </c>
      <c r="BZ35" s="3">
        <f t="shared" si="7"/>
        <v>218377.68960000001</v>
      </c>
      <c r="CA35" s="69">
        <f t="shared" si="11"/>
        <v>542525.28360000008</v>
      </c>
      <c r="CB35" s="69"/>
    </row>
    <row r="36" spans="2:82">
      <c r="P36" s="71"/>
      <c r="Q36" s="71"/>
      <c r="R36" s="10">
        <v>4</v>
      </c>
      <c r="S36" s="3"/>
      <c r="T36" s="3"/>
      <c r="U36" s="3"/>
      <c r="V36" s="7"/>
      <c r="W36" s="7"/>
      <c r="X36" s="7"/>
      <c r="Y36" s="7">
        <f>U3*0.0002</f>
        <v>8.76</v>
      </c>
      <c r="Z36" s="7">
        <f>U3*0.00102</f>
        <v>44.676000000000002</v>
      </c>
      <c r="AA36" s="7">
        <f>U3*0.00232</f>
        <v>101.616</v>
      </c>
      <c r="AB36" s="7">
        <f>U3*0.01382</f>
        <v>605.31600000000003</v>
      </c>
      <c r="AC36" s="69">
        <f t="shared" si="13"/>
        <v>760.36800000000005</v>
      </c>
      <c r="AD36" s="69"/>
      <c r="AG36" s="71"/>
      <c r="AH36" s="10">
        <v>4.5</v>
      </c>
      <c r="AI36" s="3"/>
      <c r="AJ36" s="3"/>
      <c r="AK36" s="3"/>
      <c r="AL36" s="3"/>
      <c r="AM36" s="3"/>
      <c r="AN36" s="3">
        <v>544</v>
      </c>
      <c r="AO36" s="3">
        <v>628.5</v>
      </c>
      <c r="AP36" s="3">
        <v>638</v>
      </c>
      <c r="AQ36" s="3">
        <v>576</v>
      </c>
      <c r="AR36" s="3">
        <v>500.5</v>
      </c>
      <c r="AS36" s="3">
        <v>345.7</v>
      </c>
      <c r="AV36" s="76"/>
      <c r="AW36" s="10">
        <v>4.5</v>
      </c>
      <c r="AX36" s="3"/>
      <c r="AY36" s="3"/>
      <c r="AZ36" s="3"/>
      <c r="BA36" s="3"/>
      <c r="BB36" s="3"/>
      <c r="BC36" s="8">
        <f t="shared" si="12"/>
        <v>0</v>
      </c>
      <c r="BD36" s="8">
        <f t="shared" si="8"/>
        <v>0</v>
      </c>
      <c r="BE36" s="8">
        <f t="shared" si="8"/>
        <v>0</v>
      </c>
      <c r="BF36" s="8">
        <f t="shared" si="8"/>
        <v>1060.836</v>
      </c>
      <c r="BG36" s="8">
        <f t="shared" si="8"/>
        <v>2045.8980000000001</v>
      </c>
      <c r="BH36" s="8">
        <f t="shared" si="8"/>
        <v>29819.040000000001</v>
      </c>
      <c r="BI36" s="69">
        <f t="shared" si="9"/>
        <v>32925.774000000005</v>
      </c>
      <c r="BJ36" s="69"/>
      <c r="BN36" s="76"/>
      <c r="BO36" s="10">
        <v>4.5</v>
      </c>
      <c r="BP36" s="3">
        <f t="shared" si="10"/>
        <v>0</v>
      </c>
      <c r="BQ36" s="3">
        <f t="shared" si="7"/>
        <v>0</v>
      </c>
      <c r="BR36" s="3">
        <f t="shared" si="7"/>
        <v>0</v>
      </c>
      <c r="BS36" s="3">
        <f t="shared" si="7"/>
        <v>0</v>
      </c>
      <c r="BT36" s="3">
        <f t="shared" si="7"/>
        <v>0</v>
      </c>
      <c r="BU36" s="3">
        <f t="shared" si="7"/>
        <v>0</v>
      </c>
      <c r="BV36" s="3">
        <f t="shared" si="7"/>
        <v>0</v>
      </c>
      <c r="BW36" s="3">
        <f t="shared" si="7"/>
        <v>3912.2159999999999</v>
      </c>
      <c r="BX36" s="3">
        <f t="shared" si="7"/>
        <v>6811.7759999999998</v>
      </c>
      <c r="BY36" s="3">
        <f t="shared" si="7"/>
        <v>129777.648</v>
      </c>
      <c r="BZ36" s="3">
        <f t="shared" si="7"/>
        <v>95846.707800000004</v>
      </c>
      <c r="CA36" s="69">
        <f t="shared" si="11"/>
        <v>236348.34780000002</v>
      </c>
      <c r="CB36" s="69"/>
    </row>
    <row r="37" spans="2:82">
      <c r="P37" s="71"/>
      <c r="Q37" s="71"/>
      <c r="R37" s="10">
        <v>4.5</v>
      </c>
      <c r="S37" s="3"/>
      <c r="T37" s="3"/>
      <c r="U37" s="3"/>
      <c r="V37" s="7"/>
      <c r="W37" s="7"/>
      <c r="X37" s="7"/>
      <c r="Y37" s="7"/>
      <c r="Z37" s="7">
        <f>U3*0.00014</f>
        <v>6.1319999999999997</v>
      </c>
      <c r="AA37" s="7">
        <f>U3*0.00027</f>
        <v>11.826000000000001</v>
      </c>
      <c r="AB37" s="7">
        <f>U3*0.00592</f>
        <v>259.29599999999999</v>
      </c>
      <c r="AC37" s="69">
        <f t="shared" si="13"/>
        <v>277.25400000000002</v>
      </c>
      <c r="AD37" s="69"/>
      <c r="AG37" s="71"/>
      <c r="AH37" s="10">
        <v>5</v>
      </c>
      <c r="AI37" s="3"/>
      <c r="AJ37" s="3"/>
      <c r="AK37" s="3"/>
      <c r="AL37" s="3"/>
      <c r="AM37" s="3"/>
      <c r="AN37" s="3">
        <v>0</v>
      </c>
      <c r="AO37" s="3">
        <v>732.5</v>
      </c>
      <c r="AP37" s="3">
        <v>719</v>
      </c>
      <c r="AQ37" s="3">
        <v>678.5</v>
      </c>
      <c r="AR37" s="3">
        <v>582</v>
      </c>
      <c r="AS37" s="3">
        <v>409.2</v>
      </c>
      <c r="AV37" s="76"/>
      <c r="AW37" s="10">
        <v>5</v>
      </c>
      <c r="AX37" s="3"/>
      <c r="AY37" s="3"/>
      <c r="AZ37" s="3"/>
      <c r="BA37" s="3"/>
      <c r="BB37" s="3"/>
      <c r="BC37" s="8">
        <f t="shared" si="12"/>
        <v>0</v>
      </c>
      <c r="BD37" s="8">
        <f t="shared" si="8"/>
        <v>0</v>
      </c>
      <c r="BE37" s="8">
        <f t="shared" si="8"/>
        <v>0</v>
      </c>
      <c r="BF37" s="8">
        <f t="shared" si="8"/>
        <v>0</v>
      </c>
      <c r="BG37" s="8">
        <f t="shared" si="8"/>
        <v>656.12399999999991</v>
      </c>
      <c r="BH37" s="8">
        <f t="shared" si="8"/>
        <v>14429.472</v>
      </c>
      <c r="BI37" s="69">
        <f t="shared" si="9"/>
        <v>15085.596</v>
      </c>
      <c r="BJ37" s="69"/>
      <c r="BN37" s="76"/>
      <c r="BO37" s="10">
        <v>5</v>
      </c>
      <c r="BP37" s="3">
        <f t="shared" si="10"/>
        <v>0</v>
      </c>
      <c r="BQ37" s="3">
        <f t="shared" si="7"/>
        <v>0</v>
      </c>
      <c r="BR37" s="3">
        <f t="shared" si="7"/>
        <v>0</v>
      </c>
      <c r="BS37" s="3">
        <f t="shared" si="7"/>
        <v>0</v>
      </c>
      <c r="BT37" s="3">
        <f t="shared" si="7"/>
        <v>0</v>
      </c>
      <c r="BU37" s="3">
        <f t="shared" si="7"/>
        <v>0</v>
      </c>
      <c r="BV37" s="3">
        <f t="shared" si="7"/>
        <v>0</v>
      </c>
      <c r="BW37" s="3">
        <f t="shared" si="7"/>
        <v>0</v>
      </c>
      <c r="BX37" s="3">
        <f t="shared" si="7"/>
        <v>2080.2809999999999</v>
      </c>
      <c r="BY37" s="3">
        <f t="shared" si="7"/>
        <v>59140.512000000002</v>
      </c>
      <c r="BZ37" s="3">
        <f t="shared" si="7"/>
        <v>42835.874400000001</v>
      </c>
      <c r="CA37" s="69">
        <f t="shared" si="11"/>
        <v>104056.66740000001</v>
      </c>
      <c r="CB37" s="69"/>
    </row>
    <row r="38" spans="2:82">
      <c r="P38" s="71"/>
      <c r="Q38" s="71"/>
      <c r="R38" s="10">
        <v>5</v>
      </c>
      <c r="S38" s="3"/>
      <c r="T38" s="3"/>
      <c r="U38" s="3"/>
      <c r="V38" s="7"/>
      <c r="W38" s="7"/>
      <c r="X38" s="7"/>
      <c r="Y38" s="7"/>
      <c r="Z38" s="7">
        <f>U24*0.0002</f>
        <v>0</v>
      </c>
      <c r="AA38" s="7">
        <f>U3*0.00007</f>
        <v>3.0659999999999998</v>
      </c>
      <c r="AB38" s="7">
        <f>U3*0.00232</f>
        <v>101.616</v>
      </c>
      <c r="AC38" s="69">
        <f t="shared" si="13"/>
        <v>104.682</v>
      </c>
      <c r="AD38" s="69"/>
      <c r="AG38" s="71"/>
      <c r="AH38" s="10" t="s">
        <v>15</v>
      </c>
      <c r="AI38" s="3"/>
      <c r="AJ38" s="3"/>
      <c r="AK38" s="3"/>
      <c r="AL38" s="3"/>
      <c r="AM38" s="3"/>
      <c r="AN38" s="3">
        <v>0</v>
      </c>
      <c r="AO38" s="3">
        <v>750</v>
      </c>
      <c r="AP38" s="3">
        <v>750</v>
      </c>
      <c r="AQ38" s="3">
        <v>750</v>
      </c>
      <c r="AR38" s="3">
        <v>732.2</v>
      </c>
      <c r="AS38" s="3">
        <v>610.4</v>
      </c>
      <c r="AV38" s="76"/>
      <c r="AW38" s="10" t="s">
        <v>15</v>
      </c>
      <c r="AX38" s="3"/>
      <c r="AY38" s="3"/>
      <c r="AZ38" s="3"/>
      <c r="BA38" s="3"/>
      <c r="BB38" s="3"/>
      <c r="BC38" s="8">
        <f t="shared" si="12"/>
        <v>0</v>
      </c>
      <c r="BD38" s="8">
        <f t="shared" si="8"/>
        <v>0</v>
      </c>
      <c r="BE38" s="8">
        <f t="shared" si="8"/>
        <v>0</v>
      </c>
      <c r="BF38" s="8">
        <f t="shared" si="8"/>
        <v>0</v>
      </c>
      <c r="BG38" s="8">
        <f t="shared" si="8"/>
        <v>0</v>
      </c>
      <c r="BH38" s="8">
        <f t="shared" si="8"/>
        <v>19512.023999999998</v>
      </c>
      <c r="BI38" s="69">
        <f>SUM(AY38:BH38)+1</f>
        <v>19513.023999999998</v>
      </c>
      <c r="BJ38" s="69"/>
      <c r="BN38" s="76"/>
      <c r="BO38" s="10" t="s">
        <v>15</v>
      </c>
      <c r="BP38" s="3">
        <f t="shared" si="10"/>
        <v>0</v>
      </c>
      <c r="BQ38" s="3">
        <f t="shared" si="7"/>
        <v>0</v>
      </c>
      <c r="BR38" s="3">
        <f t="shared" si="7"/>
        <v>0</v>
      </c>
      <c r="BS38" s="3">
        <f t="shared" si="7"/>
        <v>0</v>
      </c>
      <c r="BT38" s="3">
        <f t="shared" si="7"/>
        <v>0</v>
      </c>
      <c r="BU38" s="3">
        <f t="shared" si="7"/>
        <v>0</v>
      </c>
      <c r="BV38" s="3">
        <f t="shared" si="7"/>
        <v>0</v>
      </c>
      <c r="BW38" s="3">
        <f t="shared" si="7"/>
        <v>0</v>
      </c>
      <c r="BX38" s="3">
        <f t="shared" si="7"/>
        <v>0</v>
      </c>
      <c r="BY38" s="3">
        <f t="shared" si="7"/>
        <v>83062.232399999994</v>
      </c>
      <c r="BZ38" s="3">
        <f t="shared" si="7"/>
        <v>69244.996799999994</v>
      </c>
      <c r="CA38" s="69">
        <f>SUM(BQ38:BZ38)+1</f>
        <v>152308.2292</v>
      </c>
      <c r="CB38" s="69"/>
    </row>
    <row r="39" spans="2:82">
      <c r="P39" s="71"/>
      <c r="Q39" s="71"/>
      <c r="R39" s="10" t="s">
        <v>15</v>
      </c>
      <c r="S39" s="3"/>
      <c r="T39" s="3"/>
      <c r="U39" s="3"/>
      <c r="V39" s="7"/>
      <c r="W39" s="7"/>
      <c r="X39" s="7"/>
      <c r="Y39" s="7"/>
      <c r="Z39" s="7">
        <f>U24*0.00007</f>
        <v>0</v>
      </c>
      <c r="AA39" s="7">
        <f>U24*0.00041</f>
        <v>0</v>
      </c>
      <c r="AB39" s="7">
        <f>U3*0.00259</f>
        <v>113.44199999999999</v>
      </c>
      <c r="AC39" s="69">
        <f t="shared" si="13"/>
        <v>113.44199999999999</v>
      </c>
      <c r="AD39" s="69"/>
      <c r="AV39" s="76"/>
      <c r="AW39" s="47" t="s">
        <v>16</v>
      </c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16"/>
      <c r="BI39" s="70">
        <f>SUM(BI28:BJ38)</f>
        <v>1881098.1712000002</v>
      </c>
      <c r="BJ39" s="70"/>
      <c r="BN39" s="76"/>
      <c r="BO39" s="47" t="s">
        <v>16</v>
      </c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16"/>
      <c r="CA39" s="70">
        <f>SUM(CA28:CB38)</f>
        <v>11392918.343800003</v>
      </c>
      <c r="CB39" s="70"/>
    </row>
    <row r="40" spans="2:82">
      <c r="P40" s="71"/>
      <c r="Q40" s="71"/>
      <c r="R40" s="71" t="s">
        <v>16</v>
      </c>
      <c r="S40" s="6"/>
      <c r="T40" s="6"/>
      <c r="U40" s="6"/>
      <c r="V40" s="6"/>
      <c r="W40" s="6"/>
      <c r="X40" s="6"/>
      <c r="Y40" s="6"/>
      <c r="Z40" s="6"/>
      <c r="AA40" s="6"/>
      <c r="AB40" s="6"/>
      <c r="AC40" s="70">
        <f>SUM(AC29:AD39)</f>
        <v>43800.124000000011</v>
      </c>
      <c r="AD40" s="70"/>
      <c r="AV40" s="76"/>
      <c r="AW40" s="13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15"/>
      <c r="BI40" s="70"/>
      <c r="BJ40" s="70"/>
      <c r="BN40" s="76"/>
      <c r="BO40" s="1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15"/>
      <c r="CA40" s="70"/>
      <c r="CB40" s="70"/>
    </row>
    <row r="41" spans="2:82">
      <c r="P41" s="71"/>
      <c r="Q41" s="71"/>
      <c r="R41" s="71"/>
      <c r="S41" s="4"/>
      <c r="T41" s="4"/>
      <c r="U41" s="4"/>
      <c r="V41" s="4"/>
      <c r="W41" s="4"/>
      <c r="X41" s="4"/>
      <c r="Y41" s="4"/>
      <c r="Z41" s="4"/>
      <c r="AA41" s="4"/>
      <c r="AB41" s="4"/>
      <c r="AC41" s="70"/>
      <c r="AD41" s="70"/>
      <c r="AV41" s="77"/>
      <c r="AW41" s="48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17"/>
      <c r="BI41" s="70"/>
      <c r="BJ41" s="70"/>
      <c r="BN41" s="77"/>
      <c r="BO41" s="48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17"/>
      <c r="CA41" s="70"/>
      <c r="CB41" s="70"/>
    </row>
    <row r="42" spans="2:82">
      <c r="P42" s="71"/>
      <c r="Q42" s="71"/>
      <c r="R42" s="71"/>
      <c r="S42" s="5"/>
      <c r="T42" s="5"/>
      <c r="U42" s="5"/>
      <c r="V42" s="5"/>
      <c r="W42" s="5"/>
      <c r="X42" s="5"/>
      <c r="Y42" s="5"/>
      <c r="Z42" s="5"/>
      <c r="AA42" s="5"/>
      <c r="AB42" s="5"/>
      <c r="AC42" s="70"/>
      <c r="AD42" s="70"/>
      <c r="BI42" s="63">
        <f>BI39/5</f>
        <v>376219.63424000004</v>
      </c>
      <c r="BJ42" s="64"/>
      <c r="BK42" s="67" t="s">
        <v>17</v>
      </c>
      <c r="CA42" s="63">
        <f>CA39/5</f>
        <v>2278583.6687600007</v>
      </c>
      <c r="CB42" s="64"/>
      <c r="CC42" s="67" t="s">
        <v>17</v>
      </c>
    </row>
    <row r="43" spans="2:82">
      <c r="AG43">
        <f>6*230.914</f>
        <v>1385.4839999999999</v>
      </c>
      <c r="BI43" s="65"/>
      <c r="BJ43" s="66"/>
      <c r="BK43" s="68"/>
      <c r="CA43" s="65"/>
      <c r="CB43" s="66"/>
      <c r="CC43" s="68"/>
    </row>
    <row r="44" spans="2:82">
      <c r="U44" s="2" t="s">
        <v>0</v>
      </c>
      <c r="BI44" s="57">
        <f>BI42*0.001</f>
        <v>376.21963424000006</v>
      </c>
      <c r="BJ44" s="58"/>
      <c r="BK44" s="61" t="s">
        <v>18</v>
      </c>
      <c r="CA44" s="57">
        <f>CA42*0.001</f>
        <v>2278.5836687600008</v>
      </c>
      <c r="CB44" s="58"/>
      <c r="CC44" s="61" t="s">
        <v>18</v>
      </c>
    </row>
    <row r="45" spans="2:82">
      <c r="U45">
        <f>(5*8760)</f>
        <v>43800</v>
      </c>
      <c r="BI45" s="59"/>
      <c r="BJ45" s="60"/>
      <c r="BK45" s="62"/>
      <c r="CA45" s="59"/>
      <c r="CB45" s="60"/>
      <c r="CC45" s="62"/>
      <c r="CD45" s="23"/>
    </row>
    <row r="46" spans="2:82">
      <c r="B46" t="s">
        <v>23</v>
      </c>
      <c r="E46" t="s">
        <v>24</v>
      </c>
      <c r="AV46" s="2" t="s">
        <v>23</v>
      </c>
      <c r="AW46" s="2"/>
      <c r="AX46" s="2"/>
      <c r="AY46" s="2" t="s">
        <v>24</v>
      </c>
      <c r="BN46" s="2" t="s">
        <v>23</v>
      </c>
      <c r="BO46" s="2"/>
      <c r="BP46" s="2"/>
      <c r="BQ46" s="2" t="s">
        <v>24</v>
      </c>
      <c r="CB46" s="22"/>
      <c r="CC46" s="22"/>
      <c r="CD46" s="23"/>
    </row>
    <row r="48" spans="2:82">
      <c r="P48" s="71" t="s">
        <v>7</v>
      </c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V48" s="71" t="s">
        <v>8</v>
      </c>
      <c r="AW48" s="71"/>
      <c r="AX48" s="72" t="s">
        <v>7</v>
      </c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4"/>
      <c r="BN48" s="71" t="s">
        <v>8</v>
      </c>
      <c r="BO48" s="71"/>
      <c r="BP48" s="72" t="s">
        <v>7</v>
      </c>
      <c r="BQ48" s="73"/>
      <c r="BR48" s="73"/>
      <c r="BS48" s="73"/>
      <c r="BT48" s="73"/>
      <c r="BU48" s="73"/>
      <c r="BV48" s="73"/>
      <c r="BW48" s="73"/>
      <c r="BX48" s="73"/>
      <c r="BY48" s="73"/>
      <c r="BZ48" s="73"/>
      <c r="CA48" s="73"/>
      <c r="CB48" s="74"/>
    </row>
    <row r="49" spans="13:81"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V49" s="71"/>
      <c r="AW49" s="71"/>
      <c r="AX49" s="11" t="s">
        <v>9</v>
      </c>
      <c r="AY49" s="3">
        <v>2</v>
      </c>
      <c r="AZ49" s="3">
        <v>3</v>
      </c>
      <c r="BA49" s="3">
        <v>4</v>
      </c>
      <c r="BB49" s="3">
        <v>5</v>
      </c>
      <c r="BC49" s="3">
        <v>6</v>
      </c>
      <c r="BD49" s="3">
        <v>7</v>
      </c>
      <c r="BE49" s="3">
        <v>8</v>
      </c>
      <c r="BF49" s="3">
        <v>9</v>
      </c>
      <c r="BG49" s="3">
        <v>10</v>
      </c>
      <c r="BH49" s="3" t="s">
        <v>10</v>
      </c>
      <c r="BI49" s="69" t="s">
        <v>11</v>
      </c>
      <c r="BJ49" s="69"/>
      <c r="BN49" s="71"/>
      <c r="BO49" s="71"/>
      <c r="BP49" s="11" t="s">
        <v>9</v>
      </c>
      <c r="BQ49" s="3">
        <v>2</v>
      </c>
      <c r="BR49" s="3">
        <v>3</v>
      </c>
      <c r="BS49" s="3">
        <v>4</v>
      </c>
      <c r="BT49" s="3">
        <v>5</v>
      </c>
      <c r="BU49" s="3">
        <v>6</v>
      </c>
      <c r="BV49" s="3">
        <v>7</v>
      </c>
      <c r="BW49" s="3">
        <v>8</v>
      </c>
      <c r="BX49" s="3">
        <v>9</v>
      </c>
      <c r="BY49" s="3">
        <v>10</v>
      </c>
      <c r="BZ49" s="3" t="s">
        <v>10</v>
      </c>
      <c r="CA49" s="69" t="s">
        <v>11</v>
      </c>
      <c r="CB49" s="69"/>
    </row>
    <row r="50" spans="13:81">
      <c r="P50" s="71" t="s">
        <v>12</v>
      </c>
      <c r="Q50" s="71"/>
      <c r="R50" s="3" t="s">
        <v>9</v>
      </c>
      <c r="S50" s="3">
        <v>2</v>
      </c>
      <c r="T50" s="3">
        <v>3</v>
      </c>
      <c r="U50" s="3">
        <v>4</v>
      </c>
      <c r="V50" s="3">
        <v>5</v>
      </c>
      <c r="W50" s="3">
        <v>6</v>
      </c>
      <c r="X50" s="3">
        <v>7</v>
      </c>
      <c r="Y50" s="3">
        <v>8</v>
      </c>
      <c r="Z50" s="3">
        <v>9</v>
      </c>
      <c r="AA50" s="3">
        <v>10</v>
      </c>
      <c r="AB50" s="3" t="s">
        <v>10</v>
      </c>
      <c r="AC50" s="69" t="s">
        <v>13</v>
      </c>
      <c r="AD50" s="69"/>
      <c r="AV50" s="75" t="s">
        <v>12</v>
      </c>
      <c r="AW50" s="10" t="s">
        <v>14</v>
      </c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69">
        <f>SUM(AY50:BH50)</f>
        <v>0</v>
      </c>
      <c r="BJ50" s="69"/>
      <c r="BN50" s="75" t="s">
        <v>12</v>
      </c>
      <c r="BO50" s="10" t="s">
        <v>14</v>
      </c>
      <c r="BP50" s="3">
        <f>AI28*S51</f>
        <v>0</v>
      </c>
      <c r="BQ50" s="3">
        <f t="shared" ref="BQ50:BZ60" si="14">AJ28*T51</f>
        <v>0</v>
      </c>
      <c r="BR50" s="3">
        <f t="shared" si="14"/>
        <v>0</v>
      </c>
      <c r="BS50" s="3">
        <f t="shared" si="14"/>
        <v>0</v>
      </c>
      <c r="BT50" s="3">
        <f t="shared" si="14"/>
        <v>0</v>
      </c>
      <c r="BU50" s="3">
        <f t="shared" si="14"/>
        <v>0</v>
      </c>
      <c r="BV50" s="3">
        <f t="shared" si="14"/>
        <v>0</v>
      </c>
      <c r="BW50" s="3">
        <f t="shared" si="14"/>
        <v>0</v>
      </c>
      <c r="BX50" s="3">
        <f t="shared" si="14"/>
        <v>0</v>
      </c>
      <c r="BY50" s="3">
        <f t="shared" si="14"/>
        <v>0</v>
      </c>
      <c r="BZ50" s="3">
        <f t="shared" si="14"/>
        <v>0</v>
      </c>
      <c r="CA50" s="69">
        <f>SUM(BQ50:BZ50)</f>
        <v>0</v>
      </c>
      <c r="CB50" s="69"/>
    </row>
    <row r="51" spans="13:81">
      <c r="P51" s="71"/>
      <c r="Q51" s="71"/>
      <c r="R51" s="10" t="s">
        <v>14</v>
      </c>
      <c r="S51" s="3"/>
      <c r="T51" s="3"/>
      <c r="U51" s="7">
        <f>U3*0.00007</f>
        <v>3.0659999999999998</v>
      </c>
      <c r="V51" s="7">
        <f>U45*0.0002</f>
        <v>8.76</v>
      </c>
      <c r="W51" s="7">
        <f>U45*0.00102</f>
        <v>44.676000000000002</v>
      </c>
      <c r="X51" s="7">
        <f>U45*0.00054</f>
        <v>23.652000000000001</v>
      </c>
      <c r="Y51" s="7"/>
      <c r="Z51" s="7"/>
      <c r="AA51" s="7">
        <f>U45*0.00027</f>
        <v>11.826000000000001</v>
      </c>
      <c r="AB51" s="7">
        <f>U45*0.00034</f>
        <v>14.892000000000001</v>
      </c>
      <c r="AC51" s="69">
        <f>SUM(S51:AB51)</f>
        <v>106.87199999999999</v>
      </c>
      <c r="AD51" s="69"/>
      <c r="AV51" s="76"/>
      <c r="AW51" s="12">
        <v>1</v>
      </c>
      <c r="AX51" s="3"/>
      <c r="AY51" s="3"/>
      <c r="AZ51" s="3"/>
      <c r="BA51" s="3"/>
      <c r="BB51" s="3"/>
      <c r="BC51" s="8">
        <f>AN8*W52</f>
        <v>2967.0120000000002</v>
      </c>
      <c r="BD51" s="8">
        <f t="shared" ref="BD51:BH60" si="15">AO8*X52</f>
        <v>2645.52</v>
      </c>
      <c r="BE51" s="8">
        <f t="shared" si="15"/>
        <v>5930.9579999999996</v>
      </c>
      <c r="BF51" s="8">
        <f t="shared" si="15"/>
        <v>5397.9119999999994</v>
      </c>
      <c r="BG51" s="8">
        <f t="shared" si="15"/>
        <v>3372.6000000000004</v>
      </c>
      <c r="BH51" s="8">
        <f t="shared" si="15"/>
        <v>1132.23</v>
      </c>
      <c r="BI51" s="69">
        <f t="shared" ref="BI51:BI59" si="16">SUM(AY51:BH51)</f>
        <v>21446.232</v>
      </c>
      <c r="BJ51" s="69"/>
      <c r="BN51" s="76"/>
      <c r="BO51" s="12">
        <v>1</v>
      </c>
      <c r="BP51" s="3">
        <f t="shared" ref="BP51:BP60" si="17">AI29*S52</f>
        <v>0</v>
      </c>
      <c r="BQ51" s="3">
        <f t="shared" si="14"/>
        <v>0</v>
      </c>
      <c r="BR51" s="3">
        <f t="shared" si="14"/>
        <v>0</v>
      </c>
      <c r="BS51" s="3">
        <f t="shared" si="14"/>
        <v>0</v>
      </c>
      <c r="BT51" s="3">
        <f t="shared" si="14"/>
        <v>0</v>
      </c>
      <c r="BU51" s="3">
        <f t="shared" si="14"/>
        <v>8432.5949999999993</v>
      </c>
      <c r="BV51" s="3">
        <f t="shared" si="14"/>
        <v>19140.819</v>
      </c>
      <c r="BW51" s="3">
        <f t="shared" si="14"/>
        <v>17093.387999999999</v>
      </c>
      <c r="BX51" s="3">
        <f t="shared" si="14"/>
        <v>11037.6</v>
      </c>
      <c r="BY51" s="3">
        <f t="shared" si="14"/>
        <v>6906.6030000000001</v>
      </c>
      <c r="BZ51" s="3">
        <f t="shared" si="14"/>
        <v>30214.641599999995</v>
      </c>
      <c r="CA51" s="69">
        <f t="shared" ref="CA51:CA59" si="18">SUM(BQ51:BZ51)</f>
        <v>92825.646599999993</v>
      </c>
      <c r="CB51" s="69"/>
    </row>
    <row r="52" spans="13:81">
      <c r="P52" s="71"/>
      <c r="Q52" s="71"/>
      <c r="R52" s="10">
        <v>1</v>
      </c>
      <c r="S52" s="3"/>
      <c r="T52" s="3"/>
      <c r="U52" s="7">
        <f>U45*0.00041</f>
        <v>17.957999999999998</v>
      </c>
      <c r="V52" s="7">
        <f>U45*0.00496</f>
        <v>217.24799999999999</v>
      </c>
      <c r="W52" s="7">
        <f>U45*0.01129</f>
        <v>494.50200000000001</v>
      </c>
      <c r="X52" s="7">
        <f>U45*0.00755</f>
        <v>330.69</v>
      </c>
      <c r="Y52" s="7">
        <f>U45*0.01231</f>
        <v>539.178</v>
      </c>
      <c r="Z52" s="7">
        <f>U45*0.01027</f>
        <v>449.82599999999996</v>
      </c>
      <c r="AA52" s="7">
        <f>U45*0.007</f>
        <v>306.60000000000002</v>
      </c>
      <c r="AB52" s="7">
        <f>U45*0.00517</f>
        <v>226.446</v>
      </c>
      <c r="AC52" s="69">
        <f t="shared" ref="AC52:AC61" si="19">SUM(S52:AB52)</f>
        <v>2582.4479999999999</v>
      </c>
      <c r="AD52" s="69"/>
      <c r="AV52" s="76"/>
      <c r="AW52" s="10">
        <v>1.5</v>
      </c>
      <c r="AX52" s="3"/>
      <c r="AY52" s="3"/>
      <c r="AZ52" s="3"/>
      <c r="BA52" s="3"/>
      <c r="BB52" s="3"/>
      <c r="BC52" s="8">
        <f t="shared" ref="BC52:BC60" si="20">AN9*W53</f>
        <v>10186.566000000001</v>
      </c>
      <c r="BD52" s="8">
        <f t="shared" si="15"/>
        <v>12963.485999999997</v>
      </c>
      <c r="BE52" s="8">
        <f t="shared" si="15"/>
        <v>22786.949999999997</v>
      </c>
      <c r="BF52" s="8">
        <f t="shared" si="15"/>
        <v>43285.788000000008</v>
      </c>
      <c r="BG52" s="8">
        <f t="shared" si="15"/>
        <v>40894.307999999997</v>
      </c>
      <c r="BH52" s="8">
        <f t="shared" si="15"/>
        <v>29606.3472</v>
      </c>
      <c r="BI52" s="69">
        <f t="shared" si="16"/>
        <v>159723.44519999999</v>
      </c>
      <c r="BJ52" s="69"/>
      <c r="BN52" s="76"/>
      <c r="BO52" s="10">
        <v>1.5</v>
      </c>
      <c r="BP52" s="3">
        <f t="shared" si="17"/>
        <v>0</v>
      </c>
      <c r="BQ52" s="3">
        <f t="shared" si="14"/>
        <v>0</v>
      </c>
      <c r="BR52" s="3">
        <f t="shared" si="14"/>
        <v>0</v>
      </c>
      <c r="BS52" s="3">
        <f t="shared" si="14"/>
        <v>0</v>
      </c>
      <c r="BT52" s="3">
        <f t="shared" si="14"/>
        <v>25074.624</v>
      </c>
      <c r="BU52" s="3">
        <f t="shared" si="14"/>
        <v>43847.084999999992</v>
      </c>
      <c r="BV52" s="3">
        <f t="shared" si="14"/>
        <v>72462.500999999989</v>
      </c>
      <c r="BW52" s="3">
        <f t="shared" si="14"/>
        <v>143176.06800000003</v>
      </c>
      <c r="BX52" s="3">
        <f t="shared" si="14"/>
        <v>126615.06899999999</v>
      </c>
      <c r="BY52" s="3">
        <f t="shared" si="14"/>
        <v>133423.34100000001</v>
      </c>
      <c r="BZ52" s="3">
        <f t="shared" si="14"/>
        <v>354080.076</v>
      </c>
      <c r="CA52" s="69">
        <f t="shared" si="18"/>
        <v>898678.76399999997</v>
      </c>
      <c r="CB52" s="69"/>
    </row>
    <row r="53" spans="13:81">
      <c r="P53" s="71"/>
      <c r="Q53" s="71"/>
      <c r="R53" s="10">
        <v>1.5</v>
      </c>
      <c r="S53" s="3"/>
      <c r="T53" s="3"/>
      <c r="U53" s="7">
        <f>U45*0.00007</f>
        <v>3.0659999999999998</v>
      </c>
      <c r="V53" s="7">
        <f>U45*0.00428</f>
        <v>187.464</v>
      </c>
      <c r="W53" s="7">
        <f>U45*0.01789</f>
        <v>783.58199999999999</v>
      </c>
      <c r="X53" s="7">
        <f>U45*0.01741</f>
        <v>762.55799999999988</v>
      </c>
      <c r="Y53" s="7">
        <f>U45*0.02081</f>
        <v>911.47799999999995</v>
      </c>
      <c r="Z53" s="7">
        <f>U45*0.03801</f>
        <v>1664.8380000000002</v>
      </c>
      <c r="AA53" s="7">
        <f>U45*0.03591</f>
        <v>1572.8579999999999</v>
      </c>
      <c r="AB53" s="7">
        <f>U45*0.04447</f>
        <v>1947.7860000000001</v>
      </c>
      <c r="AC53" s="69">
        <f t="shared" si="19"/>
        <v>7833.63</v>
      </c>
      <c r="AD53" s="69"/>
      <c r="AV53" s="76"/>
      <c r="AW53" s="10">
        <v>2</v>
      </c>
      <c r="AX53" s="3"/>
      <c r="AY53" s="3"/>
      <c r="AZ53" s="3"/>
      <c r="BA53" s="3"/>
      <c r="BB53" s="3"/>
      <c r="BC53" s="8">
        <f t="shared" si="20"/>
        <v>12509.28</v>
      </c>
      <c r="BD53" s="8">
        <f t="shared" si="15"/>
        <v>22876.739999999998</v>
      </c>
      <c r="BE53" s="8">
        <f t="shared" si="15"/>
        <v>30661.752000000004</v>
      </c>
      <c r="BF53" s="8">
        <f t="shared" si="15"/>
        <v>45083.340000000004</v>
      </c>
      <c r="BG53" s="8">
        <f t="shared" si="15"/>
        <v>57949.590000000004</v>
      </c>
      <c r="BH53" s="8">
        <f t="shared" si="15"/>
        <v>128491.85519999999</v>
      </c>
      <c r="BI53" s="69">
        <f t="shared" si="16"/>
        <v>297572.55719999998</v>
      </c>
      <c r="BJ53" s="69"/>
      <c r="BN53" s="76"/>
      <c r="BO53" s="10">
        <v>2</v>
      </c>
      <c r="BP53" s="3">
        <f t="shared" si="17"/>
        <v>0</v>
      </c>
      <c r="BQ53" s="3">
        <f t="shared" si="14"/>
        <v>0</v>
      </c>
      <c r="BR53" s="3">
        <f t="shared" si="14"/>
        <v>0</v>
      </c>
      <c r="BS53" s="3">
        <f t="shared" si="14"/>
        <v>0</v>
      </c>
      <c r="BT53" s="3">
        <f t="shared" si="14"/>
        <v>29709.54</v>
      </c>
      <c r="BU53" s="3">
        <f t="shared" si="14"/>
        <v>77399.636999999988</v>
      </c>
      <c r="BV53" s="3">
        <f t="shared" si="14"/>
        <v>98953.83600000001</v>
      </c>
      <c r="BW53" s="3">
        <f t="shared" si="14"/>
        <v>146281.05000000002</v>
      </c>
      <c r="BX53" s="3">
        <f t="shared" si="14"/>
        <v>175698.22500000001</v>
      </c>
      <c r="BY53" s="3">
        <f t="shared" si="14"/>
        <v>565643.4929999999</v>
      </c>
      <c r="BZ53" s="3">
        <f t="shared" si="14"/>
        <v>707122.00439999998</v>
      </c>
      <c r="CA53" s="69">
        <f t="shared" si="18"/>
        <v>1800807.7853999999</v>
      </c>
      <c r="CB53" s="69"/>
    </row>
    <row r="54" spans="13:81">
      <c r="P54" s="71"/>
      <c r="Q54" s="71"/>
      <c r="R54" s="10">
        <v>2</v>
      </c>
      <c r="S54" s="3"/>
      <c r="T54" s="3"/>
      <c r="U54" s="7"/>
      <c r="V54" s="7">
        <f>U45*0.00075</f>
        <v>32.85</v>
      </c>
      <c r="W54" s="7">
        <f>U45*0.0119</f>
        <v>521.22</v>
      </c>
      <c r="X54" s="7">
        <f>U45*0.01741</f>
        <v>762.55799999999988</v>
      </c>
      <c r="Y54" s="7">
        <f>U45*0.01591</f>
        <v>696.85800000000006</v>
      </c>
      <c r="Z54" s="7">
        <f>U45*0.0219</f>
        <v>959.22</v>
      </c>
      <c r="AA54" s="7">
        <f>U45*0.02815</f>
        <v>1232.97</v>
      </c>
      <c r="AB54" s="7">
        <f>U45*0.10629</f>
        <v>4655.5019999999995</v>
      </c>
      <c r="AC54" s="69">
        <f t="shared" si="19"/>
        <v>8861.1779999999999</v>
      </c>
      <c r="AD54" s="69"/>
      <c r="AV54" s="76"/>
      <c r="AW54" s="10">
        <v>2.5</v>
      </c>
      <c r="AX54" s="3"/>
      <c r="AY54" s="3"/>
      <c r="AZ54" s="3"/>
      <c r="BA54" s="3"/>
      <c r="BB54" s="3"/>
      <c r="BC54" s="8">
        <f t="shared" si="20"/>
        <v>3630.1439999999998</v>
      </c>
      <c r="BD54" s="8">
        <f t="shared" si="15"/>
        <v>28985.088000000003</v>
      </c>
      <c r="BE54" s="8">
        <f t="shared" si="15"/>
        <v>55699.145999999993</v>
      </c>
      <c r="BF54" s="8">
        <f t="shared" si="15"/>
        <v>48056.921999999999</v>
      </c>
      <c r="BG54" s="8">
        <f t="shared" si="15"/>
        <v>51957.75</v>
      </c>
      <c r="BH54" s="8">
        <f t="shared" si="15"/>
        <v>173321.856</v>
      </c>
      <c r="BI54" s="69">
        <f t="shared" si="16"/>
        <v>361650.90599999996</v>
      </c>
      <c r="BJ54" s="69"/>
      <c r="BN54" s="76"/>
      <c r="BO54" s="10">
        <v>2.5</v>
      </c>
      <c r="BP54" s="3">
        <f t="shared" si="17"/>
        <v>0</v>
      </c>
      <c r="BQ54" s="3">
        <f t="shared" si="14"/>
        <v>0</v>
      </c>
      <c r="BR54" s="3">
        <f t="shared" si="14"/>
        <v>0</v>
      </c>
      <c r="BS54" s="3">
        <f t="shared" si="14"/>
        <v>0</v>
      </c>
      <c r="BT54" s="3">
        <f t="shared" si="14"/>
        <v>8731.9679999999989</v>
      </c>
      <c r="BU54" s="3">
        <f t="shared" si="14"/>
        <v>98055.936000000016</v>
      </c>
      <c r="BV54" s="3">
        <f t="shared" si="14"/>
        <v>178802.33099999998</v>
      </c>
      <c r="BW54" s="3">
        <f t="shared" si="14"/>
        <v>156678.73199999999</v>
      </c>
      <c r="BX54" s="3">
        <f t="shared" si="14"/>
        <v>158720.25</v>
      </c>
      <c r="BY54" s="3">
        <f t="shared" si="14"/>
        <v>762295.2</v>
      </c>
      <c r="BZ54" s="3">
        <f t="shared" si="14"/>
        <v>863024.24999999988</v>
      </c>
      <c r="CA54" s="69">
        <f t="shared" si="18"/>
        <v>2226308.6669999999</v>
      </c>
      <c r="CB54" s="69"/>
    </row>
    <row r="55" spans="13:81">
      <c r="P55" s="71"/>
      <c r="Q55" s="71"/>
      <c r="R55" s="10">
        <v>2.5</v>
      </c>
      <c r="S55" s="3"/>
      <c r="T55" s="3"/>
      <c r="U55" s="7"/>
      <c r="V55" s="7">
        <f>U46*0.00007</f>
        <v>0</v>
      </c>
      <c r="W55" s="7">
        <f>U45*0.00224</f>
        <v>98.111999999999995</v>
      </c>
      <c r="X55" s="7">
        <f>U45*0.01408</f>
        <v>616.70400000000006</v>
      </c>
      <c r="Y55" s="7">
        <f>U45*0.01843</f>
        <v>807.23399999999992</v>
      </c>
      <c r="Z55" s="7">
        <f>U45*0.01503</f>
        <v>658.31399999999996</v>
      </c>
      <c r="AA55" s="7">
        <f>U45*0.01625</f>
        <v>711.75</v>
      </c>
      <c r="AB55" s="7">
        <f>U45*0.0916</f>
        <v>4012.08</v>
      </c>
      <c r="AC55" s="69">
        <f t="shared" si="19"/>
        <v>6904.1939999999995</v>
      </c>
      <c r="AD55" s="69"/>
      <c r="AV55" s="76"/>
      <c r="AW55" s="10">
        <v>3</v>
      </c>
      <c r="AX55" s="3"/>
      <c r="AY55" s="3"/>
      <c r="AZ55" s="3"/>
      <c r="BA55" s="3"/>
      <c r="BB55" s="3"/>
      <c r="BC55" s="8">
        <f t="shared" si="20"/>
        <v>473.03999999999996</v>
      </c>
      <c r="BD55" s="8">
        <f t="shared" si="15"/>
        <v>8518.2240000000002</v>
      </c>
      <c r="BE55" s="8">
        <f t="shared" si="15"/>
        <v>58365.252</v>
      </c>
      <c r="BF55" s="8">
        <f t="shared" si="15"/>
        <v>48610.116000000002</v>
      </c>
      <c r="BG55" s="8">
        <f t="shared" si="15"/>
        <v>53995.764000000003</v>
      </c>
      <c r="BH55" s="8">
        <f t="shared" si="15"/>
        <v>222516.264</v>
      </c>
      <c r="BI55" s="69">
        <f t="shared" si="16"/>
        <v>392478.66000000003</v>
      </c>
      <c r="BJ55" s="69"/>
      <c r="BN55" s="76"/>
      <c r="BO55" s="10">
        <v>3</v>
      </c>
      <c r="BP55" s="3">
        <f t="shared" si="17"/>
        <v>0</v>
      </c>
      <c r="BQ55" s="3">
        <f t="shared" si="14"/>
        <v>0</v>
      </c>
      <c r="BR55" s="3">
        <f t="shared" si="14"/>
        <v>0</v>
      </c>
      <c r="BS55" s="3">
        <f t="shared" si="14"/>
        <v>0</v>
      </c>
      <c r="BT55" s="3">
        <f t="shared" si="14"/>
        <v>1130.04</v>
      </c>
      <c r="BU55" s="3">
        <f t="shared" si="14"/>
        <v>28686.371999999999</v>
      </c>
      <c r="BV55" s="3">
        <f t="shared" si="14"/>
        <v>187771.038</v>
      </c>
      <c r="BW55" s="3">
        <f t="shared" si="14"/>
        <v>154084.89600000001</v>
      </c>
      <c r="BX55" s="3">
        <f t="shared" si="14"/>
        <v>154601.079</v>
      </c>
      <c r="BY55" s="3">
        <f t="shared" si="14"/>
        <v>908009.91599999997</v>
      </c>
      <c r="BZ55" s="3">
        <f t="shared" si="14"/>
        <v>937293.72000000009</v>
      </c>
      <c r="CA55" s="69">
        <f t="shared" si="18"/>
        <v>2371577.0610000002</v>
      </c>
      <c r="CB55" s="69"/>
    </row>
    <row r="56" spans="13:81" ht="15.75">
      <c r="M56" s="14"/>
      <c r="N56" s="14"/>
      <c r="O56" s="14"/>
      <c r="P56" s="71"/>
      <c r="Q56" s="71"/>
      <c r="R56" s="10">
        <v>3</v>
      </c>
      <c r="S56" s="3"/>
      <c r="T56" s="3"/>
      <c r="U56" s="7"/>
      <c r="V56" s="7"/>
      <c r="W56" s="7">
        <f>U45*0.0002</f>
        <v>8.76</v>
      </c>
      <c r="X56" s="7">
        <f>U45*0.00286</f>
        <v>125.268</v>
      </c>
      <c r="Y56" s="7">
        <f>U45*0.01346</f>
        <v>589.548</v>
      </c>
      <c r="Z56" s="7">
        <f>U45*0.01047</f>
        <v>458.58600000000001</v>
      </c>
      <c r="AA56" s="7">
        <f>U45*0.01163</f>
        <v>509.39400000000001</v>
      </c>
      <c r="AB56" s="7">
        <f>U45*0.08194</f>
        <v>3588.9719999999998</v>
      </c>
      <c r="AC56" s="69">
        <f t="shared" si="19"/>
        <v>5280.5280000000002</v>
      </c>
      <c r="AD56" s="69"/>
      <c r="AV56" s="76"/>
      <c r="AW56" s="10">
        <v>3.5</v>
      </c>
      <c r="AX56" s="3"/>
      <c r="AY56" s="3"/>
      <c r="AZ56" s="3"/>
      <c r="BA56" s="3"/>
      <c r="BB56" s="3"/>
      <c r="BC56" s="8">
        <f t="shared" si="20"/>
        <v>0</v>
      </c>
      <c r="BD56" s="8">
        <f t="shared" si="15"/>
        <v>2424.33</v>
      </c>
      <c r="BE56" s="8">
        <f t="shared" si="15"/>
        <v>34885.824000000001</v>
      </c>
      <c r="BF56" s="8">
        <f t="shared" si="15"/>
        <v>37914.156000000003</v>
      </c>
      <c r="BG56" s="8">
        <f t="shared" si="15"/>
        <v>40176.863999999994</v>
      </c>
      <c r="BH56" s="8">
        <f t="shared" si="15"/>
        <v>192452.82000000004</v>
      </c>
      <c r="BI56" s="69">
        <f t="shared" si="16"/>
        <v>307853.99400000006</v>
      </c>
      <c r="BJ56" s="69"/>
      <c r="BN56" s="76"/>
      <c r="BO56" s="10">
        <v>3.5</v>
      </c>
      <c r="BP56" s="3">
        <f t="shared" si="17"/>
        <v>0</v>
      </c>
      <c r="BQ56" s="3">
        <f t="shared" si="14"/>
        <v>0</v>
      </c>
      <c r="BR56" s="3">
        <f t="shared" si="14"/>
        <v>0</v>
      </c>
      <c r="BS56" s="3">
        <f t="shared" si="14"/>
        <v>0</v>
      </c>
      <c r="BT56" s="3">
        <f t="shared" si="14"/>
        <v>0</v>
      </c>
      <c r="BU56" s="3">
        <f t="shared" si="14"/>
        <v>5602.8959999999997</v>
      </c>
      <c r="BV56" s="3">
        <f t="shared" si="14"/>
        <v>97657.356</v>
      </c>
      <c r="BW56" s="3">
        <f t="shared" si="14"/>
        <v>129991.39200000001</v>
      </c>
      <c r="BX56" s="3">
        <f t="shared" si="14"/>
        <v>124516.39199999999</v>
      </c>
      <c r="BY56" s="3">
        <f t="shared" si="14"/>
        <v>945768.1440000002</v>
      </c>
      <c r="BZ56" s="3">
        <f t="shared" si="14"/>
        <v>831086.86680000019</v>
      </c>
      <c r="CA56" s="69">
        <f t="shared" si="18"/>
        <v>2134623.0468000006</v>
      </c>
      <c r="CB56" s="69"/>
    </row>
    <row r="57" spans="13:81">
      <c r="P57" s="71"/>
      <c r="Q57" s="71"/>
      <c r="R57" s="10">
        <v>3.5</v>
      </c>
      <c r="S57" s="3"/>
      <c r="T57" s="3"/>
      <c r="U57" s="7"/>
      <c r="V57" s="7"/>
      <c r="W57" s="7">
        <v>0</v>
      </c>
      <c r="X57" s="7">
        <f>U45*0.00041</f>
        <v>17.957999999999998</v>
      </c>
      <c r="Y57" s="7">
        <f>U45*0.00524</f>
        <v>229.512</v>
      </c>
      <c r="Z57" s="7">
        <f>U45*0.00687</f>
        <v>300.90600000000001</v>
      </c>
      <c r="AA57" s="7">
        <f>U45*0.00728</f>
        <v>318.86399999999998</v>
      </c>
      <c r="AB57" s="7">
        <f>U45*0.06277</f>
        <v>2749.3260000000005</v>
      </c>
      <c r="AC57" s="69">
        <f t="shared" si="19"/>
        <v>3616.5660000000007</v>
      </c>
      <c r="AD57" s="69"/>
      <c r="AV57" s="76"/>
      <c r="AW57" s="10">
        <v>4</v>
      </c>
      <c r="AX57" s="3"/>
      <c r="AY57" s="3"/>
      <c r="AZ57" s="3"/>
      <c r="BA57" s="3"/>
      <c r="BB57" s="3"/>
      <c r="BC57" s="8">
        <f t="shared" si="20"/>
        <v>0</v>
      </c>
      <c r="BD57" s="8">
        <f t="shared" si="15"/>
        <v>0</v>
      </c>
      <c r="BE57" s="8">
        <f t="shared" si="15"/>
        <v>13008.6</v>
      </c>
      <c r="BF57" s="8">
        <f t="shared" si="15"/>
        <v>28804.631999999998</v>
      </c>
      <c r="BG57" s="8">
        <f t="shared" si="15"/>
        <v>32755.391999999996</v>
      </c>
      <c r="BH57" s="8">
        <f t="shared" si="15"/>
        <v>212649.00000000003</v>
      </c>
      <c r="BI57" s="69">
        <f t="shared" si="16"/>
        <v>287217.62400000001</v>
      </c>
      <c r="BJ57" s="69"/>
      <c r="BN57" s="76"/>
      <c r="BO57" s="10">
        <v>4</v>
      </c>
      <c r="BP57" s="3">
        <f t="shared" si="17"/>
        <v>0</v>
      </c>
      <c r="BQ57" s="3">
        <f t="shared" si="14"/>
        <v>0</v>
      </c>
      <c r="BR57" s="3">
        <f t="shared" si="14"/>
        <v>0</v>
      </c>
      <c r="BS57" s="3">
        <f t="shared" si="14"/>
        <v>0</v>
      </c>
      <c r="BT57" s="3">
        <f t="shared" si="14"/>
        <v>0</v>
      </c>
      <c r="BU57" s="3">
        <f t="shared" si="14"/>
        <v>0</v>
      </c>
      <c r="BV57" s="3">
        <f t="shared" si="14"/>
        <v>34229.700000000004</v>
      </c>
      <c r="BW57" s="3">
        <f t="shared" si="14"/>
        <v>94493.243999999992</v>
      </c>
      <c r="BX57" s="3">
        <f t="shared" si="14"/>
        <v>97267.535999999993</v>
      </c>
      <c r="BY57" s="3">
        <f t="shared" si="14"/>
        <v>864418.18500000006</v>
      </c>
      <c r="BZ57" s="3">
        <f t="shared" si="14"/>
        <v>737402.08319999999</v>
      </c>
      <c r="CA57" s="69">
        <f t="shared" si="18"/>
        <v>1827810.7482</v>
      </c>
      <c r="CB57" s="69"/>
    </row>
    <row r="58" spans="13:81">
      <c r="P58" s="71"/>
      <c r="Q58" s="71"/>
      <c r="R58" s="10">
        <v>4</v>
      </c>
      <c r="S58" s="3"/>
      <c r="T58" s="3"/>
      <c r="U58" s="7"/>
      <c r="V58" s="7"/>
      <c r="W58" s="7"/>
      <c r="X58" s="7"/>
      <c r="Y58" s="7">
        <f>U45*0.0015</f>
        <v>65.7</v>
      </c>
      <c r="Z58" s="7">
        <f>U45*0.00401</f>
        <v>175.63799999999998</v>
      </c>
      <c r="AA58" s="7">
        <f>U45*0.00456</f>
        <v>199.72799999999998</v>
      </c>
      <c r="AB58" s="7">
        <f>U45*0.04855</f>
        <v>2126.4900000000002</v>
      </c>
      <c r="AC58" s="69">
        <f t="shared" si="19"/>
        <v>2567.556</v>
      </c>
      <c r="AD58" s="69"/>
      <c r="AV58" s="76"/>
      <c r="AW58" s="10">
        <v>4.5</v>
      </c>
      <c r="AX58" s="3"/>
      <c r="AY58" s="3"/>
      <c r="AZ58" s="3"/>
      <c r="BA58" s="3"/>
      <c r="BB58" s="3"/>
      <c r="BC58" s="8">
        <f t="shared" si="20"/>
        <v>0</v>
      </c>
      <c r="BD58" s="8">
        <f t="shared" si="15"/>
        <v>0</v>
      </c>
      <c r="BE58" s="8">
        <f t="shared" si="15"/>
        <v>3559.1880000000001</v>
      </c>
      <c r="BF58" s="8">
        <f t="shared" si="15"/>
        <v>14397.06</v>
      </c>
      <c r="BG58" s="8">
        <f t="shared" si="15"/>
        <v>27278.639999999999</v>
      </c>
      <c r="BH58" s="8">
        <f t="shared" si="15"/>
        <v>189088.97999999998</v>
      </c>
      <c r="BI58" s="69">
        <f t="shared" si="16"/>
        <v>234323.86799999999</v>
      </c>
      <c r="BJ58" s="69"/>
      <c r="BN58" s="76"/>
      <c r="BO58" s="10">
        <v>4.5</v>
      </c>
      <c r="BP58" s="3">
        <f t="shared" si="17"/>
        <v>0</v>
      </c>
      <c r="BQ58" s="3">
        <f t="shared" si="14"/>
        <v>0</v>
      </c>
      <c r="BR58" s="3">
        <f t="shared" si="14"/>
        <v>0</v>
      </c>
      <c r="BS58" s="3">
        <f t="shared" si="14"/>
        <v>0</v>
      </c>
      <c r="BT58" s="3">
        <f t="shared" si="14"/>
        <v>0</v>
      </c>
      <c r="BU58" s="3">
        <f t="shared" si="14"/>
        <v>0</v>
      </c>
      <c r="BV58" s="3">
        <f t="shared" si="14"/>
        <v>9359.6220000000012</v>
      </c>
      <c r="BW58" s="3">
        <f t="shared" si="14"/>
        <v>53094.36</v>
      </c>
      <c r="BX58" s="3">
        <f t="shared" si="14"/>
        <v>90823.680000000008</v>
      </c>
      <c r="BY58" s="3">
        <f t="shared" si="14"/>
        <v>822948.12599999993</v>
      </c>
      <c r="BZ58" s="3">
        <f t="shared" si="14"/>
        <v>656845.21079999988</v>
      </c>
      <c r="CA58" s="69">
        <f t="shared" si="18"/>
        <v>1633070.9987999997</v>
      </c>
      <c r="CB58" s="69"/>
    </row>
    <row r="59" spans="13:81">
      <c r="P59" s="71"/>
      <c r="Q59" s="71"/>
      <c r="R59" s="10">
        <v>4.5</v>
      </c>
      <c r="S59" s="3"/>
      <c r="T59" s="3"/>
      <c r="U59" s="7"/>
      <c r="V59" s="7"/>
      <c r="W59" s="7"/>
      <c r="X59" s="7"/>
      <c r="Y59" s="7">
        <f>U45*0.00034</f>
        <v>14.892000000000001</v>
      </c>
      <c r="Z59" s="7">
        <f>U45*0.0019</f>
        <v>83.22</v>
      </c>
      <c r="AA59" s="7">
        <f>U45*0.0036</f>
        <v>157.68</v>
      </c>
      <c r="AB59" s="7">
        <f>U45*0.03754</f>
        <v>1644.252</v>
      </c>
      <c r="AC59" s="69">
        <f t="shared" si="19"/>
        <v>1900.0439999999999</v>
      </c>
      <c r="AD59" s="69"/>
      <c r="AV59" s="76"/>
      <c r="AW59" s="10">
        <v>5</v>
      </c>
      <c r="AX59" s="3"/>
      <c r="AY59" s="3"/>
      <c r="AZ59" s="3"/>
      <c r="BA59" s="3"/>
      <c r="BB59" s="3"/>
      <c r="BC59" s="8">
        <f t="shared" si="20"/>
        <v>0</v>
      </c>
      <c r="BD59" s="8">
        <f t="shared" si="15"/>
        <v>0</v>
      </c>
      <c r="BE59" s="8">
        <f t="shared" si="15"/>
        <v>766.5</v>
      </c>
      <c r="BF59" s="8">
        <f t="shared" si="15"/>
        <v>3843.0119999999997</v>
      </c>
      <c r="BG59" s="8">
        <f t="shared" si="15"/>
        <v>16590.564000000002</v>
      </c>
      <c r="BH59" s="8">
        <f t="shared" si="15"/>
        <v>166623.084</v>
      </c>
      <c r="BI59" s="69">
        <f t="shared" si="16"/>
        <v>187823.16</v>
      </c>
      <c r="BJ59" s="69"/>
      <c r="BN59" s="76"/>
      <c r="BO59" s="10">
        <v>5</v>
      </c>
      <c r="BP59" s="3">
        <f t="shared" si="17"/>
        <v>0</v>
      </c>
      <c r="BQ59" s="3">
        <f t="shared" si="14"/>
        <v>0</v>
      </c>
      <c r="BR59" s="3">
        <f t="shared" si="14"/>
        <v>0</v>
      </c>
      <c r="BS59" s="3">
        <f t="shared" si="14"/>
        <v>0</v>
      </c>
      <c r="BT59" s="3">
        <f t="shared" si="14"/>
        <v>0</v>
      </c>
      <c r="BU59" s="3">
        <f t="shared" si="14"/>
        <v>0</v>
      </c>
      <c r="BV59" s="3">
        <f t="shared" si="14"/>
        <v>2245.8449999999998</v>
      </c>
      <c r="BW59" s="3">
        <f t="shared" si="14"/>
        <v>12911.802</v>
      </c>
      <c r="BX59" s="3">
        <f t="shared" si="14"/>
        <v>52601.391000000011</v>
      </c>
      <c r="BY59" s="3">
        <f t="shared" si="14"/>
        <v>682919.96400000004</v>
      </c>
      <c r="BZ59" s="3">
        <f t="shared" si="14"/>
        <v>520482.75839999999</v>
      </c>
      <c r="CA59" s="69">
        <f t="shared" si="18"/>
        <v>1271161.7604</v>
      </c>
      <c r="CB59" s="69"/>
    </row>
    <row r="60" spans="13:81">
      <c r="P60" s="71"/>
      <c r="Q60" s="71"/>
      <c r="R60" s="10">
        <v>5</v>
      </c>
      <c r="S60" s="3"/>
      <c r="T60" s="3"/>
      <c r="U60" s="7"/>
      <c r="V60" s="7"/>
      <c r="W60" s="7"/>
      <c r="X60" s="7"/>
      <c r="Y60" s="7">
        <f>U45*0.00007</f>
        <v>3.0659999999999998</v>
      </c>
      <c r="Z60" s="7">
        <f>U45*0.00041</f>
        <v>17.957999999999998</v>
      </c>
      <c r="AA60" s="7">
        <f>U45*0.00177</f>
        <v>77.52600000000001</v>
      </c>
      <c r="AB60" s="7">
        <f>U45*0.02679</f>
        <v>1173.402</v>
      </c>
      <c r="AC60" s="69">
        <f t="shared" si="19"/>
        <v>1271.952</v>
      </c>
      <c r="AD60" s="69"/>
      <c r="AV60" s="76"/>
      <c r="AW60" s="10" t="s">
        <v>15</v>
      </c>
      <c r="AX60" s="3"/>
      <c r="AY60" s="3"/>
      <c r="AZ60" s="3"/>
      <c r="BA60" s="3"/>
      <c r="BB60" s="3"/>
      <c r="BC60" s="8">
        <f t="shared" si="20"/>
        <v>0</v>
      </c>
      <c r="BD60" s="8">
        <f t="shared" si="15"/>
        <v>0</v>
      </c>
      <c r="BE60" s="8">
        <f t="shared" si="15"/>
        <v>0</v>
      </c>
      <c r="BF60" s="8">
        <f t="shared" si="15"/>
        <v>1533</v>
      </c>
      <c r="BG60" s="8">
        <f t="shared" si="15"/>
        <v>11935.500000000002</v>
      </c>
      <c r="BH60" s="8">
        <f t="shared" si="15"/>
        <v>485163.83999999997</v>
      </c>
      <c r="BI60" s="69">
        <f>SUM(AY60:BH60)+1</f>
        <v>498633.33999999997</v>
      </c>
      <c r="BJ60" s="69"/>
      <c r="BN60" s="76"/>
      <c r="BO60" s="10" t="s">
        <v>15</v>
      </c>
      <c r="BP60" s="3">
        <f t="shared" si="17"/>
        <v>0</v>
      </c>
      <c r="BQ60" s="3">
        <f t="shared" si="14"/>
        <v>0</v>
      </c>
      <c r="BR60" s="3">
        <f t="shared" si="14"/>
        <v>0</v>
      </c>
      <c r="BS60" s="3">
        <f t="shared" si="14"/>
        <v>0</v>
      </c>
      <c r="BT60" s="3">
        <f t="shared" si="14"/>
        <v>0</v>
      </c>
      <c r="BU60" s="3">
        <f t="shared" si="14"/>
        <v>0</v>
      </c>
      <c r="BV60" s="3">
        <f t="shared" si="14"/>
        <v>0</v>
      </c>
      <c r="BW60" s="3">
        <f t="shared" si="14"/>
        <v>4599</v>
      </c>
      <c r="BX60" s="3">
        <f t="shared" si="14"/>
        <v>35806.5</v>
      </c>
      <c r="BY60" s="3">
        <f t="shared" si="14"/>
        <v>2065331.1839999999</v>
      </c>
      <c r="BZ60" s="3">
        <f t="shared" si="14"/>
        <v>1754652.1775999996</v>
      </c>
      <c r="CA60" s="69">
        <f>SUM(BQ60:BZ60)+1</f>
        <v>3860389.8615999995</v>
      </c>
      <c r="CB60" s="69"/>
    </row>
    <row r="61" spans="13:81">
      <c r="P61" s="71"/>
      <c r="Q61" s="71"/>
      <c r="R61" s="10" t="s">
        <v>15</v>
      </c>
      <c r="S61" s="3"/>
      <c r="T61" s="3"/>
      <c r="U61" s="7"/>
      <c r="V61" s="7"/>
      <c r="W61" s="7"/>
      <c r="X61" s="7"/>
      <c r="Y61" s="7"/>
      <c r="Z61" s="7">
        <f>U45*0.00014</f>
        <v>6.1319999999999997</v>
      </c>
      <c r="AA61" s="7">
        <f>U45*0.00109</f>
        <v>47.742000000000004</v>
      </c>
      <c r="AB61" s="7">
        <f>U45*0.0644</f>
        <v>2820.72</v>
      </c>
      <c r="AC61" s="69">
        <f t="shared" si="19"/>
        <v>2874.5939999999996</v>
      </c>
      <c r="AD61" s="69"/>
      <c r="AV61" s="76"/>
      <c r="AW61" s="47" t="s">
        <v>16</v>
      </c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16"/>
      <c r="BI61" s="70">
        <f>SUM(BI50:BJ60)</f>
        <v>2748723.7864000001</v>
      </c>
      <c r="BJ61" s="70"/>
      <c r="BN61" s="76"/>
      <c r="BO61" s="47" t="s">
        <v>16</v>
      </c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16"/>
      <c r="CA61" s="70">
        <f>SUM(CA50:CB60)</f>
        <v>18117254.3398</v>
      </c>
      <c r="CB61" s="70"/>
    </row>
    <row r="62" spans="13:81">
      <c r="P62" s="71"/>
      <c r="Q62" s="71"/>
      <c r="R62" s="71" t="s">
        <v>16</v>
      </c>
      <c r="S62" s="6"/>
      <c r="T62" s="6"/>
      <c r="U62" s="6"/>
      <c r="V62" s="6"/>
      <c r="W62" s="6"/>
      <c r="X62" s="6"/>
      <c r="Y62" s="6"/>
      <c r="Z62" s="6"/>
      <c r="AA62" s="6"/>
      <c r="AB62" s="6"/>
      <c r="AC62" s="70">
        <f>SUM(AC51:AD61)</f>
        <v>43799.561999999991</v>
      </c>
      <c r="AD62" s="70"/>
      <c r="AV62" s="76"/>
      <c r="AW62" s="13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15"/>
      <c r="BI62" s="70"/>
      <c r="BJ62" s="70"/>
      <c r="BN62" s="76"/>
      <c r="BO62" s="13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15"/>
      <c r="CA62" s="70"/>
      <c r="CB62" s="70"/>
    </row>
    <row r="63" spans="13:81">
      <c r="P63" s="71"/>
      <c r="Q63" s="71"/>
      <c r="R63" s="71"/>
      <c r="S63" s="4"/>
      <c r="T63" s="4"/>
      <c r="U63" s="4"/>
      <c r="V63" s="4"/>
      <c r="W63" s="4"/>
      <c r="X63" s="4"/>
      <c r="Y63" s="4"/>
      <c r="Z63" s="4"/>
      <c r="AA63" s="4"/>
      <c r="AB63" s="4"/>
      <c r="AC63" s="70"/>
      <c r="AD63" s="70"/>
      <c r="AV63" s="77"/>
      <c r="AW63" s="48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17"/>
      <c r="BI63" s="70"/>
      <c r="BJ63" s="70"/>
      <c r="BN63" s="77"/>
      <c r="BO63" s="48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17"/>
      <c r="CA63" s="70"/>
      <c r="CB63" s="70"/>
    </row>
    <row r="64" spans="13:81">
      <c r="P64" s="71"/>
      <c r="Q64" s="71"/>
      <c r="R64" s="71"/>
      <c r="S64" s="5"/>
      <c r="T64" s="5"/>
      <c r="U64" s="5"/>
      <c r="V64" s="5"/>
      <c r="W64" s="5"/>
      <c r="X64" s="5"/>
      <c r="Y64" s="5"/>
      <c r="Z64" s="5"/>
      <c r="AA64" s="5"/>
      <c r="AB64" s="5"/>
      <c r="AC64" s="70"/>
      <c r="AD64" s="70"/>
      <c r="BI64" s="63">
        <f>BI61/5</f>
        <v>549744.75728000002</v>
      </c>
      <c r="BJ64" s="64"/>
      <c r="BK64" s="67" t="s">
        <v>17</v>
      </c>
      <c r="CA64" s="63">
        <f>CA61/5</f>
        <v>3623450.8679599999</v>
      </c>
      <c r="CB64" s="64"/>
      <c r="CC64" s="67" t="s">
        <v>17</v>
      </c>
    </row>
    <row r="65" spans="2:81">
      <c r="BI65" s="65"/>
      <c r="BJ65" s="66"/>
      <c r="BK65" s="68"/>
      <c r="CA65" s="65"/>
      <c r="CB65" s="66"/>
      <c r="CC65" s="68"/>
    </row>
    <row r="66" spans="2:81">
      <c r="U66" s="2" t="s">
        <v>0</v>
      </c>
      <c r="BI66" s="57">
        <f>BI64*0.001</f>
        <v>549.74475728000004</v>
      </c>
      <c r="BJ66" s="58"/>
      <c r="BK66" s="61" t="s">
        <v>18</v>
      </c>
      <c r="CA66" s="57">
        <f>CA64*0.001</f>
        <v>3623.4508679599999</v>
      </c>
      <c r="CB66" s="58"/>
      <c r="CC66" s="61" t="s">
        <v>18</v>
      </c>
    </row>
    <row r="67" spans="2:81">
      <c r="U67">
        <f>(5*8760)</f>
        <v>43800</v>
      </c>
      <c r="BI67" s="59"/>
      <c r="BJ67" s="60"/>
      <c r="BK67" s="62"/>
      <c r="CA67" s="59"/>
      <c r="CB67" s="60"/>
      <c r="CC67" s="62"/>
    </row>
    <row r="68" spans="2:81">
      <c r="B68" t="s">
        <v>25</v>
      </c>
      <c r="E68" t="s">
        <v>26</v>
      </c>
      <c r="AV68" s="2" t="s">
        <v>25</v>
      </c>
      <c r="AW68" s="2"/>
      <c r="AX68" s="2"/>
      <c r="AY68" s="2" t="s">
        <v>26</v>
      </c>
      <c r="BN68" s="2" t="s">
        <v>25</v>
      </c>
      <c r="BO68" s="2"/>
      <c r="BP68" s="2"/>
      <c r="BQ68" s="2" t="s">
        <v>26</v>
      </c>
    </row>
    <row r="70" spans="2:81">
      <c r="P70" s="71" t="s">
        <v>7</v>
      </c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V70" s="71" t="s">
        <v>8</v>
      </c>
      <c r="AW70" s="71"/>
      <c r="AX70" s="72" t="s">
        <v>7</v>
      </c>
      <c r="AY70" s="73"/>
      <c r="AZ70" s="73"/>
      <c r="BA70" s="73"/>
      <c r="BB70" s="73"/>
      <c r="BC70" s="73"/>
      <c r="BD70" s="73"/>
      <c r="BE70" s="73"/>
      <c r="BF70" s="73"/>
      <c r="BG70" s="73"/>
      <c r="BH70" s="73"/>
      <c r="BI70" s="73"/>
      <c r="BJ70" s="74"/>
      <c r="BN70" s="71" t="s">
        <v>8</v>
      </c>
      <c r="BO70" s="71"/>
      <c r="BP70" s="72" t="s">
        <v>7</v>
      </c>
      <c r="BQ70" s="73"/>
      <c r="BR70" s="73"/>
      <c r="BS70" s="73"/>
      <c r="BT70" s="73"/>
      <c r="BU70" s="73"/>
      <c r="BV70" s="73"/>
      <c r="BW70" s="73"/>
      <c r="BX70" s="73"/>
      <c r="BY70" s="73"/>
      <c r="BZ70" s="73"/>
      <c r="CA70" s="73"/>
      <c r="CB70" s="74"/>
    </row>
    <row r="71" spans="2:81"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V71" s="71"/>
      <c r="AW71" s="71"/>
      <c r="AX71" s="11" t="s">
        <v>9</v>
      </c>
      <c r="AY71" s="3">
        <v>2</v>
      </c>
      <c r="AZ71" s="3">
        <v>3</v>
      </c>
      <c r="BA71" s="3">
        <v>4</v>
      </c>
      <c r="BB71" s="3">
        <v>5</v>
      </c>
      <c r="BC71" s="3">
        <v>6</v>
      </c>
      <c r="BD71" s="3">
        <v>7</v>
      </c>
      <c r="BE71" s="3">
        <v>8</v>
      </c>
      <c r="BF71" s="3">
        <v>9</v>
      </c>
      <c r="BG71" s="3">
        <v>10</v>
      </c>
      <c r="BH71" s="3" t="s">
        <v>10</v>
      </c>
      <c r="BI71" s="69" t="s">
        <v>11</v>
      </c>
      <c r="BJ71" s="69"/>
      <c r="BN71" s="71"/>
      <c r="BO71" s="71"/>
      <c r="BP71" s="11" t="s">
        <v>9</v>
      </c>
      <c r="BQ71" s="3">
        <v>2</v>
      </c>
      <c r="BR71" s="3">
        <v>3</v>
      </c>
      <c r="BS71" s="3">
        <v>4</v>
      </c>
      <c r="BT71" s="3">
        <v>5</v>
      </c>
      <c r="BU71" s="3">
        <v>6</v>
      </c>
      <c r="BV71" s="3">
        <v>7</v>
      </c>
      <c r="BW71" s="3">
        <v>8</v>
      </c>
      <c r="BX71" s="3">
        <v>9</v>
      </c>
      <c r="BY71" s="3">
        <v>10</v>
      </c>
      <c r="BZ71" s="3" t="s">
        <v>10</v>
      </c>
      <c r="CA71" s="69" t="s">
        <v>11</v>
      </c>
      <c r="CB71" s="69"/>
    </row>
    <row r="72" spans="2:81">
      <c r="P72" s="71" t="s">
        <v>12</v>
      </c>
      <c r="Q72" s="71"/>
      <c r="R72" s="3" t="s">
        <v>9</v>
      </c>
      <c r="S72" s="3">
        <v>2</v>
      </c>
      <c r="T72" s="3">
        <v>3</v>
      </c>
      <c r="U72" s="3">
        <v>4</v>
      </c>
      <c r="V72" s="3">
        <v>5</v>
      </c>
      <c r="W72" s="3">
        <v>6</v>
      </c>
      <c r="X72" s="3">
        <v>7</v>
      </c>
      <c r="Y72" s="3">
        <v>8</v>
      </c>
      <c r="Z72" s="3">
        <v>9</v>
      </c>
      <c r="AA72" s="3">
        <v>10</v>
      </c>
      <c r="AB72" s="3" t="s">
        <v>10</v>
      </c>
      <c r="AC72" s="69" t="s">
        <v>13</v>
      </c>
      <c r="AD72" s="69"/>
      <c r="AV72" s="75" t="s">
        <v>12</v>
      </c>
      <c r="AW72" s="10" t="s">
        <v>14</v>
      </c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69">
        <f>SUM(AY72:BH72)</f>
        <v>0</v>
      </c>
      <c r="BJ72" s="69"/>
      <c r="BN72" s="75" t="s">
        <v>12</v>
      </c>
      <c r="BO72" s="10" t="s">
        <v>14</v>
      </c>
      <c r="BP72" s="3">
        <f>AI28*S73</f>
        <v>0</v>
      </c>
      <c r="BQ72" s="3">
        <f t="shared" ref="BQ72:BZ82" si="21">AJ28*T73</f>
        <v>0</v>
      </c>
      <c r="BR72" s="3">
        <f t="shared" si="21"/>
        <v>0</v>
      </c>
      <c r="BS72" s="3">
        <f t="shared" si="21"/>
        <v>0</v>
      </c>
      <c r="BT72" s="3">
        <f t="shared" si="21"/>
        <v>0</v>
      </c>
      <c r="BU72" s="3">
        <f t="shared" si="21"/>
        <v>0</v>
      </c>
      <c r="BV72" s="3">
        <f t="shared" si="21"/>
        <v>0</v>
      </c>
      <c r="BW72" s="3">
        <f t="shared" si="21"/>
        <v>0</v>
      </c>
      <c r="BX72" s="3">
        <f t="shared" si="21"/>
        <v>0</v>
      </c>
      <c r="BY72" s="3">
        <f t="shared" si="21"/>
        <v>0</v>
      </c>
      <c r="BZ72" s="3">
        <f t="shared" si="21"/>
        <v>0</v>
      </c>
      <c r="CA72" s="69">
        <f>SUM(BQ72:BZ72)</f>
        <v>0</v>
      </c>
      <c r="CB72" s="69"/>
    </row>
    <row r="73" spans="2:81">
      <c r="P73" s="71"/>
      <c r="Q73" s="71"/>
      <c r="R73" s="10" t="s">
        <v>14</v>
      </c>
      <c r="S73" s="3"/>
      <c r="T73" s="3"/>
      <c r="U73" s="7">
        <f>U67*0.00027</f>
        <v>11.826000000000001</v>
      </c>
      <c r="V73" s="7">
        <f>U67*0.00007</f>
        <v>3.0659999999999998</v>
      </c>
      <c r="W73" s="7">
        <f>U67*0.00007</f>
        <v>3.0659999999999998</v>
      </c>
      <c r="X73" s="7">
        <f>U67*0.0019</f>
        <v>83.22</v>
      </c>
      <c r="Y73" s="7">
        <f>U67*0.00252</f>
        <v>110.376</v>
      </c>
      <c r="Z73" s="7">
        <f>U67*0.00211</f>
        <v>92.417999999999992</v>
      </c>
      <c r="AA73" s="7">
        <f>U67*0.00102</f>
        <v>44.676000000000002</v>
      </c>
      <c r="AB73" s="7">
        <f>U67*0.00075</f>
        <v>32.85</v>
      </c>
      <c r="AC73" s="69">
        <f>SUM(S73:AB73)</f>
        <v>381.49799999999999</v>
      </c>
      <c r="AD73" s="69"/>
      <c r="AV73" s="76"/>
      <c r="AW73" s="12">
        <v>1</v>
      </c>
      <c r="AX73" s="3"/>
      <c r="AY73" s="3"/>
      <c r="AZ73" s="3"/>
      <c r="BA73" s="3"/>
      <c r="BB73" s="3"/>
      <c r="BC73" s="8">
        <f>AN8*W74</f>
        <v>1429.6320000000001</v>
      </c>
      <c r="BD73" s="8">
        <f t="shared" ref="BD73:BH82" si="22">AO8*X74</f>
        <v>2477.328</v>
      </c>
      <c r="BE73" s="8">
        <f t="shared" si="22"/>
        <v>9077.112000000001</v>
      </c>
      <c r="BF73" s="8">
        <f t="shared" si="22"/>
        <v>14406.696</v>
      </c>
      <c r="BG73" s="8">
        <f t="shared" si="22"/>
        <v>11958.276</v>
      </c>
      <c r="BH73" s="8">
        <f t="shared" si="22"/>
        <v>4498.2599999999993</v>
      </c>
      <c r="BI73" s="69">
        <f t="shared" ref="BI73:BI81" si="23">SUM(AY73:BH73)</f>
        <v>43847.304000000004</v>
      </c>
      <c r="BJ73" s="69"/>
      <c r="BN73" s="76"/>
      <c r="BO73" s="12">
        <v>1</v>
      </c>
      <c r="BP73" s="3">
        <f t="shared" ref="BP73:BP82" si="24">AI29*S74</f>
        <v>0</v>
      </c>
      <c r="BQ73" s="3">
        <f t="shared" si="21"/>
        <v>0</v>
      </c>
      <c r="BR73" s="3">
        <f t="shared" si="21"/>
        <v>0</v>
      </c>
      <c r="BS73" s="3">
        <f t="shared" si="21"/>
        <v>0</v>
      </c>
      <c r="BT73" s="3">
        <f t="shared" si="21"/>
        <v>0</v>
      </c>
      <c r="BU73" s="3">
        <f t="shared" si="21"/>
        <v>7896.4830000000002</v>
      </c>
      <c r="BV73" s="3">
        <f t="shared" si="21"/>
        <v>29294.315999999999</v>
      </c>
      <c r="BW73" s="3">
        <f t="shared" si="21"/>
        <v>45621.203999999998</v>
      </c>
      <c r="BX73" s="3">
        <f t="shared" si="21"/>
        <v>39136.175999999999</v>
      </c>
      <c r="BY73" s="3">
        <f t="shared" si="21"/>
        <v>27439.385999999999</v>
      </c>
      <c r="BZ73" s="3">
        <f t="shared" si="21"/>
        <v>58758.6636</v>
      </c>
      <c r="CA73" s="69">
        <f t="shared" ref="CA73:CA81" si="25">SUM(BQ73:BZ73)</f>
        <v>208146.2286</v>
      </c>
      <c r="CB73" s="69"/>
    </row>
    <row r="74" spans="2:81">
      <c r="P74" s="71"/>
      <c r="Q74" s="71"/>
      <c r="R74" s="10">
        <v>1</v>
      </c>
      <c r="S74" s="3"/>
      <c r="T74" s="3"/>
      <c r="U74" s="7">
        <f>U67*0.00238</f>
        <v>104.24400000000001</v>
      </c>
      <c r="V74" s="7">
        <f>U67*0.00816</f>
        <v>357.40800000000002</v>
      </c>
      <c r="W74" s="7">
        <f>U67*0.00544</f>
        <v>238.27200000000002</v>
      </c>
      <c r="X74" s="7">
        <f>U67*0.00707</f>
        <v>309.666</v>
      </c>
      <c r="Y74" s="7">
        <f>U67*0.01884</f>
        <v>825.19200000000001</v>
      </c>
      <c r="Z74" s="7">
        <f>U67*0.02741</f>
        <v>1200.558</v>
      </c>
      <c r="AA74" s="7">
        <f>U67*0.02482</f>
        <v>1087.116</v>
      </c>
      <c r="AB74" s="7">
        <f>U67*0.02054</f>
        <v>899.65199999999993</v>
      </c>
      <c r="AC74" s="69">
        <f t="shared" ref="AC74:AC83" si="26">SUM(S74:AB74)</f>
        <v>5022.1080000000002</v>
      </c>
      <c r="AD74" s="69"/>
      <c r="AV74" s="76"/>
      <c r="AW74" s="10">
        <v>1.5</v>
      </c>
      <c r="AX74" s="3"/>
      <c r="AY74" s="3"/>
      <c r="AZ74" s="3"/>
      <c r="BA74" s="3"/>
      <c r="BB74" s="3"/>
      <c r="BC74" s="8">
        <f t="shared" ref="BC74:BC82" si="27">AN9*W75</f>
        <v>8324.6280000000006</v>
      </c>
      <c r="BD74" s="8">
        <f t="shared" si="22"/>
        <v>4914.3599999999997</v>
      </c>
      <c r="BE74" s="8">
        <f t="shared" si="22"/>
        <v>15045.300000000001</v>
      </c>
      <c r="BF74" s="8">
        <f t="shared" si="22"/>
        <v>36396.048000000003</v>
      </c>
      <c r="BG74" s="8">
        <f t="shared" si="22"/>
        <v>48865.907999999996</v>
      </c>
      <c r="BH74" s="8">
        <f t="shared" si="22"/>
        <v>36443.702400000002</v>
      </c>
      <c r="BI74" s="69">
        <f t="shared" si="23"/>
        <v>149989.94640000002</v>
      </c>
      <c r="BJ74" s="69"/>
      <c r="BN74" s="76"/>
      <c r="BO74" s="10">
        <v>1.5</v>
      </c>
      <c r="BP74" s="3">
        <f t="shared" si="24"/>
        <v>0</v>
      </c>
      <c r="BQ74" s="3">
        <f t="shared" si="21"/>
        <v>0</v>
      </c>
      <c r="BR74" s="3">
        <f t="shared" si="21"/>
        <v>0</v>
      </c>
      <c r="BS74" s="3">
        <f t="shared" si="21"/>
        <v>0</v>
      </c>
      <c r="BT74" s="3">
        <f t="shared" si="21"/>
        <v>20491.392</v>
      </c>
      <c r="BU74" s="3">
        <f t="shared" si="21"/>
        <v>16622.099999999999</v>
      </c>
      <c r="BV74" s="3">
        <f t="shared" si="21"/>
        <v>47844.054000000004</v>
      </c>
      <c r="BW74" s="3">
        <f t="shared" si="21"/>
        <v>120386.92800000001</v>
      </c>
      <c r="BX74" s="3">
        <f t="shared" si="21"/>
        <v>151296.36899999998</v>
      </c>
      <c r="BY74" s="3">
        <f t="shared" si="21"/>
        <v>164236.42199999999</v>
      </c>
      <c r="BZ74" s="3">
        <f t="shared" si="21"/>
        <v>346347.80240000004</v>
      </c>
      <c r="CA74" s="69">
        <f t="shared" si="25"/>
        <v>867225.06740000006</v>
      </c>
      <c r="CB74" s="69"/>
    </row>
    <row r="75" spans="2:81">
      <c r="P75" s="71"/>
      <c r="Q75" s="71"/>
      <c r="R75" s="10">
        <v>1.5</v>
      </c>
      <c r="S75" s="3"/>
      <c r="T75" s="3"/>
      <c r="U75" s="7">
        <f>U67*0.00042</f>
        <v>18.396000000000001</v>
      </c>
      <c r="V75" s="7">
        <f>U67*0.01</f>
        <v>438</v>
      </c>
      <c r="W75" s="7">
        <f>U67*0.01462</f>
        <v>640.35599999999999</v>
      </c>
      <c r="X75" s="7">
        <f>U67*0.0066</f>
        <v>289.08</v>
      </c>
      <c r="Y75" s="7">
        <f>U67*0.01374</f>
        <v>601.81200000000001</v>
      </c>
      <c r="Z75" s="7">
        <f>U67*0.03196</f>
        <v>1399.8480000000002</v>
      </c>
      <c r="AA75" s="7">
        <f>U67*0.04291</f>
        <v>1879.4579999999999</v>
      </c>
      <c r="AB75" s="7">
        <f>U67*0.05474</f>
        <v>2397.6120000000001</v>
      </c>
      <c r="AC75" s="69">
        <f>SUM(S75:AB75)-2</f>
        <v>7662.5619999999999</v>
      </c>
      <c r="AD75" s="69"/>
      <c r="AV75" s="76"/>
      <c r="AW75" s="10">
        <v>2</v>
      </c>
      <c r="AX75" s="3"/>
      <c r="AY75" s="3"/>
      <c r="AZ75" s="3"/>
      <c r="BA75" s="3"/>
      <c r="BB75" s="3"/>
      <c r="BC75" s="8">
        <f t="shared" si="27"/>
        <v>19657.440000000002</v>
      </c>
      <c r="BD75" s="8">
        <f t="shared" si="22"/>
        <v>13665.599999999999</v>
      </c>
      <c r="BE75" s="8">
        <f t="shared" si="22"/>
        <v>14030.016</v>
      </c>
      <c r="BF75" s="8">
        <f t="shared" si="22"/>
        <v>29108.603999999999</v>
      </c>
      <c r="BG75" s="8">
        <f t="shared" si="22"/>
        <v>43951.11</v>
      </c>
      <c r="BH75" s="8">
        <f t="shared" si="22"/>
        <v>93639.844800000006</v>
      </c>
      <c r="BI75" s="69">
        <f t="shared" si="23"/>
        <v>214052.61480000001</v>
      </c>
      <c r="BJ75" s="69"/>
      <c r="BN75" s="76"/>
      <c r="BO75" s="10">
        <v>2</v>
      </c>
      <c r="BP75" s="3">
        <f t="shared" si="24"/>
        <v>0</v>
      </c>
      <c r="BQ75" s="3">
        <f t="shared" si="21"/>
        <v>0</v>
      </c>
      <c r="BR75" s="3">
        <f t="shared" si="21"/>
        <v>0</v>
      </c>
      <c r="BS75" s="3">
        <f t="shared" si="21"/>
        <v>0</v>
      </c>
      <c r="BT75" s="3">
        <f t="shared" si="21"/>
        <v>46686.420000000006</v>
      </c>
      <c r="BU75" s="3">
        <f t="shared" si="21"/>
        <v>46235.28</v>
      </c>
      <c r="BV75" s="3">
        <f t="shared" si="21"/>
        <v>45278.687999999995</v>
      </c>
      <c r="BW75" s="3">
        <f t="shared" si="21"/>
        <v>94448.13</v>
      </c>
      <c r="BX75" s="3">
        <f t="shared" si="21"/>
        <v>133256.02499999999</v>
      </c>
      <c r="BY75" s="3">
        <f t="shared" si="21"/>
        <v>412218.88199999998</v>
      </c>
      <c r="BZ75" s="3">
        <f t="shared" si="21"/>
        <v>528829.81200000003</v>
      </c>
      <c r="CA75" s="69">
        <f t="shared" si="25"/>
        <v>1306953.2370000002</v>
      </c>
      <c r="CB75" s="69"/>
    </row>
    <row r="76" spans="2:81">
      <c r="P76" s="71"/>
      <c r="Q76" s="71"/>
      <c r="R76" s="10">
        <v>2</v>
      </c>
      <c r="S76" s="3"/>
      <c r="T76" s="3"/>
      <c r="U76" s="7"/>
      <c r="V76" s="7">
        <f>U67*0.00197</f>
        <v>86.286000000000001</v>
      </c>
      <c r="W76" s="7">
        <f>U67*0.0187</f>
        <v>819.06000000000006</v>
      </c>
      <c r="X76" s="7">
        <f>U67*0.0104</f>
        <v>455.52</v>
      </c>
      <c r="Y76" s="7">
        <f>U67*0.00728</f>
        <v>318.86399999999998</v>
      </c>
      <c r="Z76" s="7">
        <f>U67*0.01414</f>
        <v>619.33199999999999</v>
      </c>
      <c r="AA76" s="7">
        <f>U67*0.02135</f>
        <v>935.13</v>
      </c>
      <c r="AB76" s="7">
        <f>U67*0.07746</f>
        <v>3392.748</v>
      </c>
      <c r="AC76" s="69">
        <f t="shared" si="26"/>
        <v>6626.9400000000005</v>
      </c>
      <c r="AD76" s="69"/>
      <c r="AV76" s="76"/>
      <c r="AW76" s="10">
        <v>2.5</v>
      </c>
      <c r="AX76" s="3"/>
      <c r="AY76" s="3"/>
      <c r="AZ76" s="3"/>
      <c r="BA76" s="3"/>
      <c r="BB76" s="3"/>
      <c r="BC76" s="8">
        <f t="shared" si="27"/>
        <v>9804.630000000001</v>
      </c>
      <c r="BD76" s="8">
        <f t="shared" si="22"/>
        <v>34152.173999999999</v>
      </c>
      <c r="BE76" s="8">
        <f t="shared" si="22"/>
        <v>22606.055999999997</v>
      </c>
      <c r="BF76" s="8">
        <f t="shared" si="22"/>
        <v>25866.966</v>
      </c>
      <c r="BG76" s="8">
        <f t="shared" si="22"/>
        <v>38049.060000000005</v>
      </c>
      <c r="BH76" s="8">
        <f t="shared" si="22"/>
        <v>140379.35040000002</v>
      </c>
      <c r="BI76" s="69">
        <f t="shared" si="23"/>
        <v>270858.23640000005</v>
      </c>
      <c r="BJ76" s="69"/>
      <c r="BN76" s="76"/>
      <c r="BO76" s="10">
        <v>2.5</v>
      </c>
      <c r="BP76" s="3">
        <f t="shared" si="24"/>
        <v>0</v>
      </c>
      <c r="BQ76" s="3">
        <f t="shared" si="21"/>
        <v>0</v>
      </c>
      <c r="BR76" s="3">
        <f t="shared" si="21"/>
        <v>0</v>
      </c>
      <c r="BS76" s="3">
        <f t="shared" si="21"/>
        <v>0</v>
      </c>
      <c r="BT76" s="3">
        <f t="shared" si="21"/>
        <v>23584.11</v>
      </c>
      <c r="BU76" s="3">
        <f t="shared" si="21"/>
        <v>115536.07800000001</v>
      </c>
      <c r="BV76" s="3">
        <f t="shared" si="21"/>
        <v>72568.715999999986</v>
      </c>
      <c r="BW76" s="3">
        <f t="shared" si="21"/>
        <v>84333.395999999993</v>
      </c>
      <c r="BX76" s="3">
        <f t="shared" si="21"/>
        <v>116232.06000000001</v>
      </c>
      <c r="BY76" s="3">
        <f t="shared" si="21"/>
        <v>617409.18000000005</v>
      </c>
      <c r="BZ76" s="3">
        <f t="shared" si="21"/>
        <v>682020.75000000012</v>
      </c>
      <c r="CA76" s="69">
        <f t="shared" si="25"/>
        <v>1711684.29</v>
      </c>
      <c r="CB76" s="69"/>
    </row>
    <row r="77" spans="2:81">
      <c r="P77" s="71"/>
      <c r="Q77" s="71"/>
      <c r="R77" s="10">
        <v>2.5</v>
      </c>
      <c r="S77" s="3"/>
      <c r="T77" s="3"/>
      <c r="U77" s="7"/>
      <c r="V77" s="7">
        <f>U67*0.00027</f>
        <v>11.826000000000001</v>
      </c>
      <c r="W77" s="7">
        <f>U67*0.00605</f>
        <v>264.99</v>
      </c>
      <c r="X77" s="7">
        <f>U67*0.01659</f>
        <v>726.64200000000005</v>
      </c>
      <c r="Y77" s="7">
        <f>U67*0.00748</f>
        <v>327.62399999999997</v>
      </c>
      <c r="Z77" s="7">
        <f>U67*0.00809</f>
        <v>354.34199999999998</v>
      </c>
      <c r="AA77" s="7">
        <f>U67*0.0119</f>
        <v>521.22</v>
      </c>
      <c r="AB77" s="7">
        <f>U67*0.07419</f>
        <v>3249.5220000000004</v>
      </c>
      <c r="AC77" s="69">
        <f t="shared" si="26"/>
        <v>5456.1660000000011</v>
      </c>
      <c r="AD77" s="69"/>
      <c r="AV77" s="76"/>
      <c r="AW77" s="10">
        <v>3</v>
      </c>
      <c r="AX77" s="3"/>
      <c r="AY77" s="3"/>
      <c r="AZ77" s="3"/>
      <c r="BA77" s="3"/>
      <c r="BB77" s="3"/>
      <c r="BC77" s="8">
        <f t="shared" si="27"/>
        <v>1277.2080000000001</v>
      </c>
      <c r="BD77" s="8">
        <f t="shared" si="22"/>
        <v>24720.720000000001</v>
      </c>
      <c r="BE77" s="8">
        <f t="shared" si="22"/>
        <v>33605.549999999996</v>
      </c>
      <c r="BF77" s="8">
        <f t="shared" si="22"/>
        <v>30317.484</v>
      </c>
      <c r="BG77" s="8">
        <f t="shared" si="22"/>
        <v>42620.904000000002</v>
      </c>
      <c r="BH77" s="8">
        <f t="shared" si="22"/>
        <v>192617.50800000003</v>
      </c>
      <c r="BI77" s="69">
        <f t="shared" si="23"/>
        <v>325159.37400000007</v>
      </c>
      <c r="BJ77" s="69"/>
      <c r="BN77" s="76"/>
      <c r="BO77" s="10">
        <v>3</v>
      </c>
      <c r="BP77" s="3">
        <f t="shared" si="24"/>
        <v>0</v>
      </c>
      <c r="BQ77" s="3">
        <f t="shared" si="21"/>
        <v>0</v>
      </c>
      <c r="BR77" s="3">
        <f t="shared" si="21"/>
        <v>0</v>
      </c>
      <c r="BS77" s="3">
        <f t="shared" si="21"/>
        <v>0</v>
      </c>
      <c r="BT77" s="3">
        <f t="shared" si="21"/>
        <v>3051.1080000000002</v>
      </c>
      <c r="BU77" s="3">
        <f t="shared" si="21"/>
        <v>83250.66</v>
      </c>
      <c r="BV77" s="3">
        <f t="shared" si="21"/>
        <v>108114.825</v>
      </c>
      <c r="BW77" s="3">
        <f t="shared" si="21"/>
        <v>96100.703999999998</v>
      </c>
      <c r="BX77" s="3">
        <f t="shared" si="21"/>
        <v>122032.49400000001</v>
      </c>
      <c r="BY77" s="3">
        <f t="shared" si="21"/>
        <v>786003.70200000005</v>
      </c>
      <c r="BZ77" s="3">
        <f t="shared" si="21"/>
        <v>804116.53500000003</v>
      </c>
      <c r="CA77" s="69">
        <f t="shared" si="25"/>
        <v>2002670.0279999999</v>
      </c>
      <c r="CB77" s="69"/>
    </row>
    <row r="78" spans="2:81" ht="15.75">
      <c r="M78" s="14"/>
      <c r="N78" s="14"/>
      <c r="O78" s="14"/>
      <c r="P78" s="71"/>
      <c r="Q78" s="71"/>
      <c r="R78" s="10">
        <v>3</v>
      </c>
      <c r="S78" s="3"/>
      <c r="T78" s="3"/>
      <c r="U78" s="7"/>
      <c r="V78" s="7">
        <f>U67*0.0002</f>
        <v>8.76</v>
      </c>
      <c r="W78" s="7">
        <f>U67*0.00054</f>
        <v>23.652000000000001</v>
      </c>
      <c r="X78" s="7">
        <f>U67*0.0083</f>
        <v>363.54</v>
      </c>
      <c r="Y78" s="7">
        <f>U67*0.00775</f>
        <v>339.45</v>
      </c>
      <c r="Z78" s="7">
        <f>U67*0.00653</f>
        <v>286.01400000000001</v>
      </c>
      <c r="AA78" s="7">
        <f>U67*0.00918</f>
        <v>402.084</v>
      </c>
      <c r="AB78" s="7">
        <f>U67*0.07093</f>
        <v>3106.7340000000004</v>
      </c>
      <c r="AC78" s="69">
        <f t="shared" si="26"/>
        <v>4530.2340000000004</v>
      </c>
      <c r="AD78" s="69"/>
      <c r="AV78" s="76"/>
      <c r="AW78" s="10">
        <v>3.5</v>
      </c>
      <c r="AX78" s="3"/>
      <c r="AY78" s="3"/>
      <c r="AZ78" s="3"/>
      <c r="BA78" s="3"/>
      <c r="BB78" s="3"/>
      <c r="BC78" s="8">
        <f t="shared" si="27"/>
        <v>570.27599999999995</v>
      </c>
      <c r="BD78" s="8">
        <f t="shared" si="22"/>
        <v>14486.85</v>
      </c>
      <c r="BE78" s="8">
        <f t="shared" si="22"/>
        <v>58853.184000000001</v>
      </c>
      <c r="BF78" s="8">
        <f t="shared" si="22"/>
        <v>33775.055999999997</v>
      </c>
      <c r="BG78" s="8">
        <f t="shared" si="22"/>
        <v>37914.156000000003</v>
      </c>
      <c r="BH78" s="8">
        <f t="shared" si="22"/>
        <v>179728.92</v>
      </c>
      <c r="BI78" s="69">
        <f t="shared" si="23"/>
        <v>325328.44200000004</v>
      </c>
      <c r="BJ78" s="69"/>
      <c r="BN78" s="76"/>
      <c r="BO78" s="10">
        <v>3.5</v>
      </c>
      <c r="BP78" s="3">
        <f t="shared" si="24"/>
        <v>0</v>
      </c>
      <c r="BQ78" s="3">
        <f t="shared" si="21"/>
        <v>0</v>
      </c>
      <c r="BR78" s="3">
        <f t="shared" si="21"/>
        <v>0</v>
      </c>
      <c r="BS78" s="3">
        <f t="shared" si="21"/>
        <v>0</v>
      </c>
      <c r="BT78" s="3">
        <f t="shared" si="21"/>
        <v>0</v>
      </c>
      <c r="BU78" s="3">
        <f t="shared" si="21"/>
        <v>33480.720000000001</v>
      </c>
      <c r="BV78" s="3">
        <f t="shared" si="21"/>
        <v>164750.196</v>
      </c>
      <c r="BW78" s="3">
        <f t="shared" si="21"/>
        <v>115800.192</v>
      </c>
      <c r="BX78" s="3">
        <f t="shared" si="21"/>
        <v>117503.79300000001</v>
      </c>
      <c r="BY78" s="3">
        <f t="shared" si="21"/>
        <v>883239.26399999997</v>
      </c>
      <c r="BZ78" s="3">
        <f t="shared" si="21"/>
        <v>836522.09640000004</v>
      </c>
      <c r="CA78" s="69">
        <f t="shared" si="25"/>
        <v>2151296.2614000002</v>
      </c>
      <c r="CB78" s="69"/>
    </row>
    <row r="79" spans="2:81">
      <c r="P79" s="71"/>
      <c r="Q79" s="71"/>
      <c r="R79" s="10">
        <v>3.5</v>
      </c>
      <c r="S79" s="3"/>
      <c r="T79" s="3"/>
      <c r="U79" s="7"/>
      <c r="V79" s="7">
        <f>U67*0.00007</f>
        <v>3.0659999999999998</v>
      </c>
      <c r="W79" s="7">
        <f>U67*0.00014</f>
        <v>6.1319999999999997</v>
      </c>
      <c r="X79" s="7">
        <f>U67*0.00245</f>
        <v>107.31</v>
      </c>
      <c r="Y79" s="7">
        <f>U67*0.00884</f>
        <v>387.19200000000001</v>
      </c>
      <c r="Z79" s="7">
        <f>U67*0.00612</f>
        <v>268.05599999999998</v>
      </c>
      <c r="AA79" s="7">
        <f>U67*0.00687</f>
        <v>300.90600000000001</v>
      </c>
      <c r="AB79" s="7">
        <f>U67*0.05862</f>
        <v>2567.556</v>
      </c>
      <c r="AC79" s="69">
        <f t="shared" si="26"/>
        <v>3640.2179999999998</v>
      </c>
      <c r="AD79" s="69"/>
      <c r="AV79" s="76"/>
      <c r="AW79" s="10">
        <v>4</v>
      </c>
      <c r="AX79" s="3"/>
      <c r="AY79" s="3"/>
      <c r="AZ79" s="3"/>
      <c r="BA79" s="3"/>
      <c r="BB79" s="3"/>
      <c r="BC79" s="8">
        <f t="shared" si="27"/>
        <v>0</v>
      </c>
      <c r="BD79" s="8">
        <f t="shared" si="22"/>
        <v>4702.3680000000004</v>
      </c>
      <c r="BE79" s="8">
        <f t="shared" si="22"/>
        <v>45963.72</v>
      </c>
      <c r="BF79" s="8">
        <f t="shared" si="22"/>
        <v>30313.103999999996</v>
      </c>
      <c r="BG79" s="8">
        <f t="shared" si="22"/>
        <v>35197.68</v>
      </c>
      <c r="BH79" s="8">
        <f t="shared" si="22"/>
        <v>221321.4</v>
      </c>
      <c r="BI79" s="69">
        <f t="shared" si="23"/>
        <v>337498.272</v>
      </c>
      <c r="BJ79" s="69"/>
      <c r="BN79" s="76"/>
      <c r="BO79" s="10">
        <v>4</v>
      </c>
      <c r="BP79" s="3">
        <f t="shared" si="24"/>
        <v>0</v>
      </c>
      <c r="BQ79" s="3">
        <f t="shared" si="21"/>
        <v>0</v>
      </c>
      <c r="BR79" s="3">
        <f t="shared" si="21"/>
        <v>0</v>
      </c>
      <c r="BS79" s="3">
        <f t="shared" si="21"/>
        <v>0</v>
      </c>
      <c r="BT79" s="3">
        <f t="shared" si="21"/>
        <v>0</v>
      </c>
      <c r="BU79" s="3">
        <f t="shared" si="21"/>
        <v>12343.716</v>
      </c>
      <c r="BV79" s="3">
        <f t="shared" si="21"/>
        <v>120944.94</v>
      </c>
      <c r="BW79" s="3">
        <f t="shared" si="21"/>
        <v>99441.767999999996</v>
      </c>
      <c r="BX79" s="3">
        <f t="shared" si="21"/>
        <v>104519.94</v>
      </c>
      <c r="BY79" s="3">
        <f t="shared" si="21"/>
        <v>899671.49099999992</v>
      </c>
      <c r="BZ79" s="3">
        <f t="shared" si="21"/>
        <v>824702.84159999993</v>
      </c>
      <c r="CA79" s="69">
        <f t="shared" si="25"/>
        <v>2061624.6965999999</v>
      </c>
      <c r="CB79" s="69"/>
    </row>
    <row r="80" spans="2:81">
      <c r="P80" s="71"/>
      <c r="Q80" s="71"/>
      <c r="R80" s="10">
        <v>4</v>
      </c>
      <c r="S80" s="3"/>
      <c r="T80" s="3"/>
      <c r="U80" s="7"/>
      <c r="V80" s="7"/>
      <c r="W80" s="7"/>
      <c r="X80" s="7">
        <f>U67*0.00061</f>
        <v>26.718</v>
      </c>
      <c r="Y80" s="7">
        <f>U67*0.0053</f>
        <v>232.14000000000001</v>
      </c>
      <c r="Z80" s="7">
        <f>U67*0.00422</f>
        <v>184.83599999999998</v>
      </c>
      <c r="AA80" s="7">
        <f>U67*0.0049</f>
        <v>214.62</v>
      </c>
      <c r="AB80" s="7">
        <f>U67*0.05053</f>
        <v>2213.2139999999999</v>
      </c>
      <c r="AC80" s="69">
        <f t="shared" si="26"/>
        <v>2871.5279999999998</v>
      </c>
      <c r="AD80" s="69"/>
      <c r="AV80" s="76"/>
      <c r="AW80" s="10">
        <v>4.5</v>
      </c>
      <c r="AX80" s="3"/>
      <c r="AY80" s="3"/>
      <c r="AZ80" s="3"/>
      <c r="BA80" s="3"/>
      <c r="BB80" s="3"/>
      <c r="BC80" s="8">
        <f t="shared" si="27"/>
        <v>683.71799999999996</v>
      </c>
      <c r="BD80" s="8">
        <f t="shared" si="22"/>
        <v>0</v>
      </c>
      <c r="BE80" s="8">
        <f t="shared" si="22"/>
        <v>13503.977999999999</v>
      </c>
      <c r="BF80" s="8">
        <f t="shared" si="22"/>
        <v>21671.364000000001</v>
      </c>
      <c r="BG80" s="8">
        <f t="shared" si="22"/>
        <v>23717.261999999999</v>
      </c>
      <c r="BH80" s="8">
        <f t="shared" si="22"/>
        <v>206567.36999999997</v>
      </c>
      <c r="BI80" s="69">
        <f t="shared" si="23"/>
        <v>266143.69199999998</v>
      </c>
      <c r="BJ80" s="69"/>
      <c r="BN80" s="76"/>
      <c r="BO80" s="10">
        <v>4.5</v>
      </c>
      <c r="BP80" s="3">
        <f t="shared" si="24"/>
        <v>0</v>
      </c>
      <c r="BQ80" s="3">
        <f t="shared" si="21"/>
        <v>0</v>
      </c>
      <c r="BR80" s="3">
        <f t="shared" si="21"/>
        <v>0</v>
      </c>
      <c r="BS80" s="3">
        <f t="shared" si="21"/>
        <v>0</v>
      </c>
      <c r="BT80" s="3">
        <f t="shared" si="21"/>
        <v>0</v>
      </c>
      <c r="BU80" s="3">
        <f t="shared" si="21"/>
        <v>0</v>
      </c>
      <c r="BV80" s="3">
        <f t="shared" si="21"/>
        <v>35511.506999999998</v>
      </c>
      <c r="BW80" s="3">
        <f t="shared" si="21"/>
        <v>79920.983999999997</v>
      </c>
      <c r="BX80" s="3">
        <f t="shared" si="21"/>
        <v>78966.144</v>
      </c>
      <c r="BY80" s="3">
        <f t="shared" si="21"/>
        <v>899017.11899999995</v>
      </c>
      <c r="BZ80" s="3">
        <f t="shared" si="21"/>
        <v>732250.67759999982</v>
      </c>
      <c r="CA80" s="69">
        <f t="shared" si="25"/>
        <v>1825666.4315999998</v>
      </c>
      <c r="CB80" s="69"/>
    </row>
    <row r="81" spans="2:81">
      <c r="P81" s="71"/>
      <c r="Q81" s="71"/>
      <c r="R81" s="10">
        <v>4.5</v>
      </c>
      <c r="S81" s="3"/>
      <c r="T81" s="3"/>
      <c r="U81" s="7"/>
      <c r="V81" s="7"/>
      <c r="W81" s="7">
        <f>U67*0.00007</f>
        <v>3.0659999999999998</v>
      </c>
      <c r="X81" s="7"/>
      <c r="Y81" s="7">
        <f>U67*0.00129</f>
        <v>56.501999999999995</v>
      </c>
      <c r="Z81" s="7">
        <f>U67*0.00286</f>
        <v>125.268</v>
      </c>
      <c r="AA81" s="7">
        <f>U67*0.00313</f>
        <v>137.09399999999999</v>
      </c>
      <c r="AB81" s="7">
        <f>U67*0.04101</f>
        <v>1796.2379999999998</v>
      </c>
      <c r="AC81" s="69">
        <f t="shared" si="26"/>
        <v>2118.1679999999997</v>
      </c>
      <c r="AD81" s="69"/>
      <c r="AV81" s="76"/>
      <c r="AW81" s="10">
        <v>5</v>
      </c>
      <c r="AX81" s="3"/>
      <c r="AY81" s="3"/>
      <c r="AZ81" s="3"/>
      <c r="BA81" s="3"/>
      <c r="BB81" s="3"/>
      <c r="BC81" s="8">
        <f t="shared" si="27"/>
        <v>0</v>
      </c>
      <c r="BD81" s="8">
        <f t="shared" si="22"/>
        <v>766.5</v>
      </c>
      <c r="BE81" s="8">
        <f t="shared" si="22"/>
        <v>5256</v>
      </c>
      <c r="BF81" s="8">
        <f t="shared" si="22"/>
        <v>33181.128000000004</v>
      </c>
      <c r="BG81" s="8">
        <f t="shared" si="22"/>
        <v>18465.204000000002</v>
      </c>
      <c r="BH81" s="8">
        <f t="shared" si="22"/>
        <v>166249.90800000002</v>
      </c>
      <c r="BI81" s="69">
        <f t="shared" si="23"/>
        <v>223918.74000000005</v>
      </c>
      <c r="BJ81" s="69"/>
      <c r="BN81" s="76"/>
      <c r="BO81" s="10">
        <v>5</v>
      </c>
      <c r="BP81" s="3">
        <f t="shared" si="24"/>
        <v>0</v>
      </c>
      <c r="BQ81" s="3">
        <f t="shared" si="21"/>
        <v>0</v>
      </c>
      <c r="BR81" s="3">
        <f t="shared" si="21"/>
        <v>0</v>
      </c>
      <c r="BS81" s="3">
        <f t="shared" si="21"/>
        <v>0</v>
      </c>
      <c r="BT81" s="3">
        <f t="shared" si="21"/>
        <v>0</v>
      </c>
      <c r="BU81" s="3">
        <f t="shared" si="21"/>
        <v>0</v>
      </c>
      <c r="BV81" s="3">
        <f t="shared" si="21"/>
        <v>15400.08</v>
      </c>
      <c r="BW81" s="3">
        <f t="shared" si="21"/>
        <v>111482.38800000002</v>
      </c>
      <c r="BX81" s="3">
        <f t="shared" si="21"/>
        <v>58545.050999999999</v>
      </c>
      <c r="BY81" s="3">
        <f t="shared" si="21"/>
        <v>681390.46800000011</v>
      </c>
      <c r="BZ81" s="3">
        <f t="shared" si="21"/>
        <v>587693.85840000003</v>
      </c>
      <c r="CA81" s="69">
        <f t="shared" si="25"/>
        <v>1454511.8454000002</v>
      </c>
      <c r="CB81" s="69"/>
    </row>
    <row r="82" spans="2:81">
      <c r="P82" s="71"/>
      <c r="Q82" s="71"/>
      <c r="R82" s="10">
        <v>5</v>
      </c>
      <c r="S82" s="3"/>
      <c r="T82" s="3"/>
      <c r="U82" s="7"/>
      <c r="V82" s="7"/>
      <c r="W82" s="7"/>
      <c r="X82" s="7">
        <f>U67*0.00007</f>
        <v>3.0659999999999998</v>
      </c>
      <c r="Y82" s="7">
        <f>U67*0.00048</f>
        <v>21.024000000000001</v>
      </c>
      <c r="Z82" s="7">
        <f>U67*0.00354</f>
        <v>155.05200000000002</v>
      </c>
      <c r="AA82" s="7">
        <f>U67*0.00197</f>
        <v>86.286000000000001</v>
      </c>
      <c r="AB82" s="7">
        <f>U67*0.02673</f>
        <v>1170.7740000000001</v>
      </c>
      <c r="AC82" s="69">
        <f t="shared" si="26"/>
        <v>1436.2020000000002</v>
      </c>
      <c r="AD82" s="69"/>
      <c r="AV82" s="76"/>
      <c r="AW82" s="10" t="s">
        <v>15</v>
      </c>
      <c r="AX82" s="3"/>
      <c r="AY82" s="3"/>
      <c r="AZ82" s="3"/>
      <c r="BA82" s="3"/>
      <c r="BB82" s="3"/>
      <c r="BC82" s="18">
        <f t="shared" si="27"/>
        <v>0</v>
      </c>
      <c r="BD82" s="8">
        <f t="shared" si="22"/>
        <v>0</v>
      </c>
      <c r="BE82" s="8">
        <f t="shared" si="22"/>
        <v>1533</v>
      </c>
      <c r="BF82" s="8">
        <f t="shared" si="22"/>
        <v>13359</v>
      </c>
      <c r="BG82" s="8">
        <f t="shared" si="22"/>
        <v>37996.5</v>
      </c>
      <c r="BH82" s="8">
        <f t="shared" si="22"/>
        <v>660922.728</v>
      </c>
      <c r="BI82" s="69">
        <f>SUM(AY82:BH82)+1</f>
        <v>713812.228</v>
      </c>
      <c r="BJ82" s="69"/>
      <c r="BN82" s="76"/>
      <c r="BO82" s="10" t="s">
        <v>15</v>
      </c>
      <c r="BP82" s="3">
        <f t="shared" si="24"/>
        <v>0</v>
      </c>
      <c r="BQ82" s="3">
        <f t="shared" si="21"/>
        <v>0</v>
      </c>
      <c r="BR82" s="3">
        <f t="shared" si="21"/>
        <v>0</v>
      </c>
      <c r="BS82" s="3">
        <f t="shared" si="21"/>
        <v>0</v>
      </c>
      <c r="BT82" s="3">
        <f t="shared" si="21"/>
        <v>0</v>
      </c>
      <c r="BU82" s="3">
        <f t="shared" si="21"/>
        <v>0</v>
      </c>
      <c r="BV82" s="3">
        <f t="shared" si="21"/>
        <v>4599</v>
      </c>
      <c r="BW82" s="3">
        <f t="shared" si="21"/>
        <v>40077</v>
      </c>
      <c r="BX82" s="3">
        <f t="shared" si="21"/>
        <v>113989.49999999999</v>
      </c>
      <c r="BY82" s="3">
        <f t="shared" si="21"/>
        <v>2813532.6828000001</v>
      </c>
      <c r="BZ82" s="3">
        <f t="shared" si="21"/>
        <v>2474639.7311999998</v>
      </c>
      <c r="CA82" s="69">
        <f>SUM(BQ82:BZ82)+1</f>
        <v>5446838.9139999999</v>
      </c>
      <c r="CB82" s="69"/>
    </row>
    <row r="83" spans="2:81">
      <c r="P83" s="71"/>
      <c r="Q83" s="71"/>
      <c r="R83" s="10" t="s">
        <v>15</v>
      </c>
      <c r="S83" s="3"/>
      <c r="T83" s="3"/>
      <c r="U83" s="7"/>
      <c r="V83" s="7"/>
      <c r="W83" s="7"/>
      <c r="X83" s="7"/>
      <c r="Y83" s="7">
        <f>U67*0.00014</f>
        <v>6.1319999999999997</v>
      </c>
      <c r="Z83" s="7">
        <f>U67*0.00122</f>
        <v>53.436</v>
      </c>
      <c r="AA83" s="7">
        <f>U67*0.00347</f>
        <v>151.98599999999999</v>
      </c>
      <c r="AB83" s="7">
        <f>U67*0.08773</f>
        <v>3842.5740000000001</v>
      </c>
      <c r="AC83" s="69">
        <f t="shared" si="26"/>
        <v>4054.1280000000002</v>
      </c>
      <c r="AD83" s="69"/>
      <c r="AV83" s="76"/>
      <c r="AW83" s="47" t="s">
        <v>16</v>
      </c>
      <c r="AX83" s="6"/>
      <c r="AY83" s="6"/>
      <c r="AZ83" s="6"/>
      <c r="BA83" s="6"/>
      <c r="BB83" s="6"/>
      <c r="BC83" s="20"/>
      <c r="BD83" s="6"/>
      <c r="BE83" s="6"/>
      <c r="BF83" s="6"/>
      <c r="BG83" s="6"/>
      <c r="BH83" s="16"/>
      <c r="BI83" s="70">
        <f>SUM(BI72:BJ82)</f>
        <v>2870608.8496000003</v>
      </c>
      <c r="BJ83" s="70"/>
      <c r="BN83" s="76"/>
      <c r="BO83" s="47" t="s">
        <v>16</v>
      </c>
      <c r="BP83" s="6"/>
      <c r="BQ83" s="6"/>
      <c r="BR83" s="6"/>
      <c r="BS83" s="6"/>
      <c r="BT83" s="6"/>
      <c r="BU83" s="20"/>
      <c r="BV83" s="6"/>
      <c r="BW83" s="6"/>
      <c r="BX83" s="6"/>
      <c r="BY83" s="6"/>
      <c r="BZ83" s="16"/>
      <c r="CA83" s="70">
        <f>SUM(CA72:CB82)</f>
        <v>19036617</v>
      </c>
      <c r="CB83" s="70"/>
    </row>
    <row r="84" spans="2:81">
      <c r="P84" s="71"/>
      <c r="Q84" s="71"/>
      <c r="R84" s="71" t="s">
        <v>16</v>
      </c>
      <c r="S84" s="6"/>
      <c r="T84" s="6"/>
      <c r="U84" s="6"/>
      <c r="V84" s="6"/>
      <c r="W84" s="6"/>
      <c r="X84" s="6"/>
      <c r="Y84" s="6"/>
      <c r="Z84" s="6"/>
      <c r="AA84" s="6"/>
      <c r="AB84" s="6"/>
      <c r="AC84" s="70">
        <f>SUM(AC73:AD83)</f>
        <v>43799.751999999993</v>
      </c>
      <c r="AD84" s="70"/>
      <c r="AV84" s="76"/>
      <c r="AW84" s="13"/>
      <c r="AX84" s="4"/>
      <c r="AY84" s="4"/>
      <c r="AZ84" s="4"/>
      <c r="BA84" s="4"/>
      <c r="BB84" s="4"/>
      <c r="BC84" s="19"/>
      <c r="BD84" s="4"/>
      <c r="BE84" s="4"/>
      <c r="BF84" s="4"/>
      <c r="BG84" s="4"/>
      <c r="BH84" s="15"/>
      <c r="BI84" s="70"/>
      <c r="BJ84" s="70"/>
      <c r="BN84" s="76"/>
      <c r="BO84" s="13"/>
      <c r="BP84" s="4"/>
      <c r="BQ84" s="4"/>
      <c r="BR84" s="4"/>
      <c r="BS84" s="4"/>
      <c r="BT84" s="4"/>
      <c r="BU84" s="19"/>
      <c r="BV84" s="4"/>
      <c r="BW84" s="4"/>
      <c r="BX84" s="4"/>
      <c r="BY84" s="4"/>
      <c r="BZ84" s="15"/>
      <c r="CA84" s="70"/>
      <c r="CB84" s="70"/>
    </row>
    <row r="85" spans="2:81">
      <c r="P85" s="71"/>
      <c r="Q85" s="71"/>
      <c r="R85" s="71"/>
      <c r="S85" s="4"/>
      <c r="T85" s="4"/>
      <c r="U85" s="4"/>
      <c r="V85" s="4"/>
      <c r="W85" s="4"/>
      <c r="X85" s="4"/>
      <c r="Y85" s="4"/>
      <c r="Z85" s="4"/>
      <c r="AA85" s="4"/>
      <c r="AB85" s="4"/>
      <c r="AC85" s="70"/>
      <c r="AD85" s="70"/>
      <c r="AV85" s="77"/>
      <c r="AW85" s="48"/>
      <c r="AX85" s="5"/>
      <c r="AY85" s="5"/>
      <c r="AZ85" s="5"/>
      <c r="BA85" s="5"/>
      <c r="BB85" s="5"/>
      <c r="BC85" s="21"/>
      <c r="BD85" s="5"/>
      <c r="BE85" s="5"/>
      <c r="BF85" s="5"/>
      <c r="BG85" s="5"/>
      <c r="BH85" s="17"/>
      <c r="BI85" s="70"/>
      <c r="BJ85" s="70"/>
      <c r="BN85" s="77"/>
      <c r="BO85" s="48"/>
      <c r="BP85" s="5"/>
      <c r="BQ85" s="5"/>
      <c r="BR85" s="5"/>
      <c r="BS85" s="5"/>
      <c r="BT85" s="5"/>
      <c r="BU85" s="21"/>
      <c r="BV85" s="5"/>
      <c r="BW85" s="5"/>
      <c r="BX85" s="5"/>
      <c r="BY85" s="5"/>
      <c r="BZ85" s="17"/>
      <c r="CA85" s="70"/>
      <c r="CB85" s="70"/>
    </row>
    <row r="86" spans="2:81">
      <c r="P86" s="71"/>
      <c r="Q86" s="71"/>
      <c r="R86" s="71"/>
      <c r="S86" s="5"/>
      <c r="T86" s="5"/>
      <c r="U86" s="5"/>
      <c r="V86" s="5"/>
      <c r="W86" s="5"/>
      <c r="X86" s="5"/>
      <c r="Y86" s="5"/>
      <c r="Z86" s="5"/>
      <c r="AA86" s="5"/>
      <c r="AB86" s="5"/>
      <c r="AC86" s="70"/>
      <c r="AD86" s="70"/>
      <c r="BI86" s="63">
        <f>BI83/5</f>
        <v>574121.76992000011</v>
      </c>
      <c r="BJ86" s="64"/>
      <c r="BK86" s="67" t="s">
        <v>17</v>
      </c>
      <c r="CA86" s="63">
        <f>CA83/5</f>
        <v>3807323.4</v>
      </c>
      <c r="CB86" s="64"/>
      <c r="CC86" s="67" t="s">
        <v>17</v>
      </c>
    </row>
    <row r="87" spans="2:81">
      <c r="BI87" s="65"/>
      <c r="BJ87" s="66"/>
      <c r="BK87" s="68"/>
      <c r="CA87" s="65"/>
      <c r="CB87" s="66"/>
      <c r="CC87" s="68"/>
    </row>
    <row r="88" spans="2:81">
      <c r="BI88" s="57">
        <f>BI86*0.001</f>
        <v>574.12176992000013</v>
      </c>
      <c r="BJ88" s="58"/>
      <c r="BK88" s="61" t="s">
        <v>18</v>
      </c>
      <c r="CA88" s="57">
        <f>CA86*0.001</f>
        <v>3807.3233999999998</v>
      </c>
      <c r="CB88" s="58"/>
      <c r="CC88" s="61" t="s">
        <v>18</v>
      </c>
    </row>
    <row r="89" spans="2:81">
      <c r="U89" s="2" t="s">
        <v>0</v>
      </c>
      <c r="BI89" s="59"/>
      <c r="BJ89" s="60"/>
      <c r="BK89" s="62"/>
      <c r="CA89" s="59"/>
      <c r="CB89" s="60"/>
      <c r="CC89" s="62"/>
    </row>
    <row r="90" spans="2:81">
      <c r="B90" t="s">
        <v>27</v>
      </c>
      <c r="E90" t="s">
        <v>28</v>
      </c>
      <c r="U90">
        <f>(5*8760)</f>
        <v>43800</v>
      </c>
    </row>
    <row r="91" spans="2:81">
      <c r="AV91" s="2" t="s">
        <v>27</v>
      </c>
      <c r="AW91" s="2"/>
      <c r="AX91" s="2"/>
      <c r="AY91" s="2" t="s">
        <v>28</v>
      </c>
      <c r="AZ91" s="2"/>
      <c r="BN91" s="2" t="s">
        <v>27</v>
      </c>
      <c r="BO91" s="2"/>
      <c r="BP91" s="2"/>
      <c r="BQ91" s="2" t="s">
        <v>28</v>
      </c>
      <c r="BR91" s="2"/>
    </row>
    <row r="93" spans="2:81">
      <c r="P93" s="71" t="s">
        <v>7</v>
      </c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V93" s="71" t="s">
        <v>8</v>
      </c>
      <c r="AW93" s="71"/>
      <c r="AX93" s="72" t="s">
        <v>7</v>
      </c>
      <c r="AY93" s="73"/>
      <c r="AZ93" s="73"/>
      <c r="BA93" s="73"/>
      <c r="BB93" s="73"/>
      <c r="BC93" s="73"/>
      <c r="BD93" s="73"/>
      <c r="BE93" s="73"/>
      <c r="BF93" s="73"/>
      <c r="BG93" s="73"/>
      <c r="BH93" s="73"/>
      <c r="BI93" s="73"/>
      <c r="BJ93" s="74"/>
      <c r="BN93" s="71" t="s">
        <v>8</v>
      </c>
      <c r="BO93" s="71"/>
      <c r="BP93" s="72" t="s">
        <v>7</v>
      </c>
      <c r="BQ93" s="73"/>
      <c r="BR93" s="73"/>
      <c r="BS93" s="73"/>
      <c r="BT93" s="73"/>
      <c r="BU93" s="73"/>
      <c r="BV93" s="73"/>
      <c r="BW93" s="73"/>
      <c r="BX93" s="73"/>
      <c r="BY93" s="73"/>
      <c r="BZ93" s="73"/>
      <c r="CA93" s="73"/>
      <c r="CB93" s="74"/>
    </row>
    <row r="94" spans="2:81"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V94" s="71"/>
      <c r="AW94" s="71"/>
      <c r="AX94" s="11" t="s">
        <v>9</v>
      </c>
      <c r="AY94" s="3">
        <v>2</v>
      </c>
      <c r="AZ94" s="3">
        <v>3</v>
      </c>
      <c r="BA94" s="3">
        <v>4</v>
      </c>
      <c r="BB94" s="3">
        <v>5</v>
      </c>
      <c r="BC94" s="3">
        <v>6</v>
      </c>
      <c r="BD94" s="3">
        <v>7</v>
      </c>
      <c r="BE94" s="3">
        <v>8</v>
      </c>
      <c r="BF94" s="3">
        <v>9</v>
      </c>
      <c r="BG94" s="3">
        <v>10</v>
      </c>
      <c r="BH94" s="3" t="s">
        <v>10</v>
      </c>
      <c r="BI94" s="69" t="s">
        <v>11</v>
      </c>
      <c r="BJ94" s="69"/>
      <c r="BN94" s="71"/>
      <c r="BO94" s="71"/>
      <c r="BP94" s="11" t="s">
        <v>9</v>
      </c>
      <c r="BQ94" s="3">
        <v>2</v>
      </c>
      <c r="BR94" s="3">
        <v>3</v>
      </c>
      <c r="BS94" s="3">
        <v>4</v>
      </c>
      <c r="BT94" s="3">
        <v>5</v>
      </c>
      <c r="BU94" s="3">
        <v>6</v>
      </c>
      <c r="BV94" s="3">
        <v>7</v>
      </c>
      <c r="BW94" s="3">
        <v>8</v>
      </c>
      <c r="BX94" s="3">
        <v>9</v>
      </c>
      <c r="BY94" s="3">
        <v>10</v>
      </c>
      <c r="BZ94" s="3" t="s">
        <v>10</v>
      </c>
      <c r="CA94" s="69" t="s">
        <v>11</v>
      </c>
      <c r="CB94" s="69"/>
    </row>
    <row r="95" spans="2:81">
      <c r="P95" s="71" t="s">
        <v>12</v>
      </c>
      <c r="Q95" s="71"/>
      <c r="R95" s="3" t="s">
        <v>9</v>
      </c>
      <c r="S95" s="3">
        <v>2</v>
      </c>
      <c r="T95" s="3">
        <v>3</v>
      </c>
      <c r="U95" s="3">
        <v>4</v>
      </c>
      <c r="V95" s="3">
        <v>5</v>
      </c>
      <c r="W95" s="3">
        <v>6</v>
      </c>
      <c r="X95" s="3">
        <v>7</v>
      </c>
      <c r="Y95" s="3">
        <v>8</v>
      </c>
      <c r="Z95" s="3">
        <v>9</v>
      </c>
      <c r="AA95" s="3">
        <v>10</v>
      </c>
      <c r="AB95" s="3" t="s">
        <v>10</v>
      </c>
      <c r="AC95" s="69" t="s">
        <v>13</v>
      </c>
      <c r="AD95" s="69"/>
      <c r="AV95" s="75" t="s">
        <v>12</v>
      </c>
      <c r="AW95" s="10" t="s">
        <v>14</v>
      </c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69">
        <f>SUM(AY95:BH95)</f>
        <v>0</v>
      </c>
      <c r="BJ95" s="69"/>
      <c r="BN95" s="75" t="s">
        <v>12</v>
      </c>
      <c r="BO95" s="10" t="s">
        <v>14</v>
      </c>
      <c r="BP95" s="3">
        <f>AI28*S96</f>
        <v>0</v>
      </c>
      <c r="BQ95" s="3">
        <f t="shared" ref="BQ95:BZ105" si="28">AJ28*T96</f>
        <v>0</v>
      </c>
      <c r="BR95" s="3">
        <f t="shared" si="28"/>
        <v>0</v>
      </c>
      <c r="BS95" s="3">
        <f t="shared" si="28"/>
        <v>0</v>
      </c>
      <c r="BT95" s="3">
        <f t="shared" si="28"/>
        <v>0</v>
      </c>
      <c r="BU95" s="3">
        <f t="shared" si="28"/>
        <v>0</v>
      </c>
      <c r="BV95" s="3">
        <f t="shared" si="28"/>
        <v>0</v>
      </c>
      <c r="BW95" s="3">
        <f t="shared" si="28"/>
        <v>0</v>
      </c>
      <c r="BX95" s="3">
        <f t="shared" si="28"/>
        <v>0</v>
      </c>
      <c r="BY95" s="3">
        <f t="shared" si="28"/>
        <v>0</v>
      </c>
      <c r="BZ95" s="3">
        <f t="shared" si="28"/>
        <v>0</v>
      </c>
      <c r="CA95" s="69">
        <f>SUM(BQ95:BZ95)</f>
        <v>0</v>
      </c>
      <c r="CB95" s="69"/>
    </row>
    <row r="96" spans="2:81">
      <c r="P96" s="71"/>
      <c r="Q96" s="71"/>
      <c r="R96" s="10" t="s">
        <v>14</v>
      </c>
      <c r="S96" s="3"/>
      <c r="T96" s="3"/>
      <c r="U96" s="7"/>
      <c r="V96" s="7"/>
      <c r="W96" s="7"/>
      <c r="X96" s="7">
        <f>U90*0.00034</f>
        <v>14.892000000000001</v>
      </c>
      <c r="Y96" s="7">
        <v>0</v>
      </c>
      <c r="Z96" s="7">
        <v>0</v>
      </c>
      <c r="AA96" s="7">
        <v>0</v>
      </c>
      <c r="AB96" s="7">
        <v>0</v>
      </c>
      <c r="AC96" s="69">
        <f>SUM(S96:AB96)</f>
        <v>14.892000000000001</v>
      </c>
      <c r="AD96" s="69"/>
      <c r="AV96" s="76"/>
      <c r="AW96" s="12">
        <v>1</v>
      </c>
      <c r="AX96" s="3"/>
      <c r="AY96" s="3"/>
      <c r="AZ96" s="3"/>
      <c r="BA96" s="3"/>
      <c r="BB96" s="3"/>
      <c r="BC96" s="8">
        <f>AN8*W97</f>
        <v>1109.0159999999998</v>
      </c>
      <c r="BD96" s="8">
        <f t="shared" ref="BD96:BH105" si="29">AO8*X97</f>
        <v>4264.3680000000004</v>
      </c>
      <c r="BE96" s="8">
        <f t="shared" si="29"/>
        <v>7959.3360000000002</v>
      </c>
      <c r="BF96" s="8">
        <f t="shared" si="29"/>
        <v>7579.152</v>
      </c>
      <c r="BG96" s="8">
        <f t="shared" si="29"/>
        <v>3998.94</v>
      </c>
      <c r="BH96" s="8">
        <f t="shared" si="29"/>
        <v>2054.2199999999998</v>
      </c>
      <c r="BI96" s="69">
        <f t="shared" ref="BI96:BI104" si="30">SUM(AY96:BH96)</f>
        <v>26965.032000000003</v>
      </c>
      <c r="BJ96" s="69"/>
      <c r="BN96" s="76"/>
      <c r="BO96" s="12">
        <v>1</v>
      </c>
      <c r="BP96" s="3">
        <f t="shared" ref="BP96:BP105" si="31">AI29*S97</f>
        <v>0</v>
      </c>
      <c r="BQ96" s="3">
        <f t="shared" si="28"/>
        <v>0</v>
      </c>
      <c r="BR96" s="3">
        <f t="shared" si="28"/>
        <v>0</v>
      </c>
      <c r="BS96" s="3">
        <f t="shared" si="28"/>
        <v>0</v>
      </c>
      <c r="BT96" s="3">
        <f t="shared" si="28"/>
        <v>0</v>
      </c>
      <c r="BU96" s="3">
        <f t="shared" si="28"/>
        <v>13592.673000000001</v>
      </c>
      <c r="BV96" s="3">
        <f t="shared" si="28"/>
        <v>25686.948</v>
      </c>
      <c r="BW96" s="3">
        <f t="shared" si="28"/>
        <v>24000.648000000001</v>
      </c>
      <c r="BX96" s="3">
        <f t="shared" si="28"/>
        <v>13087.44</v>
      </c>
      <c r="BY96" s="3">
        <f t="shared" si="28"/>
        <v>12530.742</v>
      </c>
      <c r="BZ96" s="3">
        <f t="shared" si="28"/>
        <v>33909.478199999998</v>
      </c>
      <c r="CA96" s="69">
        <f t="shared" ref="CA96:CA104" si="32">SUM(BQ96:BZ96)</f>
        <v>122807.9292</v>
      </c>
      <c r="CB96" s="69"/>
    </row>
    <row r="97" spans="13:81">
      <c r="P97" s="71"/>
      <c r="Q97" s="71"/>
      <c r="R97" s="10">
        <v>1</v>
      </c>
      <c r="S97" s="3"/>
      <c r="T97" s="3"/>
      <c r="U97" s="7"/>
      <c r="V97" s="7">
        <f>U90*0.00116</f>
        <v>50.808</v>
      </c>
      <c r="W97" s="7">
        <f>U90*0.00422</f>
        <v>184.83599999999998</v>
      </c>
      <c r="X97" s="7">
        <f>U90*0.01217</f>
        <v>533.04600000000005</v>
      </c>
      <c r="Y97" s="7">
        <f>U90*0.01652</f>
        <v>723.57600000000002</v>
      </c>
      <c r="Z97" s="7">
        <f>U90*0.01442</f>
        <v>631.596</v>
      </c>
      <c r="AA97" s="7">
        <f>U90*0.0083</f>
        <v>363.54</v>
      </c>
      <c r="AB97" s="7">
        <f>U90*0.00938</f>
        <v>410.84399999999999</v>
      </c>
      <c r="AC97" s="69">
        <f t="shared" ref="AC97" si="33">SUM(S97:AB97)</f>
        <v>2898.2460000000001</v>
      </c>
      <c r="AD97" s="69"/>
      <c r="AV97" s="76"/>
      <c r="AW97" s="10">
        <v>1.5</v>
      </c>
      <c r="AX97" s="3"/>
      <c r="AY97" s="3"/>
      <c r="AZ97" s="3"/>
      <c r="BA97" s="3"/>
      <c r="BB97" s="3"/>
      <c r="BC97" s="8">
        <f t="shared" ref="BC97:BC105" si="34">AN9*W98</f>
        <v>4532.424</v>
      </c>
      <c r="BD97" s="8">
        <f t="shared" si="29"/>
        <v>7446</v>
      </c>
      <c r="BE97" s="8">
        <f t="shared" si="29"/>
        <v>26586.6</v>
      </c>
      <c r="BF97" s="8">
        <f t="shared" si="29"/>
        <v>49640.292000000001</v>
      </c>
      <c r="BG97" s="8">
        <f t="shared" si="29"/>
        <v>41122.068000000007</v>
      </c>
      <c r="BH97" s="8">
        <f t="shared" si="29"/>
        <v>21144.537599999996</v>
      </c>
      <c r="BI97" s="69">
        <f t="shared" si="30"/>
        <v>150471.9216</v>
      </c>
      <c r="BJ97" s="69"/>
      <c r="BN97" s="76"/>
      <c r="BO97" s="10">
        <v>1.5</v>
      </c>
      <c r="BP97" s="3">
        <f t="shared" si="31"/>
        <v>0</v>
      </c>
      <c r="BQ97" s="3">
        <f t="shared" si="28"/>
        <v>0</v>
      </c>
      <c r="BR97" s="3">
        <f t="shared" si="28"/>
        <v>0</v>
      </c>
      <c r="BS97" s="3">
        <f t="shared" si="28"/>
        <v>0</v>
      </c>
      <c r="BT97" s="3">
        <f t="shared" si="28"/>
        <v>11156.736000000001</v>
      </c>
      <c r="BU97" s="3">
        <f t="shared" si="28"/>
        <v>25185</v>
      </c>
      <c r="BV97" s="3">
        <f t="shared" si="28"/>
        <v>84545.387999999992</v>
      </c>
      <c r="BW97" s="3">
        <f t="shared" si="28"/>
        <v>164194.81200000001</v>
      </c>
      <c r="BX97" s="3">
        <f t="shared" si="28"/>
        <v>127320.24900000001</v>
      </c>
      <c r="BY97" s="3">
        <f t="shared" si="28"/>
        <v>95289.527999999977</v>
      </c>
      <c r="BZ97" s="3">
        <f t="shared" si="28"/>
        <v>309371.49040000001</v>
      </c>
      <c r="CA97" s="69">
        <f t="shared" si="32"/>
        <v>817063.2034</v>
      </c>
      <c r="CB97" s="69"/>
    </row>
    <row r="98" spans="13:81">
      <c r="P98" s="71"/>
      <c r="Q98" s="71"/>
      <c r="R98" s="10">
        <v>1.5</v>
      </c>
      <c r="S98" s="3"/>
      <c r="T98" s="3"/>
      <c r="U98" s="7">
        <f>U90*0.00007</f>
        <v>3.0659999999999998</v>
      </c>
      <c r="V98" s="7">
        <f>U90*0.00252</f>
        <v>110.376</v>
      </c>
      <c r="W98" s="7">
        <f>U90*0.00796</f>
        <v>348.64800000000002</v>
      </c>
      <c r="X98" s="7">
        <f>U90*0.01</f>
        <v>438</v>
      </c>
      <c r="Y98" s="7">
        <f>U90*0.02428</f>
        <v>1063.4639999999999</v>
      </c>
      <c r="Z98" s="7">
        <f>U90*0.04359</f>
        <v>1909.242</v>
      </c>
      <c r="AA98" s="7">
        <f>U90*0.03611</f>
        <v>1581.6180000000002</v>
      </c>
      <c r="AB98" s="7">
        <f>U90*0.03176</f>
        <v>1391.0879999999997</v>
      </c>
      <c r="AC98" s="69">
        <f>SUM(S98:AB98)-1</f>
        <v>6844.5020000000004</v>
      </c>
      <c r="AD98" s="69"/>
      <c r="AV98" s="76"/>
      <c r="AW98" s="10">
        <v>2</v>
      </c>
      <c r="AX98" s="3"/>
      <c r="AY98" s="3"/>
      <c r="AZ98" s="3"/>
      <c r="BA98" s="3"/>
      <c r="BB98" s="3"/>
      <c r="BC98" s="8">
        <f t="shared" si="34"/>
        <v>6359.76</v>
      </c>
      <c r="BD98" s="8">
        <f t="shared" si="29"/>
        <v>18133.199999999997</v>
      </c>
      <c r="BE98" s="8">
        <f t="shared" si="29"/>
        <v>26730.263999999999</v>
      </c>
      <c r="BF98" s="8">
        <f t="shared" si="29"/>
        <v>52350.198000000004</v>
      </c>
      <c r="BG98" s="8">
        <f t="shared" si="29"/>
        <v>80079.539999999994</v>
      </c>
      <c r="BH98" s="8">
        <f t="shared" si="29"/>
        <v>69305.090400000001</v>
      </c>
      <c r="BI98" s="69">
        <f t="shared" si="30"/>
        <v>252958.05239999999</v>
      </c>
      <c r="BJ98" s="69"/>
      <c r="BN98" s="76"/>
      <c r="BO98" s="10">
        <v>2</v>
      </c>
      <c r="BP98" s="3">
        <f t="shared" si="31"/>
        <v>0</v>
      </c>
      <c r="BQ98" s="3">
        <f t="shared" si="28"/>
        <v>0</v>
      </c>
      <c r="BR98" s="3">
        <f t="shared" si="28"/>
        <v>0</v>
      </c>
      <c r="BS98" s="3">
        <f t="shared" si="28"/>
        <v>0</v>
      </c>
      <c r="BT98" s="3">
        <f t="shared" si="28"/>
        <v>15104.43</v>
      </c>
      <c r="BU98" s="3">
        <f t="shared" si="28"/>
        <v>61350.659999999996</v>
      </c>
      <c r="BV98" s="3">
        <f t="shared" si="28"/>
        <v>86265.851999999999</v>
      </c>
      <c r="BW98" s="3">
        <f t="shared" si="28"/>
        <v>169859.685</v>
      </c>
      <c r="BX98" s="3">
        <f t="shared" si="28"/>
        <v>242794.34999999998</v>
      </c>
      <c r="BY98" s="3">
        <f t="shared" si="28"/>
        <v>305093.06099999999</v>
      </c>
      <c r="BZ98" s="3">
        <f t="shared" si="28"/>
        <v>543789.43919999991</v>
      </c>
      <c r="CA98" s="69">
        <f t="shared" si="32"/>
        <v>1424257.4771999998</v>
      </c>
      <c r="CB98" s="69"/>
    </row>
    <row r="99" spans="13:81">
      <c r="P99" s="71"/>
      <c r="Q99" s="71"/>
      <c r="R99" s="10">
        <v>2</v>
      </c>
      <c r="S99" s="3"/>
      <c r="T99" s="3"/>
      <c r="U99" s="7"/>
      <c r="V99" s="7">
        <f>U90*0.0002</f>
        <v>8.76</v>
      </c>
      <c r="W99" s="7">
        <f>U90*0.00605</f>
        <v>264.99</v>
      </c>
      <c r="X99" s="7">
        <f>U90*0.0138</f>
        <v>604.43999999999994</v>
      </c>
      <c r="Y99" s="7">
        <f>U90*0.01387</f>
        <v>607.50599999999997</v>
      </c>
      <c r="Z99" s="7">
        <f>U90*0.02543</f>
        <v>1113.8340000000001</v>
      </c>
      <c r="AA99" s="7">
        <f>U90*0.0389</f>
        <v>1703.82</v>
      </c>
      <c r="AB99" s="7">
        <f>U90*0.05733</f>
        <v>2511.0540000000001</v>
      </c>
      <c r="AC99" s="69">
        <f t="shared" ref="AC99:AC106" si="35">SUM(S99:AB99)</f>
        <v>6814.4039999999995</v>
      </c>
      <c r="AD99" s="69"/>
      <c r="AV99" s="76"/>
      <c r="AW99" s="10">
        <v>2.5</v>
      </c>
      <c r="AX99" s="3"/>
      <c r="AY99" s="3"/>
      <c r="AZ99" s="3"/>
      <c r="BA99" s="3"/>
      <c r="BB99" s="3"/>
      <c r="BC99" s="8">
        <f t="shared" si="34"/>
        <v>1879.896</v>
      </c>
      <c r="BD99" s="8">
        <f t="shared" si="29"/>
        <v>20586</v>
      </c>
      <c r="BE99" s="8">
        <f t="shared" si="29"/>
        <v>31037.993999999999</v>
      </c>
      <c r="BF99" s="8">
        <f t="shared" si="29"/>
        <v>49783.518000000004</v>
      </c>
      <c r="BG99" s="8">
        <f t="shared" si="29"/>
        <v>75234.822</v>
      </c>
      <c r="BH99" s="8">
        <f t="shared" si="29"/>
        <v>134721.79200000002</v>
      </c>
      <c r="BI99" s="69">
        <f t="shared" si="30"/>
        <v>313244.022</v>
      </c>
      <c r="BJ99" s="69"/>
      <c r="BN99" s="76"/>
      <c r="BO99" s="10">
        <v>2.5</v>
      </c>
      <c r="BP99" s="3">
        <f t="shared" si="31"/>
        <v>0</v>
      </c>
      <c r="BQ99" s="3">
        <f t="shared" si="28"/>
        <v>0</v>
      </c>
      <c r="BR99" s="3">
        <f t="shared" si="28"/>
        <v>0</v>
      </c>
      <c r="BS99" s="3">
        <f t="shared" si="28"/>
        <v>0</v>
      </c>
      <c r="BT99" s="3">
        <f t="shared" si="28"/>
        <v>4521.9120000000003</v>
      </c>
      <c r="BU99" s="3">
        <f t="shared" si="28"/>
        <v>69642</v>
      </c>
      <c r="BV99" s="3">
        <f t="shared" si="28"/>
        <v>99636.458999999988</v>
      </c>
      <c r="BW99" s="3">
        <f t="shared" si="28"/>
        <v>162307.908</v>
      </c>
      <c r="BX99" s="3">
        <f t="shared" si="28"/>
        <v>229826.92200000002</v>
      </c>
      <c r="BY99" s="3">
        <f t="shared" si="28"/>
        <v>592526.4</v>
      </c>
      <c r="BZ99" s="3">
        <f t="shared" si="28"/>
        <v>721221.74999999988</v>
      </c>
      <c r="CA99" s="69">
        <f t="shared" si="32"/>
        <v>1879683.3509999998</v>
      </c>
      <c r="CB99" s="69"/>
    </row>
    <row r="100" spans="13:81">
      <c r="P100" s="71"/>
      <c r="Q100" s="71"/>
      <c r="R100" s="10">
        <v>2.5</v>
      </c>
      <c r="S100" s="3"/>
      <c r="T100" s="3"/>
      <c r="U100" s="7"/>
      <c r="V100" s="7"/>
      <c r="W100" s="7">
        <f>U90*0.00116</f>
        <v>50.808</v>
      </c>
      <c r="X100" s="7">
        <f>U90*0.01</f>
        <v>438</v>
      </c>
      <c r="Y100" s="7">
        <f>U90*0.01027</f>
        <v>449.82599999999996</v>
      </c>
      <c r="Z100" s="7">
        <f>U90*0.01557</f>
        <v>681.96600000000001</v>
      </c>
      <c r="AA100" s="7">
        <f>U90*0.02353</f>
        <v>1030.614</v>
      </c>
      <c r="AB100" s="7">
        <f>U90*0.0712</f>
        <v>3118.56</v>
      </c>
      <c r="AC100" s="69">
        <f t="shared" si="35"/>
        <v>5769.7739999999994</v>
      </c>
      <c r="AD100" s="69"/>
      <c r="AV100" s="76"/>
      <c r="AW100" s="10">
        <v>3</v>
      </c>
      <c r="AX100" s="3"/>
      <c r="AY100" s="3"/>
      <c r="AZ100" s="3"/>
      <c r="BA100" s="3"/>
      <c r="BB100" s="3"/>
      <c r="BC100" s="8">
        <f t="shared" si="34"/>
        <v>331.12799999999999</v>
      </c>
      <c r="BD100" s="8">
        <f t="shared" si="29"/>
        <v>6880.1039999999994</v>
      </c>
      <c r="BE100" s="8">
        <f t="shared" si="29"/>
        <v>40413.383999999998</v>
      </c>
      <c r="BF100" s="8">
        <f t="shared" si="29"/>
        <v>58081.428</v>
      </c>
      <c r="BG100" s="8">
        <f t="shared" si="29"/>
        <v>69131.292000000001</v>
      </c>
      <c r="BH100" s="8">
        <f t="shared" si="29"/>
        <v>193350.72</v>
      </c>
      <c r="BI100" s="69">
        <f t="shared" si="30"/>
        <v>368188.05599999998</v>
      </c>
      <c r="BJ100" s="69"/>
      <c r="BN100" s="76"/>
      <c r="BO100" s="10">
        <v>3</v>
      </c>
      <c r="BP100" s="3">
        <f t="shared" si="31"/>
        <v>0</v>
      </c>
      <c r="BQ100" s="3">
        <f t="shared" si="28"/>
        <v>0</v>
      </c>
      <c r="BR100" s="3">
        <f t="shared" si="28"/>
        <v>0</v>
      </c>
      <c r="BS100" s="3">
        <f t="shared" si="28"/>
        <v>0</v>
      </c>
      <c r="BT100" s="3">
        <f t="shared" si="28"/>
        <v>791.02799999999991</v>
      </c>
      <c r="BU100" s="3">
        <f t="shared" si="28"/>
        <v>23169.761999999999</v>
      </c>
      <c r="BV100" s="3">
        <f t="shared" si="28"/>
        <v>130016.796</v>
      </c>
      <c r="BW100" s="3">
        <f t="shared" si="28"/>
        <v>184107.16800000001</v>
      </c>
      <c r="BX100" s="3">
        <f t="shared" si="28"/>
        <v>197937.23699999999</v>
      </c>
      <c r="BY100" s="3">
        <f t="shared" si="28"/>
        <v>788995.67999999993</v>
      </c>
      <c r="BZ100" s="3">
        <f t="shared" si="28"/>
        <v>858071.56500000006</v>
      </c>
      <c r="CA100" s="69">
        <f t="shared" si="32"/>
        <v>2183089.236</v>
      </c>
      <c r="CB100" s="69"/>
    </row>
    <row r="101" spans="13:81" ht="15.75">
      <c r="M101" s="14"/>
      <c r="N101" s="14"/>
      <c r="O101" s="14"/>
      <c r="P101" s="71"/>
      <c r="Q101" s="71"/>
      <c r="R101" s="10">
        <v>3</v>
      </c>
      <c r="S101" s="3"/>
      <c r="T101" s="3"/>
      <c r="U101" s="7"/>
      <c r="V101" s="7"/>
      <c r="W101" s="7">
        <f>U90*0.00014</f>
        <v>6.1319999999999997</v>
      </c>
      <c r="X101" s="7">
        <f>U90*0.00231</f>
        <v>101.178</v>
      </c>
      <c r="Y101" s="7">
        <f>U90*0.00932</f>
        <v>408.21600000000001</v>
      </c>
      <c r="Z101" s="7">
        <f>U90*0.01251</f>
        <v>547.93799999999999</v>
      </c>
      <c r="AA101" s="7">
        <f>U90*0.01489</f>
        <v>652.18200000000002</v>
      </c>
      <c r="AB101" s="7">
        <f>U90*0.0712</f>
        <v>3118.56</v>
      </c>
      <c r="AC101" s="69">
        <f t="shared" si="35"/>
        <v>4834.2060000000001</v>
      </c>
      <c r="AD101" s="69"/>
      <c r="AV101" s="76"/>
      <c r="AW101" s="10">
        <v>3.5</v>
      </c>
      <c r="AX101" s="3"/>
      <c r="AY101" s="3"/>
      <c r="AZ101" s="3"/>
      <c r="BA101" s="3"/>
      <c r="BB101" s="3"/>
      <c r="BC101" s="8">
        <f t="shared" si="34"/>
        <v>0</v>
      </c>
      <c r="BD101" s="8">
        <f t="shared" si="29"/>
        <v>3606.93</v>
      </c>
      <c r="BE101" s="8">
        <f t="shared" si="29"/>
        <v>28095.071999999996</v>
      </c>
      <c r="BF101" s="8">
        <f t="shared" si="29"/>
        <v>55905.444000000003</v>
      </c>
      <c r="BG101" s="8">
        <f t="shared" si="29"/>
        <v>61920.936000000002</v>
      </c>
      <c r="BH101" s="8">
        <f t="shared" si="29"/>
        <v>196837.19999999998</v>
      </c>
      <c r="BI101" s="69">
        <f t="shared" si="30"/>
        <v>346365.58199999994</v>
      </c>
      <c r="BJ101" s="69"/>
      <c r="BN101" s="76"/>
      <c r="BO101" s="10">
        <v>3.5</v>
      </c>
      <c r="BP101" s="3">
        <f t="shared" si="31"/>
        <v>0</v>
      </c>
      <c r="BQ101" s="3">
        <f t="shared" si="28"/>
        <v>0</v>
      </c>
      <c r="BR101" s="3">
        <f t="shared" si="28"/>
        <v>0</v>
      </c>
      <c r="BS101" s="3">
        <f t="shared" si="28"/>
        <v>0</v>
      </c>
      <c r="BT101" s="3">
        <f t="shared" si="28"/>
        <v>0</v>
      </c>
      <c r="BU101" s="3">
        <f t="shared" si="28"/>
        <v>8336.0159999999996</v>
      </c>
      <c r="BV101" s="3">
        <f t="shared" si="28"/>
        <v>78647.717999999993</v>
      </c>
      <c r="BW101" s="3">
        <f t="shared" si="28"/>
        <v>191675.80800000002</v>
      </c>
      <c r="BX101" s="3">
        <f t="shared" si="28"/>
        <v>191905.758</v>
      </c>
      <c r="BY101" s="3">
        <f t="shared" si="28"/>
        <v>967314.23999999987</v>
      </c>
      <c r="BZ101" s="3">
        <f t="shared" si="28"/>
        <v>909696.39119999995</v>
      </c>
      <c r="CA101" s="69">
        <f t="shared" si="32"/>
        <v>2347575.9312</v>
      </c>
      <c r="CB101" s="69"/>
    </row>
    <row r="102" spans="13:81">
      <c r="P102" s="71"/>
      <c r="Q102" s="71"/>
      <c r="R102" s="10">
        <v>3.5</v>
      </c>
      <c r="S102" s="3"/>
      <c r="T102" s="3"/>
      <c r="U102" s="7"/>
      <c r="V102" s="7"/>
      <c r="W102" s="7">
        <v>0</v>
      </c>
      <c r="X102" s="7">
        <f>U90*0.00061</f>
        <v>26.718</v>
      </c>
      <c r="Y102" s="7">
        <f>U90*0.00422</f>
        <v>184.83599999999998</v>
      </c>
      <c r="Z102" s="7">
        <f>U90*0.01013</f>
        <v>443.69400000000002</v>
      </c>
      <c r="AA102" s="7">
        <f>U90*0.01122</f>
        <v>491.43600000000004</v>
      </c>
      <c r="AB102" s="7">
        <f>U90*0.0642</f>
        <v>2811.9599999999996</v>
      </c>
      <c r="AC102" s="69">
        <f t="shared" si="35"/>
        <v>3958.6439999999998</v>
      </c>
      <c r="AD102" s="69"/>
      <c r="AV102" s="76"/>
      <c r="AW102" s="10">
        <v>4</v>
      </c>
      <c r="AX102" s="3"/>
      <c r="AY102" s="3"/>
      <c r="AZ102" s="3"/>
      <c r="BA102" s="3"/>
      <c r="BB102" s="3"/>
      <c r="BC102" s="8">
        <f t="shared" si="34"/>
        <v>0</v>
      </c>
      <c r="BD102" s="8">
        <f t="shared" si="29"/>
        <v>539.61599999999999</v>
      </c>
      <c r="BE102" s="8">
        <f t="shared" si="29"/>
        <v>14743.079999999998</v>
      </c>
      <c r="BF102" s="8">
        <f t="shared" si="29"/>
        <v>31749.743999999999</v>
      </c>
      <c r="BG102" s="8">
        <f t="shared" si="29"/>
        <v>59117.735999999997</v>
      </c>
      <c r="BH102" s="8">
        <f t="shared" si="29"/>
        <v>251981.4</v>
      </c>
      <c r="BI102" s="69">
        <f t="shared" si="30"/>
        <v>358131.576</v>
      </c>
      <c r="BJ102" s="69"/>
      <c r="BN102" s="76"/>
      <c r="BO102" s="10">
        <v>4</v>
      </c>
      <c r="BP102" s="3">
        <f t="shared" si="31"/>
        <v>0</v>
      </c>
      <c r="BQ102" s="3">
        <f t="shared" si="28"/>
        <v>0</v>
      </c>
      <c r="BR102" s="3">
        <f t="shared" si="28"/>
        <v>0</v>
      </c>
      <c r="BS102" s="3">
        <f t="shared" si="28"/>
        <v>0</v>
      </c>
      <c r="BT102" s="3">
        <f t="shared" si="28"/>
        <v>0</v>
      </c>
      <c r="BU102" s="3">
        <f t="shared" si="28"/>
        <v>1416.492</v>
      </c>
      <c r="BV102" s="3">
        <f t="shared" si="28"/>
        <v>38793.659999999996</v>
      </c>
      <c r="BW102" s="3">
        <f t="shared" si="28"/>
        <v>104154.648</v>
      </c>
      <c r="BX102" s="3">
        <f t="shared" si="28"/>
        <v>175550.83799999999</v>
      </c>
      <c r="BY102" s="3">
        <f t="shared" si="28"/>
        <v>1024304.3909999999</v>
      </c>
      <c r="BZ102" s="3">
        <f t="shared" si="28"/>
        <v>905084.95199999993</v>
      </c>
      <c r="CA102" s="69">
        <f t="shared" si="32"/>
        <v>2249304.9809999997</v>
      </c>
      <c r="CB102" s="69"/>
    </row>
    <row r="103" spans="13:81">
      <c r="P103" s="71"/>
      <c r="Q103" s="71"/>
      <c r="R103" s="10">
        <v>4</v>
      </c>
      <c r="S103" s="3"/>
      <c r="T103" s="3"/>
      <c r="U103" s="7"/>
      <c r="V103" s="7"/>
      <c r="W103" s="7">
        <v>0</v>
      </c>
      <c r="X103" s="7">
        <f>U90*0.00007</f>
        <v>3.0659999999999998</v>
      </c>
      <c r="Y103" s="7">
        <f>U90*0.0017</f>
        <v>74.459999999999994</v>
      </c>
      <c r="Z103" s="7">
        <f>U90*0.00442</f>
        <v>193.596</v>
      </c>
      <c r="AA103" s="7">
        <f>U90*0.00823</f>
        <v>360.47399999999999</v>
      </c>
      <c r="AB103" s="7">
        <f>U90*0.05753</f>
        <v>2519.8139999999999</v>
      </c>
      <c r="AC103" s="69">
        <f t="shared" si="35"/>
        <v>3151.41</v>
      </c>
      <c r="AD103" s="69"/>
      <c r="AV103" s="76"/>
      <c r="AW103" s="10">
        <v>4.5</v>
      </c>
      <c r="AX103" s="3"/>
      <c r="AY103" s="3"/>
      <c r="AZ103" s="3"/>
      <c r="BA103" s="3"/>
      <c r="BB103" s="3"/>
      <c r="BC103" s="8">
        <f t="shared" si="34"/>
        <v>0</v>
      </c>
      <c r="BD103" s="8">
        <f t="shared" si="29"/>
        <v>766.5</v>
      </c>
      <c r="BE103" s="8">
        <f t="shared" si="29"/>
        <v>2093.64</v>
      </c>
      <c r="BF103" s="8">
        <f t="shared" si="29"/>
        <v>18034.212000000003</v>
      </c>
      <c r="BG103" s="8">
        <f t="shared" si="29"/>
        <v>49480.421999999999</v>
      </c>
      <c r="BH103" s="8">
        <f t="shared" si="29"/>
        <v>235681.23</v>
      </c>
      <c r="BI103" s="69">
        <f t="shared" si="30"/>
        <v>306056.00400000002</v>
      </c>
      <c r="BJ103" s="69"/>
      <c r="BN103" s="76"/>
      <c r="BO103" s="10">
        <v>4.5</v>
      </c>
      <c r="BP103" s="3">
        <f t="shared" si="31"/>
        <v>0</v>
      </c>
      <c r="BQ103" s="3">
        <f t="shared" si="28"/>
        <v>0</v>
      </c>
      <c r="BR103" s="3">
        <f t="shared" si="28"/>
        <v>0</v>
      </c>
      <c r="BS103" s="3">
        <f t="shared" si="28"/>
        <v>0</v>
      </c>
      <c r="BT103" s="3">
        <f t="shared" si="28"/>
        <v>0</v>
      </c>
      <c r="BU103" s="3">
        <f t="shared" si="28"/>
        <v>1667.904</v>
      </c>
      <c r="BV103" s="3">
        <f t="shared" si="28"/>
        <v>5505.66</v>
      </c>
      <c r="BW103" s="3">
        <f t="shared" si="28"/>
        <v>66507.672000000006</v>
      </c>
      <c r="BX103" s="3">
        <f t="shared" si="28"/>
        <v>164744.06400000001</v>
      </c>
      <c r="BY103" s="3">
        <f t="shared" si="28"/>
        <v>1025725.701</v>
      </c>
      <c r="BZ103" s="3">
        <f t="shared" si="28"/>
        <v>847478.71019999997</v>
      </c>
      <c r="CA103" s="69">
        <f t="shared" si="32"/>
        <v>2111629.7111999998</v>
      </c>
      <c r="CB103" s="69"/>
    </row>
    <row r="104" spans="13:81">
      <c r="P104" s="71"/>
      <c r="Q104" s="71"/>
      <c r="R104" s="10">
        <v>4.5</v>
      </c>
      <c r="S104" s="3"/>
      <c r="T104" s="3"/>
      <c r="U104" s="7"/>
      <c r="V104" s="7"/>
      <c r="W104" s="7">
        <v>0</v>
      </c>
      <c r="X104" s="7">
        <f>U90*0.00007</f>
        <v>3.0659999999999998</v>
      </c>
      <c r="Y104" s="7">
        <f>U90*0.0002</f>
        <v>8.76</v>
      </c>
      <c r="Z104" s="7">
        <f>U90*0.00238</f>
        <v>104.24400000000001</v>
      </c>
      <c r="AA104" s="7">
        <f>U90*0.00653</f>
        <v>286.01400000000001</v>
      </c>
      <c r="AB104" s="7">
        <f>U90*0.04679</f>
        <v>2049.402</v>
      </c>
      <c r="AC104" s="69">
        <f t="shared" si="35"/>
        <v>2451.4859999999999</v>
      </c>
      <c r="AD104" s="69"/>
      <c r="AV104" s="76"/>
      <c r="AW104" s="10">
        <v>5</v>
      </c>
      <c r="AX104" s="3"/>
      <c r="AY104" s="3"/>
      <c r="AZ104" s="3"/>
      <c r="BA104" s="3"/>
      <c r="BB104" s="3"/>
      <c r="BC104" s="8">
        <f t="shared" si="34"/>
        <v>0</v>
      </c>
      <c r="BD104" s="8">
        <f t="shared" si="29"/>
        <v>0</v>
      </c>
      <c r="BE104" s="8">
        <f t="shared" si="29"/>
        <v>0</v>
      </c>
      <c r="BF104" s="8">
        <f t="shared" si="29"/>
        <v>7686.0239999999994</v>
      </c>
      <c r="BG104" s="8">
        <f t="shared" si="29"/>
        <v>35711.892</v>
      </c>
      <c r="BH104" s="8">
        <f t="shared" si="29"/>
        <v>246171.76799999998</v>
      </c>
      <c r="BI104" s="69">
        <f t="shared" si="30"/>
        <v>289569.68400000001</v>
      </c>
      <c r="BJ104" s="69"/>
      <c r="BN104" s="76"/>
      <c r="BO104" s="10">
        <v>5</v>
      </c>
      <c r="BP104" s="3">
        <f t="shared" si="31"/>
        <v>0</v>
      </c>
      <c r="BQ104" s="3">
        <f t="shared" si="28"/>
        <v>0</v>
      </c>
      <c r="BR104" s="3">
        <f t="shared" si="28"/>
        <v>0</v>
      </c>
      <c r="BS104" s="3">
        <f t="shared" si="28"/>
        <v>0</v>
      </c>
      <c r="BT104" s="3">
        <f t="shared" si="28"/>
        <v>0</v>
      </c>
      <c r="BU104" s="3">
        <f t="shared" si="28"/>
        <v>0</v>
      </c>
      <c r="BV104" s="3">
        <f t="shared" si="28"/>
        <v>0</v>
      </c>
      <c r="BW104" s="3">
        <f t="shared" si="28"/>
        <v>25823.603999999999</v>
      </c>
      <c r="BX104" s="3">
        <f t="shared" si="28"/>
        <v>113226.72300000001</v>
      </c>
      <c r="BY104" s="3">
        <f t="shared" si="28"/>
        <v>1008957.5279999999</v>
      </c>
      <c r="BZ104" s="3">
        <f t="shared" si="28"/>
        <v>792374.0615999999</v>
      </c>
      <c r="CA104" s="69">
        <f t="shared" si="32"/>
        <v>1940381.9165999999</v>
      </c>
      <c r="CB104" s="69"/>
    </row>
    <row r="105" spans="13:81">
      <c r="P105" s="71"/>
      <c r="Q105" s="71"/>
      <c r="R105" s="10">
        <v>5</v>
      </c>
      <c r="S105" s="3"/>
      <c r="T105" s="3"/>
      <c r="U105" s="7"/>
      <c r="V105" s="7"/>
      <c r="W105" s="7"/>
      <c r="X105" s="7">
        <v>0</v>
      </c>
      <c r="Y105" s="7">
        <v>0</v>
      </c>
      <c r="Z105" s="7">
        <f>U90*0.00082</f>
        <v>35.915999999999997</v>
      </c>
      <c r="AA105" s="7">
        <f>U90*0.00381</f>
        <v>166.87800000000001</v>
      </c>
      <c r="AB105" s="7">
        <f>U90*0.03958</f>
        <v>1733.6039999999998</v>
      </c>
      <c r="AC105" s="69">
        <f t="shared" si="35"/>
        <v>1936.3979999999999</v>
      </c>
      <c r="AD105" s="69"/>
      <c r="AV105" s="76"/>
      <c r="AW105" s="10" t="s">
        <v>15</v>
      </c>
      <c r="AX105" s="3"/>
      <c r="AY105" s="3"/>
      <c r="AZ105" s="3"/>
      <c r="BA105" s="3"/>
      <c r="BB105" s="3"/>
      <c r="BC105" s="8">
        <f t="shared" si="34"/>
        <v>0</v>
      </c>
      <c r="BD105" s="8">
        <f t="shared" si="29"/>
        <v>0</v>
      </c>
      <c r="BE105" s="8">
        <f t="shared" si="29"/>
        <v>766.5</v>
      </c>
      <c r="BF105" s="8">
        <f t="shared" si="29"/>
        <v>2190</v>
      </c>
      <c r="BG105" s="8">
        <f t="shared" si="29"/>
        <v>16425</v>
      </c>
      <c r="BH105" s="8">
        <f t="shared" si="29"/>
        <v>868398.07200000004</v>
      </c>
      <c r="BI105" s="69">
        <f>SUM(AY105:BH105)+1</f>
        <v>887780.57200000004</v>
      </c>
      <c r="BJ105" s="69"/>
      <c r="BN105" s="76"/>
      <c r="BO105" s="10" t="s">
        <v>15</v>
      </c>
      <c r="BP105" s="3">
        <f t="shared" si="31"/>
        <v>0</v>
      </c>
      <c r="BQ105" s="3">
        <f t="shared" si="28"/>
        <v>0</v>
      </c>
      <c r="BR105" s="3">
        <f t="shared" si="28"/>
        <v>0</v>
      </c>
      <c r="BS105" s="3">
        <f t="shared" si="28"/>
        <v>0</v>
      </c>
      <c r="BT105" s="3">
        <f t="shared" si="28"/>
        <v>0</v>
      </c>
      <c r="BU105" s="3">
        <f t="shared" si="28"/>
        <v>0</v>
      </c>
      <c r="BV105" s="3">
        <f t="shared" si="28"/>
        <v>2299.5</v>
      </c>
      <c r="BW105" s="3">
        <f t="shared" si="28"/>
        <v>6570</v>
      </c>
      <c r="BX105" s="3">
        <f t="shared" si="28"/>
        <v>49275</v>
      </c>
      <c r="BY105" s="3">
        <f t="shared" si="28"/>
        <v>3696750.3972000005</v>
      </c>
      <c r="BZ105" s="3">
        <f t="shared" si="28"/>
        <v>3129125.2607999998</v>
      </c>
      <c r="CA105" s="69">
        <f>SUM(BQ105:BZ105)+1</f>
        <v>6884021.1579999998</v>
      </c>
      <c r="CB105" s="69"/>
    </row>
    <row r="106" spans="13:81">
      <c r="P106" s="71"/>
      <c r="Q106" s="71"/>
      <c r="R106" s="10" t="s">
        <v>15</v>
      </c>
      <c r="S106" s="3"/>
      <c r="T106" s="3"/>
      <c r="U106" s="7"/>
      <c r="V106" s="7"/>
      <c r="W106" s="7"/>
      <c r="X106" s="7">
        <v>0</v>
      </c>
      <c r="Y106" s="7">
        <f>U90*0.00007</f>
        <v>3.0659999999999998</v>
      </c>
      <c r="Z106" s="7">
        <f>U90*0.0002</f>
        <v>8.76</v>
      </c>
      <c r="AA106" s="7">
        <f>U90*0.0015</f>
        <v>65.7</v>
      </c>
      <c r="AB106" s="7">
        <f>U90*0.11527</f>
        <v>5048.826</v>
      </c>
      <c r="AC106" s="69">
        <f t="shared" si="35"/>
        <v>5126.3519999999999</v>
      </c>
      <c r="AD106" s="69"/>
      <c r="AV106" s="76"/>
      <c r="AW106" s="47" t="s">
        <v>16</v>
      </c>
      <c r="AX106" s="6"/>
      <c r="AY106" s="6"/>
      <c r="AZ106" s="6"/>
      <c r="BA106" s="6"/>
      <c r="BB106" s="6"/>
      <c r="BC106" s="20"/>
      <c r="BD106" s="6"/>
      <c r="BE106" s="6"/>
      <c r="BF106" s="6"/>
      <c r="BG106" s="6"/>
      <c r="BH106" s="16"/>
      <c r="BI106" s="70">
        <f>SUM(BI95:BJ105)</f>
        <v>3299730.5019999999</v>
      </c>
      <c r="BJ106" s="70"/>
      <c r="BN106" s="76"/>
      <c r="BO106" s="47" t="s">
        <v>16</v>
      </c>
      <c r="BP106" s="6"/>
      <c r="BQ106" s="6"/>
      <c r="BR106" s="6"/>
      <c r="BS106" s="6"/>
      <c r="BT106" s="6"/>
      <c r="BU106" s="20"/>
      <c r="BV106" s="6"/>
      <c r="BW106" s="6"/>
      <c r="BX106" s="6"/>
      <c r="BY106" s="6"/>
      <c r="BZ106" s="16"/>
      <c r="CA106" s="70">
        <f>SUM(CA95:CB105)</f>
        <v>21959814.894799996</v>
      </c>
      <c r="CB106" s="70"/>
    </row>
    <row r="107" spans="13:81">
      <c r="P107" s="71"/>
      <c r="Q107" s="71"/>
      <c r="R107" s="71" t="s">
        <v>16</v>
      </c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70">
        <f>SUM(AC96:AD106)</f>
        <v>43800.313999999991</v>
      </c>
      <c r="AD107" s="70"/>
      <c r="AV107" s="76"/>
      <c r="AW107" s="13"/>
      <c r="AX107" s="4"/>
      <c r="AY107" s="4"/>
      <c r="AZ107" s="4"/>
      <c r="BA107" s="4"/>
      <c r="BB107" s="4"/>
      <c r="BC107" s="19"/>
      <c r="BD107" s="4"/>
      <c r="BE107" s="4"/>
      <c r="BF107" s="4"/>
      <c r="BG107" s="4"/>
      <c r="BH107" s="15"/>
      <c r="BI107" s="70"/>
      <c r="BJ107" s="70"/>
      <c r="BN107" s="76"/>
      <c r="BO107" s="13"/>
      <c r="BP107" s="4"/>
      <c r="BQ107" s="4"/>
      <c r="BR107" s="4"/>
      <c r="BS107" s="4"/>
      <c r="BT107" s="4"/>
      <c r="BU107" s="19"/>
      <c r="BV107" s="4"/>
      <c r="BW107" s="4"/>
      <c r="BX107" s="4"/>
      <c r="BY107" s="4"/>
      <c r="BZ107" s="15"/>
      <c r="CA107" s="70"/>
      <c r="CB107" s="70"/>
    </row>
    <row r="108" spans="13:81">
      <c r="P108" s="71"/>
      <c r="Q108" s="71"/>
      <c r="R108" s="71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70"/>
      <c r="AD108" s="70"/>
      <c r="AV108" s="77"/>
      <c r="AW108" s="48"/>
      <c r="AX108" s="5"/>
      <c r="AY108" s="5"/>
      <c r="AZ108" s="5"/>
      <c r="BA108" s="5"/>
      <c r="BB108" s="5"/>
      <c r="BC108" s="21"/>
      <c r="BD108" s="5"/>
      <c r="BE108" s="5"/>
      <c r="BF108" s="5"/>
      <c r="BG108" s="5"/>
      <c r="BH108" s="17"/>
      <c r="BI108" s="70"/>
      <c r="BJ108" s="70"/>
      <c r="BN108" s="77"/>
      <c r="BO108" s="48"/>
      <c r="BP108" s="5"/>
      <c r="BQ108" s="5"/>
      <c r="BR108" s="5"/>
      <c r="BS108" s="5"/>
      <c r="BT108" s="5"/>
      <c r="BU108" s="21"/>
      <c r="BV108" s="5"/>
      <c r="BW108" s="5"/>
      <c r="BX108" s="5"/>
      <c r="BY108" s="5"/>
      <c r="BZ108" s="17"/>
      <c r="CA108" s="70"/>
      <c r="CB108" s="70"/>
    </row>
    <row r="109" spans="13:81">
      <c r="P109" s="71"/>
      <c r="Q109" s="71"/>
      <c r="R109" s="71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70"/>
      <c r="AD109" s="70"/>
      <c r="BI109" s="63">
        <f>BI106/5</f>
        <v>659946.1004</v>
      </c>
      <c r="BJ109" s="64"/>
      <c r="BK109" s="67" t="s">
        <v>17</v>
      </c>
      <c r="CA109" s="63">
        <f>CA106/5</f>
        <v>4391962.978959999</v>
      </c>
      <c r="CB109" s="64"/>
      <c r="CC109" s="67" t="s">
        <v>17</v>
      </c>
    </row>
    <row r="110" spans="13:81">
      <c r="BI110" s="65"/>
      <c r="BJ110" s="66"/>
      <c r="BK110" s="68"/>
      <c r="CA110" s="65"/>
      <c r="CB110" s="66"/>
      <c r="CC110" s="68"/>
    </row>
    <row r="111" spans="13:81">
      <c r="BI111" s="57">
        <f>BI109*0.001</f>
        <v>659.94610039999998</v>
      </c>
      <c r="BJ111" s="58"/>
      <c r="BK111" s="61" t="s">
        <v>18</v>
      </c>
      <c r="CA111" s="57">
        <f>CA109*0.001</f>
        <v>4391.9629789599994</v>
      </c>
      <c r="CB111" s="58"/>
      <c r="CC111" s="61" t="s">
        <v>18</v>
      </c>
    </row>
    <row r="112" spans="13:81">
      <c r="BI112" s="59"/>
      <c r="BJ112" s="60"/>
      <c r="BK112" s="62"/>
      <c r="CA112" s="59"/>
      <c r="CB112" s="60"/>
      <c r="CC112" s="62"/>
    </row>
  </sheetData>
  <mergeCells count="286">
    <mergeCell ref="AC10:AD10"/>
    <mergeCell ref="AC11:AD11"/>
    <mergeCell ref="AC12:AD12"/>
    <mergeCell ref="AC13:AD13"/>
    <mergeCell ref="AC14:AD14"/>
    <mergeCell ref="AC15:AD15"/>
    <mergeCell ref="P7:Q21"/>
    <mergeCell ref="AC7:AD7"/>
    <mergeCell ref="P5:AD6"/>
    <mergeCell ref="R19:R21"/>
    <mergeCell ref="AC8:AD8"/>
    <mergeCell ref="AC9:AD9"/>
    <mergeCell ref="AC32:AD32"/>
    <mergeCell ref="AC33:AD33"/>
    <mergeCell ref="AC34:AD34"/>
    <mergeCell ref="AC35:AD35"/>
    <mergeCell ref="AC36:AD36"/>
    <mergeCell ref="AC37:AD37"/>
    <mergeCell ref="AC16:AD16"/>
    <mergeCell ref="AC17:AD17"/>
    <mergeCell ref="AC18:AD18"/>
    <mergeCell ref="AC19:AD21"/>
    <mergeCell ref="P26:AD27"/>
    <mergeCell ref="P28:Q42"/>
    <mergeCell ref="AC28:AD28"/>
    <mergeCell ref="AC29:AD29"/>
    <mergeCell ref="AC30:AD30"/>
    <mergeCell ref="AC31:AD31"/>
    <mergeCell ref="AC38:AD38"/>
    <mergeCell ref="AC39:AD39"/>
    <mergeCell ref="R40:R42"/>
    <mergeCell ref="AC40:AD42"/>
    <mergeCell ref="P48:AD49"/>
    <mergeCell ref="P50:Q64"/>
    <mergeCell ref="AC50:AD50"/>
    <mergeCell ref="AC51:AD51"/>
    <mergeCell ref="AC52:AD52"/>
    <mergeCell ref="AC53:AD53"/>
    <mergeCell ref="R62:R64"/>
    <mergeCell ref="AC62:AD64"/>
    <mergeCell ref="P70:AD71"/>
    <mergeCell ref="P72:Q86"/>
    <mergeCell ref="AC72:AD72"/>
    <mergeCell ref="AC73:AD73"/>
    <mergeCell ref="AC74:AD74"/>
    <mergeCell ref="AC75:AD75"/>
    <mergeCell ref="AC54:AD54"/>
    <mergeCell ref="AC55:AD55"/>
    <mergeCell ref="AC56:AD56"/>
    <mergeCell ref="AC57:AD57"/>
    <mergeCell ref="AC58:AD58"/>
    <mergeCell ref="AC59:AD59"/>
    <mergeCell ref="AC97:AD97"/>
    <mergeCell ref="AC98:AD98"/>
    <mergeCell ref="AC76:AD76"/>
    <mergeCell ref="AC77:AD77"/>
    <mergeCell ref="AC78:AD78"/>
    <mergeCell ref="AC79:AD79"/>
    <mergeCell ref="AC80:AD80"/>
    <mergeCell ref="AC81:AD81"/>
    <mergeCell ref="AC60:AD60"/>
    <mergeCell ref="AC61:AD61"/>
    <mergeCell ref="AC105:AD105"/>
    <mergeCell ref="AC106:AD106"/>
    <mergeCell ref="R107:R109"/>
    <mergeCell ref="AC107:AD109"/>
    <mergeCell ref="AG5:AH6"/>
    <mergeCell ref="AI5:AS5"/>
    <mergeCell ref="AG7:AG17"/>
    <mergeCell ref="AG26:AH27"/>
    <mergeCell ref="AI26:AS26"/>
    <mergeCell ref="AG28:AG38"/>
    <mergeCell ref="AC99:AD99"/>
    <mergeCell ref="AC100:AD100"/>
    <mergeCell ref="AC101:AD101"/>
    <mergeCell ref="AC102:AD102"/>
    <mergeCell ref="AC103:AD103"/>
    <mergeCell ref="AC104:AD104"/>
    <mergeCell ref="AC82:AD82"/>
    <mergeCell ref="AC83:AD83"/>
    <mergeCell ref="R84:R86"/>
    <mergeCell ref="AC84:AD86"/>
    <mergeCell ref="P93:AD94"/>
    <mergeCell ref="P95:Q109"/>
    <mergeCell ref="AC95:AD95"/>
    <mergeCell ref="AC96:AD96"/>
    <mergeCell ref="AV7:AV20"/>
    <mergeCell ref="AX5:BJ5"/>
    <mergeCell ref="BI21:BJ22"/>
    <mergeCell ref="BK21:BK22"/>
    <mergeCell ref="BI42:BJ43"/>
    <mergeCell ref="BK42:BK43"/>
    <mergeCell ref="BI13:BJ13"/>
    <mergeCell ref="BI14:BJ14"/>
    <mergeCell ref="BI15:BJ15"/>
    <mergeCell ref="BI16:BJ16"/>
    <mergeCell ref="BI17:BJ17"/>
    <mergeCell ref="BI18:BJ20"/>
    <mergeCell ref="AV5:AW6"/>
    <mergeCell ref="BI6:BJ6"/>
    <mergeCell ref="BI7:BJ7"/>
    <mergeCell ref="BI8:BJ8"/>
    <mergeCell ref="BI9:BJ9"/>
    <mergeCell ref="BI10:BJ10"/>
    <mergeCell ref="BI11:BJ11"/>
    <mergeCell ref="BI12:BJ12"/>
    <mergeCell ref="AV26:AW27"/>
    <mergeCell ref="AX26:BJ26"/>
    <mergeCell ref="BI27:BJ27"/>
    <mergeCell ref="AV28:AV41"/>
    <mergeCell ref="BI28:BJ28"/>
    <mergeCell ref="BI29:BJ29"/>
    <mergeCell ref="BI30:BJ30"/>
    <mergeCell ref="BI31:BJ31"/>
    <mergeCell ref="BI32:BJ32"/>
    <mergeCell ref="BI33:BJ33"/>
    <mergeCell ref="BI34:BJ34"/>
    <mergeCell ref="BI35:BJ35"/>
    <mergeCell ref="BI36:BJ36"/>
    <mergeCell ref="BI37:BJ37"/>
    <mergeCell ref="BI38:BJ38"/>
    <mergeCell ref="BI39:BJ41"/>
    <mergeCell ref="AV48:AW49"/>
    <mergeCell ref="AX48:BJ48"/>
    <mergeCell ref="BI49:BJ49"/>
    <mergeCell ref="AV50:AV63"/>
    <mergeCell ref="BI50:BJ50"/>
    <mergeCell ref="BI51:BJ51"/>
    <mergeCell ref="BI52:BJ52"/>
    <mergeCell ref="BI53:BJ53"/>
    <mergeCell ref="BI54:BJ54"/>
    <mergeCell ref="BI55:BJ55"/>
    <mergeCell ref="AV70:AW71"/>
    <mergeCell ref="AX70:BJ70"/>
    <mergeCell ref="BI71:BJ71"/>
    <mergeCell ref="AV72:AV85"/>
    <mergeCell ref="BI72:BJ72"/>
    <mergeCell ref="BI73:BJ73"/>
    <mergeCell ref="BI74:BJ74"/>
    <mergeCell ref="BI75:BJ75"/>
    <mergeCell ref="BI56:BJ56"/>
    <mergeCell ref="BI57:BJ57"/>
    <mergeCell ref="BI58:BJ58"/>
    <mergeCell ref="BI59:BJ59"/>
    <mergeCell ref="BI60:BJ60"/>
    <mergeCell ref="BI61:BJ63"/>
    <mergeCell ref="BI94:BJ94"/>
    <mergeCell ref="BI76:BJ76"/>
    <mergeCell ref="BI77:BJ77"/>
    <mergeCell ref="BI78:BJ78"/>
    <mergeCell ref="BI79:BJ79"/>
    <mergeCell ref="BI80:BJ80"/>
    <mergeCell ref="BI81:BJ81"/>
    <mergeCell ref="BI64:BJ65"/>
    <mergeCell ref="BK64:BK65"/>
    <mergeCell ref="BI104:BJ104"/>
    <mergeCell ref="BI105:BJ105"/>
    <mergeCell ref="BI106:BJ108"/>
    <mergeCell ref="BI109:BJ110"/>
    <mergeCell ref="BK109:BK110"/>
    <mergeCell ref="BN5:BO6"/>
    <mergeCell ref="BN50:BN63"/>
    <mergeCell ref="BN95:BN108"/>
    <mergeCell ref="AV95:AV108"/>
    <mergeCell ref="BI95:BJ95"/>
    <mergeCell ref="BI96:BJ96"/>
    <mergeCell ref="BI97:BJ97"/>
    <mergeCell ref="BI98:BJ98"/>
    <mergeCell ref="BI99:BJ99"/>
    <mergeCell ref="BI100:BJ100"/>
    <mergeCell ref="BI101:BJ101"/>
    <mergeCell ref="BI102:BJ102"/>
    <mergeCell ref="BI103:BJ103"/>
    <mergeCell ref="BI82:BJ82"/>
    <mergeCell ref="BI83:BJ85"/>
    <mergeCell ref="BI86:BJ87"/>
    <mergeCell ref="BK86:BK87"/>
    <mergeCell ref="AV93:AW94"/>
    <mergeCell ref="AX93:BJ93"/>
    <mergeCell ref="CA14:CB14"/>
    <mergeCell ref="CA15:CB15"/>
    <mergeCell ref="CA16:CB16"/>
    <mergeCell ref="CA17:CB17"/>
    <mergeCell ref="CA18:CB20"/>
    <mergeCell ref="CA21:CB22"/>
    <mergeCell ref="BP5:CB5"/>
    <mergeCell ref="CA6:CB6"/>
    <mergeCell ref="BN7:BN20"/>
    <mergeCell ref="CA7:CB7"/>
    <mergeCell ref="CA8:CB8"/>
    <mergeCell ref="CA9:CB9"/>
    <mergeCell ref="CA10:CB10"/>
    <mergeCell ref="CA11:CB11"/>
    <mergeCell ref="CA12:CB12"/>
    <mergeCell ref="CA13:CB13"/>
    <mergeCell ref="CC21:CC22"/>
    <mergeCell ref="BN26:BO27"/>
    <mergeCell ref="BP26:CB26"/>
    <mergeCell ref="CA27:CB27"/>
    <mergeCell ref="BN28:BN41"/>
    <mergeCell ref="CA28:CB28"/>
    <mergeCell ref="CA29:CB29"/>
    <mergeCell ref="CA30:CB30"/>
    <mergeCell ref="CA31:CB31"/>
    <mergeCell ref="CA32:CB32"/>
    <mergeCell ref="CA39:CB41"/>
    <mergeCell ref="CA42:CB43"/>
    <mergeCell ref="CC42:CC43"/>
    <mergeCell ref="BN48:BO49"/>
    <mergeCell ref="BP48:CB48"/>
    <mergeCell ref="CA49:CB49"/>
    <mergeCell ref="CA33:CB33"/>
    <mergeCell ref="CA34:CB34"/>
    <mergeCell ref="CA35:CB35"/>
    <mergeCell ref="CA36:CB36"/>
    <mergeCell ref="CA37:CB37"/>
    <mergeCell ref="CA38:CB38"/>
    <mergeCell ref="CA56:CB56"/>
    <mergeCell ref="CA57:CB57"/>
    <mergeCell ref="CA58:CB58"/>
    <mergeCell ref="CA59:CB59"/>
    <mergeCell ref="CA60:CB60"/>
    <mergeCell ref="CA61:CB63"/>
    <mergeCell ref="CA50:CB50"/>
    <mergeCell ref="CA51:CB51"/>
    <mergeCell ref="CA52:CB52"/>
    <mergeCell ref="CA53:CB53"/>
    <mergeCell ref="CA54:CB54"/>
    <mergeCell ref="CA55:CB55"/>
    <mergeCell ref="CA64:CB65"/>
    <mergeCell ref="CC64:CC65"/>
    <mergeCell ref="BN70:BO71"/>
    <mergeCell ref="BP70:CB70"/>
    <mergeCell ref="CA71:CB71"/>
    <mergeCell ref="BN72:BN85"/>
    <mergeCell ref="CA72:CB72"/>
    <mergeCell ref="CA73:CB73"/>
    <mergeCell ref="CA74:CB74"/>
    <mergeCell ref="CA75:CB75"/>
    <mergeCell ref="CA82:CB82"/>
    <mergeCell ref="CA83:CB85"/>
    <mergeCell ref="CA86:CB87"/>
    <mergeCell ref="CC86:CC87"/>
    <mergeCell ref="BN93:BO94"/>
    <mergeCell ref="BP93:CB93"/>
    <mergeCell ref="CA94:CB94"/>
    <mergeCell ref="CA76:CB76"/>
    <mergeCell ref="CA77:CB77"/>
    <mergeCell ref="CA78:CB78"/>
    <mergeCell ref="CA79:CB79"/>
    <mergeCell ref="CA80:CB80"/>
    <mergeCell ref="CA81:CB81"/>
    <mergeCell ref="CA103:CB103"/>
    <mergeCell ref="CA104:CB104"/>
    <mergeCell ref="CA105:CB105"/>
    <mergeCell ref="CA106:CB108"/>
    <mergeCell ref="CA95:CB95"/>
    <mergeCell ref="CA96:CB96"/>
    <mergeCell ref="CA97:CB97"/>
    <mergeCell ref="CA98:CB98"/>
    <mergeCell ref="CA99:CB99"/>
    <mergeCell ref="CA100:CB100"/>
    <mergeCell ref="BI111:BJ112"/>
    <mergeCell ref="BK111:BK112"/>
    <mergeCell ref="CA111:CB112"/>
    <mergeCell ref="CC111:CC112"/>
    <mergeCell ref="BI23:BJ24"/>
    <mergeCell ref="BK23:BK24"/>
    <mergeCell ref="BI44:BJ45"/>
    <mergeCell ref="BK44:BK45"/>
    <mergeCell ref="BI66:BJ67"/>
    <mergeCell ref="BK66:BK67"/>
    <mergeCell ref="BI88:BJ89"/>
    <mergeCell ref="BK88:BK89"/>
    <mergeCell ref="CA109:CB110"/>
    <mergeCell ref="CC109:CC110"/>
    <mergeCell ref="CA23:CB24"/>
    <mergeCell ref="CC23:CC24"/>
    <mergeCell ref="CA44:CB45"/>
    <mergeCell ref="CC44:CC45"/>
    <mergeCell ref="CA66:CB67"/>
    <mergeCell ref="CC66:CC67"/>
    <mergeCell ref="CA88:CB89"/>
    <mergeCell ref="CC88:CC89"/>
    <mergeCell ref="CA101:CB101"/>
    <mergeCell ref="CA102:CB102"/>
  </mergeCells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Q779"/>
  <sheetViews>
    <sheetView topLeftCell="AC38" zoomScale="60" zoomScaleNormal="60" zoomScalePageLayoutView="10" workbookViewId="0">
      <selection activeCell="R64" sqref="R64"/>
    </sheetView>
  </sheetViews>
  <sheetFormatPr defaultColWidth="8.85546875" defaultRowHeight="15"/>
  <cols>
    <col min="2" max="2" width="38.42578125" bestFit="1" customWidth="1"/>
    <col min="3" max="3" width="13.42578125" bestFit="1" customWidth="1"/>
    <col min="4" max="4" width="12" bestFit="1" customWidth="1"/>
    <col min="5" max="5" width="22.140625" bestFit="1" customWidth="1"/>
    <col min="6" max="6" width="13.7109375" bestFit="1" customWidth="1"/>
    <col min="7" max="7" width="7" bestFit="1" customWidth="1"/>
    <col min="10" max="10" width="25.140625" bestFit="1" customWidth="1"/>
    <col min="11" max="11" width="5" bestFit="1" customWidth="1"/>
    <col min="12" max="12" width="17.140625" bestFit="1" customWidth="1"/>
    <col min="13" max="13" width="8.85546875" customWidth="1"/>
    <col min="14" max="14" width="34" bestFit="1" customWidth="1"/>
    <col min="15" max="15" width="23.28515625" bestFit="1" customWidth="1"/>
    <col min="16" max="16" width="13.42578125" bestFit="1" customWidth="1"/>
    <col min="19" max="19" width="9.7109375" customWidth="1"/>
    <col min="20" max="20" width="20.28515625" bestFit="1" customWidth="1"/>
    <col min="21" max="21" width="12" customWidth="1"/>
    <col min="24" max="24" width="12.140625" bestFit="1" customWidth="1"/>
    <col min="28" max="28" width="17.28515625" bestFit="1" customWidth="1"/>
    <col min="43" max="43" width="13.85546875" customWidth="1"/>
  </cols>
  <sheetData>
    <row r="3" spans="2:23" ht="23.25">
      <c r="B3" s="52" t="s">
        <v>29</v>
      </c>
      <c r="C3" s="52"/>
      <c r="D3" s="52"/>
      <c r="E3" s="52"/>
      <c r="F3" s="52"/>
      <c r="G3" s="52"/>
    </row>
    <row r="5" spans="2:23" ht="18.75">
      <c r="E5" s="42"/>
      <c r="F5" s="41"/>
      <c r="N5" s="26"/>
      <c r="O5" s="27" t="s">
        <v>30</v>
      </c>
      <c r="P5" s="6"/>
      <c r="Q5" s="6"/>
      <c r="R5" s="6"/>
      <c r="S5" s="28"/>
      <c r="T5" s="4"/>
      <c r="U5" s="4"/>
      <c r="V5" s="4"/>
    </row>
    <row r="6" spans="2:23" ht="18.75">
      <c r="B6" s="53" t="s">
        <v>31</v>
      </c>
      <c r="C6" s="53"/>
      <c r="D6" s="53"/>
      <c r="N6" s="29"/>
      <c r="O6" s="4"/>
      <c r="P6" s="4"/>
      <c r="Q6" s="4"/>
      <c r="R6" s="4"/>
      <c r="S6" s="30"/>
      <c r="T6" s="4"/>
      <c r="U6" s="4"/>
      <c r="V6" s="4"/>
    </row>
    <row r="7" spans="2:23">
      <c r="N7" s="29"/>
      <c r="O7" s="4"/>
      <c r="P7" s="4"/>
      <c r="Q7" s="4"/>
      <c r="R7" s="4"/>
      <c r="S7" s="30"/>
      <c r="T7" s="4"/>
      <c r="U7" s="4"/>
      <c r="V7" s="4"/>
    </row>
    <row r="8" spans="2:23">
      <c r="B8" s="45" t="s">
        <v>32</v>
      </c>
      <c r="C8" s="45" t="s">
        <v>33</v>
      </c>
      <c r="D8" s="45" t="s">
        <v>34</v>
      </c>
      <c r="E8" s="45" t="s">
        <v>35</v>
      </c>
      <c r="F8" s="45" t="s">
        <v>36</v>
      </c>
      <c r="N8" s="29"/>
      <c r="O8" s="4"/>
      <c r="P8" s="4"/>
      <c r="Q8" s="4"/>
      <c r="R8" s="4"/>
      <c r="S8" s="30"/>
      <c r="T8" s="4"/>
      <c r="U8" s="4"/>
      <c r="V8" s="4"/>
    </row>
    <row r="9" spans="2:23">
      <c r="B9" s="44">
        <f>((1.025*(9.81^2))/(64*PI()))*((C9)^2)*(D9)</f>
        <v>0</v>
      </c>
      <c r="C9" s="43">
        <v>0</v>
      </c>
      <c r="D9" s="3">
        <v>1</v>
      </c>
      <c r="E9" s="3">
        <f>1/D9</f>
        <v>1</v>
      </c>
      <c r="F9" s="3">
        <f>(2*PI())/D9</f>
        <v>6.2831853071795862</v>
      </c>
      <c r="N9" s="29"/>
      <c r="O9" s="4"/>
      <c r="P9" s="4"/>
      <c r="Q9" s="4"/>
      <c r="R9" s="4"/>
      <c r="S9" s="30"/>
      <c r="T9" s="4"/>
      <c r="U9" s="4"/>
      <c r="V9" s="4"/>
    </row>
    <row r="10" spans="2:23">
      <c r="B10" s="44">
        <f t="shared" ref="B10:B33" si="0">((1.025*(9.81^2))/(64*PI()))*((C10)^2)*(D10)</f>
        <v>0.2453025358493453</v>
      </c>
      <c r="C10" s="43">
        <v>0.5</v>
      </c>
      <c r="D10" s="3">
        <v>2</v>
      </c>
      <c r="E10" s="3">
        <f t="shared" ref="E10:E33" si="1">1/D10</f>
        <v>0.5</v>
      </c>
      <c r="F10" s="3">
        <f t="shared" ref="F10:F33" si="2">(2*PI())/D10</f>
        <v>3.1415926535897931</v>
      </c>
      <c r="N10" s="29"/>
      <c r="O10" s="4"/>
      <c r="P10" s="4"/>
      <c r="Q10" s="4"/>
      <c r="R10" s="4"/>
      <c r="S10" s="30"/>
      <c r="T10" s="4"/>
      <c r="U10" s="4"/>
      <c r="V10" s="4"/>
    </row>
    <row r="11" spans="2:23">
      <c r="B11" s="44">
        <f t="shared" si="0"/>
        <v>1.4718152150960719</v>
      </c>
      <c r="C11" s="43">
        <v>1</v>
      </c>
      <c r="D11" s="3">
        <v>3</v>
      </c>
      <c r="E11" s="3">
        <f t="shared" si="1"/>
        <v>0.33333333333333331</v>
      </c>
      <c r="F11" s="3">
        <f t="shared" si="2"/>
        <v>2.0943951023931953</v>
      </c>
      <c r="N11" s="32" t="s">
        <v>37</v>
      </c>
      <c r="O11" s="40">
        <f>((1.025*(9.81^2))/(64*PI()))*(('Raw Data'!AW12)^2)*('Raw Data'!BE6)</f>
        <v>35.323565162305727</v>
      </c>
      <c r="P11" s="38" t="s">
        <v>38</v>
      </c>
      <c r="Q11" s="4"/>
      <c r="R11" s="3" t="s">
        <v>39</v>
      </c>
      <c r="S11" s="3" t="s">
        <v>40</v>
      </c>
      <c r="T11" s="4"/>
      <c r="U11" s="4"/>
      <c r="V11" s="4"/>
    </row>
    <row r="12" spans="2:23">
      <c r="B12" s="44">
        <f t="shared" si="0"/>
        <v>4.4154456452882158</v>
      </c>
      <c r="C12" s="43">
        <v>1.5</v>
      </c>
      <c r="D12" s="3">
        <v>4</v>
      </c>
      <c r="E12" s="3">
        <f t="shared" si="1"/>
        <v>0.25</v>
      </c>
      <c r="F12" s="3">
        <f t="shared" si="2"/>
        <v>1.5707963267948966</v>
      </c>
      <c r="N12" s="29"/>
      <c r="O12" s="4"/>
      <c r="P12" s="4"/>
      <c r="Q12" s="4"/>
      <c r="R12" s="4"/>
      <c r="S12" s="30"/>
      <c r="T12" s="4"/>
      <c r="U12" s="4"/>
      <c r="V12" s="4"/>
    </row>
    <row r="13" spans="2:23">
      <c r="B13" s="44">
        <f t="shared" si="0"/>
        <v>9.8121014339738117</v>
      </c>
      <c r="C13" s="43">
        <v>2</v>
      </c>
      <c r="D13" s="3">
        <v>5</v>
      </c>
      <c r="E13" s="3">
        <f t="shared" si="1"/>
        <v>0.2</v>
      </c>
      <c r="F13" s="3">
        <f t="shared" si="2"/>
        <v>1.2566370614359172</v>
      </c>
      <c r="N13" s="32" t="s">
        <v>41</v>
      </c>
      <c r="O13" s="33">
        <f>('Raw Data'!BE12+'Raw Data'!BE33+'Raw Data'!BE55+'Raw Data'!BE77+'Raw Data'!BE100)/5</f>
        <v>37820.336399999993</v>
      </c>
      <c r="P13" s="4"/>
      <c r="Q13" s="4"/>
      <c r="R13" s="4"/>
      <c r="S13" s="30"/>
      <c r="T13" s="4"/>
      <c r="U13" s="4"/>
      <c r="V13" s="4"/>
    </row>
    <row r="14" spans="2:23">
      <c r="B14" s="44">
        <f t="shared" si="0"/>
        <v>18.397690188700899</v>
      </c>
      <c r="C14" s="43">
        <v>2.5</v>
      </c>
      <c r="D14" s="3">
        <v>6</v>
      </c>
      <c r="E14" s="3">
        <f t="shared" si="1"/>
        <v>0.16666666666666666</v>
      </c>
      <c r="F14" s="3">
        <f t="shared" si="2"/>
        <v>1.0471975511965976</v>
      </c>
      <c r="N14" s="29"/>
      <c r="O14" s="37">
        <f>O13*0.001</f>
        <v>37.820336399999995</v>
      </c>
      <c r="P14" s="38" t="s">
        <v>42</v>
      </c>
      <c r="Q14" s="4"/>
      <c r="R14" s="4"/>
      <c r="S14" s="30"/>
      <c r="T14" s="4"/>
      <c r="U14" s="4"/>
      <c r="V14" s="4"/>
    </row>
    <row r="15" spans="2:23">
      <c r="B15" s="44">
        <f t="shared" si="0"/>
        <v>30.908119517017511</v>
      </c>
      <c r="C15" s="43">
        <v>3</v>
      </c>
      <c r="D15" s="3">
        <v>7</v>
      </c>
      <c r="E15" s="3">
        <f t="shared" si="1"/>
        <v>0.14285714285714285</v>
      </c>
      <c r="F15" s="3">
        <f t="shared" si="2"/>
        <v>0.89759790102565518</v>
      </c>
      <c r="N15" s="29"/>
      <c r="O15" s="4"/>
      <c r="P15" s="4"/>
      <c r="Q15" s="4"/>
      <c r="R15" s="4"/>
      <c r="S15" s="30"/>
      <c r="T15" s="4"/>
      <c r="U15" s="4"/>
      <c r="V15" s="4"/>
    </row>
    <row r="16" spans="2:23">
      <c r="B16" s="44">
        <f t="shared" si="0"/>
        <v>48.079297026471679</v>
      </c>
      <c r="C16" s="43">
        <v>3.5</v>
      </c>
      <c r="D16" s="3">
        <v>8</v>
      </c>
      <c r="E16" s="3">
        <f t="shared" si="1"/>
        <v>0.125</v>
      </c>
      <c r="F16" s="3">
        <f t="shared" si="2"/>
        <v>0.78539816339744828</v>
      </c>
      <c r="N16" s="32" t="s">
        <v>43</v>
      </c>
      <c r="O16" s="28">
        <f>('Raw Data'!BW12+'Raw Data'!BW33+'Raw Data'!BW77+'Raw Data'!BW100)/5</f>
        <v>129831.6096</v>
      </c>
      <c r="P16" s="4"/>
      <c r="Q16" s="4"/>
      <c r="R16" s="4"/>
      <c r="S16" s="30"/>
      <c r="T16" s="4"/>
      <c r="U16" s="4"/>
      <c r="V16" s="25"/>
      <c r="W16" s="25"/>
    </row>
    <row r="17" spans="2:23">
      <c r="B17" s="44">
        <f t="shared" si="0"/>
        <v>70.647130324611453</v>
      </c>
      <c r="C17" s="43">
        <v>4</v>
      </c>
      <c r="D17" s="3">
        <v>9</v>
      </c>
      <c r="E17" s="3">
        <f t="shared" si="1"/>
        <v>0.1111111111111111</v>
      </c>
      <c r="F17" s="3">
        <f t="shared" si="2"/>
        <v>0.69813170079773179</v>
      </c>
      <c r="N17" s="29"/>
      <c r="O17" s="39">
        <f>O16*0.001</f>
        <v>129.83160960000001</v>
      </c>
      <c r="P17" s="38" t="s">
        <v>38</v>
      </c>
      <c r="Q17" s="4"/>
      <c r="R17" s="4"/>
      <c r="S17" s="30"/>
      <c r="T17" s="4"/>
      <c r="U17" s="4"/>
      <c r="V17" s="25"/>
      <c r="W17" s="25"/>
    </row>
    <row r="18" spans="2:23">
      <c r="B18" s="44">
        <f t="shared" si="0"/>
        <v>99.347527018984863</v>
      </c>
      <c r="C18" s="43">
        <v>4.5</v>
      </c>
      <c r="D18" s="3">
        <v>10</v>
      </c>
      <c r="E18" s="3">
        <f t="shared" si="1"/>
        <v>0.1</v>
      </c>
      <c r="F18" s="3">
        <f t="shared" si="2"/>
        <v>0.62831853071795862</v>
      </c>
      <c r="N18" s="29"/>
      <c r="O18" s="4"/>
      <c r="P18" s="4"/>
      <c r="Q18" s="4"/>
      <c r="R18" s="4"/>
      <c r="S18" s="30"/>
      <c r="T18" s="4"/>
      <c r="U18" s="4"/>
      <c r="V18" s="4"/>
    </row>
    <row r="19" spans="2:23">
      <c r="B19" s="44">
        <f t="shared" si="0"/>
        <v>134.91639471713992</v>
      </c>
      <c r="C19" s="43">
        <v>5</v>
      </c>
      <c r="D19" s="3">
        <v>11</v>
      </c>
      <c r="E19" s="3">
        <f t="shared" si="1"/>
        <v>9.0909090909090912E-2</v>
      </c>
      <c r="F19" s="3">
        <f t="shared" si="2"/>
        <v>0.5711986642890533</v>
      </c>
      <c r="N19" s="3" t="s">
        <v>44</v>
      </c>
      <c r="O19" s="34">
        <v>659.94610039999998</v>
      </c>
      <c r="P19" s="35" t="s">
        <v>18</v>
      </c>
      <c r="Q19" s="4"/>
      <c r="R19" s="4"/>
      <c r="S19" s="30"/>
      <c r="T19" s="4"/>
      <c r="U19" s="4"/>
      <c r="V19" s="4"/>
    </row>
    <row r="20" spans="2:23">
      <c r="B20" s="44">
        <f t="shared" si="0"/>
        <v>178.08964102662469</v>
      </c>
      <c r="C20" s="43">
        <v>5.5</v>
      </c>
      <c r="D20" s="3">
        <v>12</v>
      </c>
      <c r="E20" s="3">
        <f t="shared" si="1"/>
        <v>8.3333333333333329E-2</v>
      </c>
      <c r="F20" s="3">
        <f t="shared" si="2"/>
        <v>0.52359877559829882</v>
      </c>
      <c r="N20" s="3" t="s">
        <v>44</v>
      </c>
      <c r="O20" s="36">
        <v>574.12176992000013</v>
      </c>
      <c r="P20" s="35" t="s">
        <v>18</v>
      </c>
      <c r="Q20" s="4"/>
      <c r="R20" s="4"/>
      <c r="S20" s="30"/>
      <c r="T20" s="4"/>
      <c r="U20" s="4"/>
      <c r="V20" s="4"/>
    </row>
    <row r="21" spans="2:23">
      <c r="B21" s="44">
        <f t="shared" si="0"/>
        <v>229.60317355498722</v>
      </c>
      <c r="C21" s="43">
        <v>6</v>
      </c>
      <c r="D21" s="3">
        <v>13</v>
      </c>
      <c r="E21" s="3">
        <f t="shared" si="1"/>
        <v>7.6923076923076927E-2</v>
      </c>
      <c r="F21" s="3">
        <f t="shared" si="2"/>
        <v>0.483321946706122</v>
      </c>
      <c r="M21">
        <v>0</v>
      </c>
      <c r="N21" s="3" t="s">
        <v>44</v>
      </c>
      <c r="O21" s="34">
        <v>376.21963424000006</v>
      </c>
      <c r="P21" s="35" t="s">
        <v>18</v>
      </c>
      <c r="Q21" s="4"/>
      <c r="R21" s="4"/>
      <c r="S21" s="30"/>
      <c r="T21" s="25"/>
      <c r="U21" s="25"/>
      <c r="V21" s="25"/>
    </row>
    <row r="22" spans="2:23">
      <c r="B22" s="44">
        <f t="shared" si="0"/>
        <v>290.19289990977546</v>
      </c>
      <c r="C22" s="43">
        <v>6.5</v>
      </c>
      <c r="D22" s="3">
        <v>14</v>
      </c>
      <c r="E22" s="3">
        <f t="shared" si="1"/>
        <v>7.1428571428571425E-2</v>
      </c>
      <c r="F22" s="3">
        <f t="shared" si="2"/>
        <v>0.44879895051282759</v>
      </c>
      <c r="N22" s="29"/>
      <c r="O22" s="4"/>
      <c r="P22" s="4"/>
      <c r="Q22" s="4"/>
      <c r="R22" s="4"/>
      <c r="S22" s="30"/>
      <c r="T22" s="4"/>
      <c r="U22" s="4"/>
      <c r="V22" s="4"/>
    </row>
    <row r="23" spans="2:23">
      <c r="B23" s="44">
        <f t="shared" si="0"/>
        <v>360.59472769853761</v>
      </c>
      <c r="C23" s="43">
        <v>7</v>
      </c>
      <c r="D23" s="3">
        <v>15</v>
      </c>
      <c r="E23" s="3">
        <f t="shared" si="1"/>
        <v>6.6666666666666666E-2</v>
      </c>
      <c r="F23" s="3">
        <f t="shared" si="2"/>
        <v>0.41887902047863906</v>
      </c>
      <c r="N23" s="3" t="s">
        <v>44</v>
      </c>
      <c r="O23" s="34">
        <v>659.94610039999998</v>
      </c>
      <c r="P23" s="35" t="s">
        <v>18</v>
      </c>
      <c r="Q23" s="4"/>
      <c r="R23" s="4"/>
      <c r="S23" s="30"/>
      <c r="T23" s="4"/>
      <c r="U23" s="4"/>
      <c r="V23" s="4"/>
    </row>
    <row r="24" spans="2:23">
      <c r="B24" s="44">
        <f t="shared" si="0"/>
        <v>441.54456452882152</v>
      </c>
      <c r="C24" s="43">
        <v>7.5</v>
      </c>
      <c r="D24" s="3">
        <v>16</v>
      </c>
      <c r="E24" s="3">
        <f t="shared" si="1"/>
        <v>6.25E-2</v>
      </c>
      <c r="F24" s="3">
        <f t="shared" si="2"/>
        <v>0.39269908169872414</v>
      </c>
      <c r="N24" s="3" t="s">
        <v>45</v>
      </c>
      <c r="O24" s="36">
        <v>4391.9629789599994</v>
      </c>
      <c r="P24" s="35" t="s">
        <v>18</v>
      </c>
      <c r="Q24" s="4"/>
      <c r="R24" s="4"/>
      <c r="S24" s="30"/>
      <c r="T24" s="4"/>
      <c r="U24" s="4"/>
      <c r="V24" s="4"/>
    </row>
    <row r="25" spans="2:23">
      <c r="B25" s="44">
        <f t="shared" si="0"/>
        <v>533.77831800817535</v>
      </c>
      <c r="C25" s="43">
        <v>8</v>
      </c>
      <c r="D25" s="3">
        <v>17</v>
      </c>
      <c r="E25" s="3">
        <f t="shared" si="1"/>
        <v>5.8823529411764705E-2</v>
      </c>
      <c r="F25" s="3">
        <f t="shared" si="2"/>
        <v>0.36959913571644626</v>
      </c>
      <c r="N25" s="29"/>
      <c r="O25" s="4"/>
      <c r="P25" s="4"/>
      <c r="Q25" s="4"/>
      <c r="R25" s="4"/>
      <c r="S25" s="30"/>
      <c r="T25" s="4"/>
      <c r="U25" s="4"/>
      <c r="V25" s="4"/>
    </row>
    <row r="26" spans="2:23">
      <c r="B26" s="44">
        <f t="shared" si="0"/>
        <v>638.03189574414705</v>
      </c>
      <c r="C26" s="43">
        <v>8.5</v>
      </c>
      <c r="D26" s="3">
        <v>18</v>
      </c>
      <c r="E26" s="3">
        <f t="shared" si="1"/>
        <v>5.5555555555555552E-2</v>
      </c>
      <c r="F26" s="3">
        <f t="shared" si="2"/>
        <v>0.3490658503988659</v>
      </c>
      <c r="N26" s="3" t="s">
        <v>44</v>
      </c>
      <c r="O26" s="36">
        <v>574.12176992000013</v>
      </c>
      <c r="P26" s="35" t="s">
        <v>18</v>
      </c>
      <c r="Q26" s="4"/>
      <c r="R26" s="4"/>
      <c r="S26" s="30"/>
      <c r="T26" s="4"/>
      <c r="U26" s="4"/>
      <c r="V26" s="4"/>
    </row>
    <row r="27" spans="2:23">
      <c r="B27" s="44">
        <f t="shared" si="0"/>
        <v>755.04120534428489</v>
      </c>
      <c r="C27" s="43">
        <v>9</v>
      </c>
      <c r="D27" s="3">
        <v>19</v>
      </c>
      <c r="E27" s="3">
        <f t="shared" si="1"/>
        <v>5.2631578947368418E-2</v>
      </c>
      <c r="F27" s="3">
        <f t="shared" si="2"/>
        <v>0.33069396353576769</v>
      </c>
      <c r="N27" s="3" t="s">
        <v>45</v>
      </c>
      <c r="O27" s="36">
        <v>3807.3233999999998</v>
      </c>
      <c r="P27" s="35" t="s">
        <v>18</v>
      </c>
      <c r="Q27" s="4"/>
      <c r="R27" s="4"/>
      <c r="S27" s="30"/>
      <c r="T27" s="4"/>
      <c r="U27" s="4"/>
      <c r="V27" s="4"/>
    </row>
    <row r="28" spans="2:23">
      <c r="B28" s="44">
        <f t="shared" si="0"/>
        <v>885.54215441613655</v>
      </c>
      <c r="C28" s="43">
        <v>9.5</v>
      </c>
      <c r="D28" s="3">
        <v>20</v>
      </c>
      <c r="E28" s="3">
        <f t="shared" si="1"/>
        <v>0.05</v>
      </c>
      <c r="F28" s="3">
        <f t="shared" si="2"/>
        <v>0.31415926535897931</v>
      </c>
      <c r="N28" s="29"/>
      <c r="O28" s="4"/>
      <c r="P28" s="4"/>
      <c r="Q28" s="4"/>
      <c r="R28" s="4"/>
      <c r="S28" s="30"/>
      <c r="T28" s="4"/>
      <c r="U28" s="4"/>
      <c r="V28" s="4"/>
    </row>
    <row r="29" spans="2:23">
      <c r="B29" s="44">
        <f t="shared" si="0"/>
        <v>1030.2706505672504</v>
      </c>
      <c r="C29" s="43">
        <v>10</v>
      </c>
      <c r="D29" s="3">
        <v>21</v>
      </c>
      <c r="E29" s="3">
        <f t="shared" si="1"/>
        <v>4.7619047619047616E-2</v>
      </c>
      <c r="F29" s="3">
        <f t="shared" si="2"/>
        <v>0.29919930034188508</v>
      </c>
      <c r="N29" s="3" t="s">
        <v>44</v>
      </c>
      <c r="O29" s="34">
        <v>376.21963424000006</v>
      </c>
      <c r="P29" s="35" t="s">
        <v>18</v>
      </c>
      <c r="Q29" s="4"/>
      <c r="R29" s="4"/>
      <c r="S29" s="30"/>
      <c r="T29" s="4"/>
      <c r="U29" s="4"/>
      <c r="V29" s="4"/>
    </row>
    <row r="30" spans="2:23">
      <c r="B30" s="44">
        <f t="shared" si="0"/>
        <v>1189.9626014051742</v>
      </c>
      <c r="C30" s="43">
        <v>10.5</v>
      </c>
      <c r="D30" s="3">
        <v>22</v>
      </c>
      <c r="E30" s="3">
        <f t="shared" si="1"/>
        <v>4.5454545454545456E-2</v>
      </c>
      <c r="F30" s="3">
        <f t="shared" si="2"/>
        <v>0.28559933214452665</v>
      </c>
      <c r="N30" s="3" t="s">
        <v>45</v>
      </c>
      <c r="O30" s="36">
        <v>2278.5836687600008</v>
      </c>
      <c r="P30" s="35" t="s">
        <v>18</v>
      </c>
      <c r="Q30" s="4"/>
      <c r="R30" s="4"/>
      <c r="S30" s="30"/>
      <c r="T30" s="4"/>
      <c r="U30" s="4"/>
      <c r="V30" s="4"/>
    </row>
    <row r="31" spans="2:23">
      <c r="B31" s="44">
        <f t="shared" si="0"/>
        <v>1365.3539145374559</v>
      </c>
      <c r="C31" s="43">
        <v>11</v>
      </c>
      <c r="D31" s="3">
        <v>23</v>
      </c>
      <c r="E31" s="3">
        <f t="shared" si="1"/>
        <v>4.3478260869565216E-2</v>
      </c>
      <c r="F31" s="3">
        <f t="shared" si="2"/>
        <v>0.27318196987737331</v>
      </c>
      <c r="N31" s="29"/>
      <c r="O31" s="4"/>
      <c r="P31" s="4"/>
      <c r="Q31" s="4"/>
      <c r="R31" s="4"/>
      <c r="S31" s="30"/>
      <c r="T31" s="4"/>
      <c r="U31" s="4"/>
      <c r="V31" s="4"/>
    </row>
    <row r="32" spans="2:23">
      <c r="B32" s="44">
        <f t="shared" si="0"/>
        <v>1557.1804975716441</v>
      </c>
      <c r="C32" s="43">
        <v>11.5</v>
      </c>
      <c r="D32" s="3">
        <v>24</v>
      </c>
      <c r="E32" s="3">
        <f t="shared" si="1"/>
        <v>4.1666666666666664E-2</v>
      </c>
      <c r="F32" s="3">
        <f t="shared" si="2"/>
        <v>0.26179938779914941</v>
      </c>
      <c r="N32" s="3" t="s">
        <v>45</v>
      </c>
      <c r="O32" s="36">
        <v>4391.9629789599994</v>
      </c>
      <c r="P32" s="35" t="s">
        <v>18</v>
      </c>
      <c r="Q32" s="4"/>
      <c r="R32" s="4"/>
      <c r="S32" s="30"/>
      <c r="T32" s="4"/>
      <c r="U32" s="4"/>
      <c r="V32" s="4"/>
    </row>
    <row r="33" spans="2:43">
      <c r="B33" s="44">
        <f t="shared" si="0"/>
        <v>1766.1782581152863</v>
      </c>
      <c r="C33" s="43">
        <v>12</v>
      </c>
      <c r="D33" s="3">
        <v>25</v>
      </c>
      <c r="E33" s="3">
        <f t="shared" si="1"/>
        <v>0.04</v>
      </c>
      <c r="F33" s="3">
        <f t="shared" si="2"/>
        <v>0.25132741228718347</v>
      </c>
      <c r="N33" s="3" t="s">
        <v>45</v>
      </c>
      <c r="O33" s="36">
        <v>3807.3233999999998</v>
      </c>
      <c r="P33" s="35" t="s">
        <v>18</v>
      </c>
      <c r="Q33" s="4"/>
      <c r="R33" s="4"/>
      <c r="S33" s="30"/>
      <c r="T33" s="4"/>
      <c r="U33" s="4"/>
      <c r="V33" s="4"/>
    </row>
    <row r="34" spans="2:43">
      <c r="N34" s="3" t="s">
        <v>45</v>
      </c>
      <c r="O34" s="36">
        <v>2278.5836687600008</v>
      </c>
      <c r="P34" s="35" t="s">
        <v>18</v>
      </c>
      <c r="Q34" s="5"/>
      <c r="R34" s="5"/>
      <c r="S34" s="31"/>
      <c r="T34" s="4"/>
      <c r="U34" s="4"/>
      <c r="V34" s="4"/>
    </row>
    <row r="35" spans="2:43">
      <c r="Q35" s="4"/>
      <c r="R35" s="4"/>
      <c r="S35" s="4"/>
      <c r="T35" s="4"/>
      <c r="U35" s="4"/>
      <c r="V35" s="4"/>
    </row>
    <row r="36" spans="2:43">
      <c r="Q36" s="4"/>
      <c r="R36" s="4"/>
      <c r="S36" s="4"/>
      <c r="T36" s="4"/>
      <c r="U36" s="4"/>
      <c r="V36" s="4"/>
    </row>
    <row r="37" spans="2:43" ht="15.75">
      <c r="B37" s="54" t="s">
        <v>46</v>
      </c>
      <c r="C37" s="55"/>
      <c r="J37" s="54" t="s">
        <v>47</v>
      </c>
      <c r="K37" s="56"/>
      <c r="L37" s="28"/>
      <c r="Q37" s="4"/>
      <c r="R37" s="4"/>
      <c r="S37" s="4"/>
      <c r="T37" s="4"/>
      <c r="U37" s="4"/>
      <c r="V37" s="4"/>
    </row>
    <row r="38" spans="2:43" ht="15.75">
      <c r="B38" s="3" t="s">
        <v>48</v>
      </c>
      <c r="C38" s="3">
        <v>7</v>
      </c>
      <c r="D38" s="3" t="s">
        <v>49</v>
      </c>
      <c r="E38" s="3" t="s">
        <v>50</v>
      </c>
      <c r="F38" s="3">
        <v>1.0024999999999999</v>
      </c>
      <c r="J38" s="3" t="s">
        <v>51</v>
      </c>
      <c r="K38" s="3">
        <v>150</v>
      </c>
      <c r="L38" s="3" t="s">
        <v>52</v>
      </c>
      <c r="M38" s="28"/>
      <c r="N38" s="11" t="s">
        <v>53</v>
      </c>
      <c r="O38" s="3" t="s">
        <v>54</v>
      </c>
      <c r="P38" s="3" t="s">
        <v>55</v>
      </c>
      <c r="T38" s="49" t="s">
        <v>56</v>
      </c>
      <c r="U38" s="50"/>
      <c r="V38" s="50"/>
      <c r="W38" s="50"/>
      <c r="X38" s="51"/>
      <c r="AB38" s="49" t="s">
        <v>57</v>
      </c>
      <c r="AC38" s="50"/>
      <c r="AD38" s="51"/>
      <c r="AG38" s="49" t="s">
        <v>56</v>
      </c>
      <c r="AH38" s="50"/>
      <c r="AI38" s="50"/>
      <c r="AJ38" s="50"/>
      <c r="AK38" s="51"/>
      <c r="AO38" s="49" t="s">
        <v>57</v>
      </c>
      <c r="AP38" s="50"/>
      <c r="AQ38" s="51"/>
    </row>
    <row r="39" spans="2:43">
      <c r="B39" s="3" t="s">
        <v>58</v>
      </c>
      <c r="C39" s="3">
        <v>4.8</v>
      </c>
      <c r="D39" s="3" t="s">
        <v>49</v>
      </c>
      <c r="E39" s="3" t="s">
        <v>59</v>
      </c>
      <c r="F39" s="3">
        <v>9.81</v>
      </c>
      <c r="J39" s="3" t="s">
        <v>60</v>
      </c>
      <c r="K39" s="3">
        <v>3.5</v>
      </c>
      <c r="L39" s="3" t="s">
        <v>52</v>
      </c>
      <c r="M39" s="30"/>
      <c r="N39" s="11" t="s">
        <v>61</v>
      </c>
      <c r="O39" s="3">
        <v>950</v>
      </c>
      <c r="P39" s="3">
        <v>0</v>
      </c>
      <c r="T39" s="29"/>
      <c r="U39" s="4"/>
      <c r="V39" s="4"/>
      <c r="W39" s="4"/>
      <c r="X39" s="30"/>
      <c r="AB39" s="29"/>
      <c r="AC39" s="4"/>
      <c r="AD39" s="30"/>
    </row>
    <row r="40" spans="2:43">
      <c r="B40" s="3" t="s">
        <v>62</v>
      </c>
      <c r="C40" s="3">
        <v>185</v>
      </c>
      <c r="D40" s="3" t="s">
        <v>63</v>
      </c>
      <c r="E40" s="3" t="s">
        <v>64</v>
      </c>
      <c r="F40" s="3">
        <v>1</v>
      </c>
      <c r="J40" s="3" t="s">
        <v>65</v>
      </c>
      <c r="K40" s="3">
        <v>700</v>
      </c>
      <c r="L40" s="3" t="s">
        <v>66</v>
      </c>
      <c r="M40" s="30"/>
      <c r="N40" s="11" t="s">
        <v>67</v>
      </c>
      <c r="O40" s="3">
        <v>50</v>
      </c>
      <c r="P40" s="3" t="s">
        <v>52</v>
      </c>
      <c r="T40" s="29" t="s">
        <v>68</v>
      </c>
      <c r="U40" s="4"/>
      <c r="V40" s="4"/>
      <c r="W40" s="4"/>
      <c r="X40" s="30"/>
      <c r="AB40" s="29" t="s">
        <v>69</v>
      </c>
      <c r="AC40" s="4"/>
      <c r="AD40" s="30"/>
    </row>
    <row r="41" spans="2:43">
      <c r="B41" s="3" t="s">
        <v>70</v>
      </c>
      <c r="C41" s="3">
        <v>4.6500000000000004</v>
      </c>
      <c r="D41" s="3" t="s">
        <v>71</v>
      </c>
      <c r="E41" s="4"/>
      <c r="F41" s="30"/>
      <c r="J41" s="3" t="s">
        <v>72</v>
      </c>
      <c r="K41" s="3">
        <v>5</v>
      </c>
      <c r="L41" s="3" t="s">
        <v>52</v>
      </c>
      <c r="M41" s="30"/>
      <c r="N41" s="11" t="s">
        <v>73</v>
      </c>
      <c r="O41" s="3">
        <v>1</v>
      </c>
      <c r="P41" s="3" t="s">
        <v>74</v>
      </c>
      <c r="T41" s="45" t="s">
        <v>75</v>
      </c>
      <c r="U41" s="45" t="s">
        <v>76</v>
      </c>
      <c r="V41" s="45" t="s">
        <v>77</v>
      </c>
      <c r="W41" s="45" t="s">
        <v>78</v>
      </c>
      <c r="X41" s="45" t="s">
        <v>32</v>
      </c>
      <c r="AB41" s="45" t="s">
        <v>32</v>
      </c>
      <c r="AC41" s="3"/>
      <c r="AD41" s="3"/>
    </row>
    <row r="42" spans="2:43">
      <c r="B42" s="3" t="s">
        <v>79</v>
      </c>
      <c r="C42" s="3">
        <v>30</v>
      </c>
      <c r="D42" s="3" t="s">
        <v>71</v>
      </c>
      <c r="E42" s="4"/>
      <c r="F42" s="30"/>
      <c r="J42" s="3" t="s">
        <v>80</v>
      </c>
      <c r="K42" s="3">
        <v>3</v>
      </c>
      <c r="L42" s="3"/>
      <c r="M42" s="30"/>
      <c r="N42" s="28" t="s">
        <v>81</v>
      </c>
      <c r="O42" s="46" t="s">
        <v>82</v>
      </c>
      <c r="P42" s="46" t="s">
        <v>83</v>
      </c>
      <c r="T42" s="3">
        <f>($F$38)*($F$39)*($C$9/2)</f>
        <v>0</v>
      </c>
      <c r="U42" s="3">
        <f>$C$46*T42</f>
        <v>0</v>
      </c>
      <c r="V42" s="3">
        <f>U42+($C$50*$C$52)</f>
        <v>435.23864601457871</v>
      </c>
      <c r="W42" s="3">
        <f t="shared" ref="W42:W66" si="3">(V42)/($C$48+((($F$40)*($C$52))*$F$9)-(($C$49+$C$50)*$F$9^2))</f>
        <v>-0.28979713159367249</v>
      </c>
      <c r="X42" s="3">
        <f>($F$9*W42)*($F$9*W42*$C$52)/2</f>
        <v>42.840220121123217</v>
      </c>
      <c r="AB42" s="3">
        <v>0</v>
      </c>
      <c r="AC42" s="3">
        <v>0</v>
      </c>
      <c r="AD42" s="3" t="s">
        <v>33</v>
      </c>
    </row>
    <row r="43" spans="2:43">
      <c r="B43" s="3" t="s">
        <v>84</v>
      </c>
      <c r="C43" s="3">
        <v>273</v>
      </c>
      <c r="D43" s="3" t="s">
        <v>85</v>
      </c>
      <c r="E43" s="4"/>
      <c r="F43" s="30"/>
      <c r="J43" s="3" t="s">
        <v>86</v>
      </c>
      <c r="K43" s="3">
        <v>4</v>
      </c>
      <c r="L43" s="3" t="s">
        <v>87</v>
      </c>
      <c r="M43" s="30"/>
      <c r="N43" s="11" t="s">
        <v>88</v>
      </c>
      <c r="O43" s="3">
        <v>600</v>
      </c>
      <c r="P43" s="3" t="s">
        <v>89</v>
      </c>
      <c r="T43" s="3">
        <f>($F$38)*($F$39)*($C$10/2)</f>
        <v>2.4586312499999998</v>
      </c>
      <c r="U43" s="3">
        <f t="shared" ref="U43:U55" si="4">$C$46*T43</f>
        <v>82.610010000000003</v>
      </c>
      <c r="V43" s="3">
        <f t="shared" ref="V43:V66" si="5">U43+($C$50*$C$52)</f>
        <v>517.84865601457875</v>
      </c>
      <c r="W43" s="3">
        <f t="shared" si="3"/>
        <v>-0.34480176906817361</v>
      </c>
      <c r="X43" s="3">
        <f t="shared" ref="X43:X49" si="6">($F$9*W43)*($F$9*W43*$C$52)/2</f>
        <v>60.646047171050562</v>
      </c>
      <c r="AB43" s="3">
        <f>1.965*10^-8</f>
        <v>1.9650000000000001E-8</v>
      </c>
      <c r="AC43" s="3">
        <v>0.5</v>
      </c>
      <c r="AD43" s="3" t="s">
        <v>33</v>
      </c>
    </row>
    <row r="44" spans="2:43">
      <c r="B44" s="3" t="s">
        <v>90</v>
      </c>
      <c r="C44" s="3">
        <v>5</v>
      </c>
      <c r="D44" s="3" t="s">
        <v>71</v>
      </c>
      <c r="E44" s="4"/>
      <c r="F44" s="30"/>
      <c r="J44" s="3" t="s">
        <v>91</v>
      </c>
      <c r="K44" s="3">
        <v>0.1</v>
      </c>
      <c r="L44" s="3" t="s">
        <v>92</v>
      </c>
      <c r="M44" s="31"/>
      <c r="N44" s="11" t="s">
        <v>93</v>
      </c>
      <c r="O44" s="44">
        <v>2000</v>
      </c>
      <c r="P44" s="44" t="s">
        <v>89</v>
      </c>
      <c r="T44" s="3">
        <f>($F$38)*($F$39)*($C$11/2)</f>
        <v>4.9172624999999996</v>
      </c>
      <c r="U44" s="3">
        <f t="shared" si="4"/>
        <v>165.22002000000001</v>
      </c>
      <c r="V44" s="3">
        <f t="shared" si="5"/>
        <v>600.45866601457874</v>
      </c>
      <c r="W44" s="3">
        <f t="shared" si="3"/>
        <v>-0.39980640654267463</v>
      </c>
      <c r="X44" s="3">
        <f t="shared" si="6"/>
        <v>81.538557985457942</v>
      </c>
      <c r="AB44" s="3">
        <f>7.86*10^-8</f>
        <v>7.8600000000000002E-8</v>
      </c>
      <c r="AC44" s="3">
        <v>1</v>
      </c>
      <c r="AD44" s="3" t="s">
        <v>33</v>
      </c>
    </row>
    <row r="45" spans="2:43">
      <c r="B45" s="3" t="s">
        <v>94</v>
      </c>
      <c r="C45" s="3">
        <v>7.5</v>
      </c>
      <c r="D45" s="3" t="s">
        <v>95</v>
      </c>
      <c r="E45" s="4"/>
      <c r="F45" s="30"/>
      <c r="J45" s="3" t="s">
        <v>96</v>
      </c>
      <c r="K45" s="3">
        <v>275</v>
      </c>
      <c r="L45" s="3" t="s">
        <v>97</v>
      </c>
      <c r="M45" s="4"/>
      <c r="N45" s="4"/>
      <c r="O45" s="4"/>
      <c r="P45" s="4"/>
      <c r="T45" s="3">
        <f>($F$38)*($F$39)*($C$12/2)</f>
        <v>7.3758937499999995</v>
      </c>
      <c r="U45" s="3">
        <f t="shared" si="4"/>
        <v>247.83002999999999</v>
      </c>
      <c r="V45" s="3">
        <f t="shared" si="5"/>
        <v>683.06867601457873</v>
      </c>
      <c r="W45" s="3">
        <f t="shared" si="3"/>
        <v>-0.4548110440171757</v>
      </c>
      <c r="X45" s="3">
        <f t="shared" si="6"/>
        <v>105.51775256434547</v>
      </c>
      <c r="AB45" s="3">
        <f>1.768*10^-7</f>
        <v>1.7679999999999999E-7</v>
      </c>
      <c r="AC45" s="3">
        <v>1.5</v>
      </c>
      <c r="AD45" s="3" t="s">
        <v>33</v>
      </c>
    </row>
    <row r="46" spans="2:43">
      <c r="B46" s="3" t="s">
        <v>98</v>
      </c>
      <c r="C46" s="3">
        <f>C38*C39</f>
        <v>33.6</v>
      </c>
      <c r="D46" s="3" t="s">
        <v>99</v>
      </c>
      <c r="E46" s="4"/>
      <c r="F46" s="30"/>
      <c r="J46" s="3" t="s">
        <v>100</v>
      </c>
      <c r="K46" s="3">
        <v>2</v>
      </c>
      <c r="L46" s="3"/>
      <c r="M46" s="4"/>
      <c r="N46" s="4"/>
      <c r="O46" s="4"/>
      <c r="P46" s="4"/>
      <c r="T46" s="3">
        <f>($F$38)*($F$39)*($C$13/2)</f>
        <v>9.8345249999999993</v>
      </c>
      <c r="U46" s="3">
        <f t="shared" si="4"/>
        <v>330.44004000000001</v>
      </c>
      <c r="V46" s="3">
        <f t="shared" si="5"/>
        <v>765.67868601457872</v>
      </c>
      <c r="W46" s="3">
        <f t="shared" si="3"/>
        <v>-0.50981568149167678</v>
      </c>
      <c r="X46" s="3">
        <f t="shared" si="6"/>
        <v>132.58363090771306</v>
      </c>
      <c r="AB46" s="3">
        <f>3.144*10^-7</f>
        <v>3.1440000000000001E-7</v>
      </c>
      <c r="AC46" s="3">
        <v>2</v>
      </c>
      <c r="AD46" s="3" t="s">
        <v>33</v>
      </c>
    </row>
    <row r="47" spans="2:43">
      <c r="B47" s="3" t="s">
        <v>101</v>
      </c>
      <c r="C47" s="3">
        <v>8</v>
      </c>
      <c r="D47" s="3" t="s">
        <v>49</v>
      </c>
      <c r="E47" s="4"/>
      <c r="F47" s="30"/>
      <c r="J47" s="3" t="s">
        <v>102</v>
      </c>
      <c r="K47" s="3">
        <v>2</v>
      </c>
      <c r="L47" s="3" t="s">
        <v>103</v>
      </c>
      <c r="M47" s="4"/>
      <c r="N47" s="4"/>
      <c r="O47" s="4"/>
      <c r="P47" s="4"/>
      <c r="T47" s="3">
        <f>($F$38)*($F$39)*($C$14/2)</f>
        <v>12.293156249999999</v>
      </c>
      <c r="U47" s="3">
        <f t="shared" si="4"/>
        <v>413.05005</v>
      </c>
      <c r="V47" s="3">
        <f t="shared" si="5"/>
        <v>848.2886960145787</v>
      </c>
      <c r="W47" s="3">
        <f t="shared" si="3"/>
        <v>-0.56482031896617779</v>
      </c>
      <c r="X47" s="3">
        <f t="shared" si="6"/>
        <v>162.73619301556073</v>
      </c>
      <c r="AB47" s="3">
        <f>4.912*10^-7</f>
        <v>4.9119999999999995E-7</v>
      </c>
      <c r="AC47" s="3">
        <v>2.5</v>
      </c>
      <c r="AD47" s="3" t="s">
        <v>33</v>
      </c>
    </row>
    <row r="48" spans="2:43">
      <c r="B48" s="3" t="s">
        <v>104</v>
      </c>
      <c r="C48" s="3">
        <f>F38*F39*C46</f>
        <v>330.44004000000001</v>
      </c>
      <c r="D48" s="3"/>
      <c r="E48" s="4"/>
      <c r="F48" s="30"/>
      <c r="J48" s="3" t="s">
        <v>105</v>
      </c>
      <c r="K48" s="3">
        <v>1500</v>
      </c>
      <c r="L48" s="3" t="s">
        <v>106</v>
      </c>
      <c r="M48" s="4"/>
      <c r="N48" s="4"/>
      <c r="O48" s="4"/>
      <c r="P48" s="4"/>
      <c r="T48" s="3">
        <f>($F$38)*($F$39)*($C$15/2)</f>
        <v>14.751787499999999</v>
      </c>
      <c r="U48" s="3">
        <f t="shared" si="4"/>
        <v>495.66005999999999</v>
      </c>
      <c r="V48" s="3">
        <f t="shared" si="5"/>
        <v>930.89870601457869</v>
      </c>
      <c r="W48" s="3">
        <f t="shared" si="3"/>
        <v>-0.61982495644067892</v>
      </c>
      <c r="X48" s="3">
        <f t="shared" si="6"/>
        <v>195.97543888788852</v>
      </c>
      <c r="AB48" s="3">
        <f>7.074*10^-7</f>
        <v>7.0739999999999999E-7</v>
      </c>
      <c r="AC48" s="3">
        <v>3</v>
      </c>
      <c r="AD48" s="3" t="s">
        <v>33</v>
      </c>
    </row>
    <row r="49" spans="2:30">
      <c r="B49" s="3" t="s">
        <v>107</v>
      </c>
      <c r="C49" s="3">
        <f>C46*F38</f>
        <v>33.683999999999997</v>
      </c>
      <c r="D49" s="3"/>
      <c r="E49" s="4"/>
      <c r="F49" s="30"/>
      <c r="J49" s="3" t="s">
        <v>108</v>
      </c>
      <c r="K49" s="3">
        <v>750</v>
      </c>
      <c r="L49" s="3" t="s">
        <v>85</v>
      </c>
      <c r="M49" s="4"/>
      <c r="N49" s="4"/>
      <c r="O49" s="4"/>
      <c r="P49" s="4"/>
      <c r="T49" s="3">
        <f>($F$38)*($F$39)*($C$16/2)</f>
        <v>17.210418749999999</v>
      </c>
      <c r="U49" s="3">
        <f t="shared" si="4"/>
        <v>578.27007000000003</v>
      </c>
      <c r="V49" s="3">
        <f t="shared" si="5"/>
        <v>1013.5087160145788</v>
      </c>
      <c r="W49" s="3">
        <f t="shared" si="3"/>
        <v>-0.67482959391518005</v>
      </c>
      <c r="X49" s="3">
        <f t="shared" si="6"/>
        <v>232.30136852469641</v>
      </c>
      <c r="AB49" s="3">
        <f>9.628*10^-7</f>
        <v>9.6279999999999991E-7</v>
      </c>
      <c r="AC49" s="3">
        <v>3.5</v>
      </c>
      <c r="AD49" s="3" t="s">
        <v>33</v>
      </c>
    </row>
    <row r="50" spans="2:30">
      <c r="B50" s="3" t="s">
        <v>109</v>
      </c>
      <c r="C50" s="3">
        <f>0.5*C49</f>
        <v>16.841999999999999</v>
      </c>
      <c r="D50" s="3"/>
      <c r="E50" s="4"/>
      <c r="F50" s="30"/>
      <c r="J50" s="3" t="s">
        <v>110</v>
      </c>
      <c r="K50" s="3">
        <v>2.7</v>
      </c>
      <c r="L50" s="3" t="s">
        <v>111</v>
      </c>
      <c r="M50" s="4"/>
      <c r="N50" s="4"/>
      <c r="O50" s="4"/>
      <c r="P50" s="4"/>
      <c r="T50" s="3">
        <f>($F$38)*($F$39)*($C$17/2)</f>
        <v>19.669049999999999</v>
      </c>
      <c r="U50" s="3">
        <f t="shared" si="4"/>
        <v>660.88008000000002</v>
      </c>
      <c r="V50" s="3">
        <f t="shared" si="5"/>
        <v>1096.1187260145787</v>
      </c>
      <c r="W50" s="3">
        <f t="shared" si="3"/>
        <v>-0.72983423138968095</v>
      </c>
      <c r="X50" s="3">
        <v>250</v>
      </c>
      <c r="AB50" s="3">
        <f>1.258*10^-6</f>
        <v>1.2579999999999999E-6</v>
      </c>
      <c r="AC50" s="3">
        <v>4</v>
      </c>
      <c r="AD50" s="3" t="s">
        <v>33</v>
      </c>
    </row>
    <row r="51" spans="2:30">
      <c r="B51" s="3" t="s">
        <v>112</v>
      </c>
      <c r="C51" s="3">
        <v>0.1</v>
      </c>
      <c r="D51" s="3"/>
      <c r="E51" s="4"/>
      <c r="F51" s="30"/>
      <c r="J51" s="3" t="s">
        <v>113</v>
      </c>
      <c r="K51" s="3">
        <v>55</v>
      </c>
      <c r="L51" s="3" t="s">
        <v>38</v>
      </c>
      <c r="M51" s="4"/>
      <c r="N51" s="4"/>
      <c r="O51" s="4"/>
      <c r="P51" s="4"/>
      <c r="T51" s="3">
        <f>($F$38)*($F$39)*($C$18/2)</f>
        <v>22.127681249999998</v>
      </c>
      <c r="U51" s="3">
        <f t="shared" si="4"/>
        <v>743.49009000000001</v>
      </c>
      <c r="V51" s="3">
        <f t="shared" si="5"/>
        <v>1178.7287360145788</v>
      </c>
      <c r="W51" s="3">
        <f t="shared" si="3"/>
        <v>-0.78483886886418219</v>
      </c>
      <c r="X51" s="3">
        <v>250</v>
      </c>
      <c r="AB51" s="3">
        <f>1.592*10^-6</f>
        <v>1.592E-6</v>
      </c>
      <c r="AC51" s="3">
        <v>4.5</v>
      </c>
      <c r="AD51" s="3" t="s">
        <v>33</v>
      </c>
    </row>
    <row r="52" spans="2:30">
      <c r="B52" s="3" t="s">
        <v>114</v>
      </c>
      <c r="C52" s="3">
        <f>2*(C51)*((C49+C50)*C48)^(0.5)</f>
        <v>25.842456122466377</v>
      </c>
      <c r="D52" s="3"/>
      <c r="E52" s="4"/>
      <c r="F52" s="30"/>
      <c r="J52" s="3" t="s">
        <v>115</v>
      </c>
      <c r="K52" s="3">
        <v>6.5</v>
      </c>
      <c r="L52" s="3" t="s">
        <v>52</v>
      </c>
      <c r="M52" s="4"/>
      <c r="N52" s="4"/>
      <c r="O52" s="4"/>
      <c r="P52" s="4"/>
      <c r="T52" s="3">
        <f>($F$38)*($F$39)*($C$19/2)</f>
        <v>24.586312499999998</v>
      </c>
      <c r="U52" s="3">
        <f t="shared" si="4"/>
        <v>826.1001</v>
      </c>
      <c r="V52" s="3">
        <f t="shared" si="5"/>
        <v>1261.3387460145786</v>
      </c>
      <c r="W52" s="3">
        <f t="shared" si="3"/>
        <v>-0.8398435063386831</v>
      </c>
      <c r="X52" s="3">
        <v>250</v>
      </c>
      <c r="AB52" s="3">
        <f>1.965*10^-6</f>
        <v>1.9649999999999998E-6</v>
      </c>
      <c r="AC52" s="3">
        <v>5</v>
      </c>
      <c r="AD52" s="3" t="s">
        <v>33</v>
      </c>
    </row>
    <row r="53" spans="2:30">
      <c r="B53" s="29"/>
      <c r="C53" s="4"/>
      <c r="D53" s="4"/>
      <c r="E53" s="4"/>
      <c r="F53" s="30"/>
      <c r="J53" s="3" t="s">
        <v>116</v>
      </c>
      <c r="K53" s="3"/>
      <c r="L53" s="3" t="s">
        <v>117</v>
      </c>
      <c r="M53" s="4"/>
      <c r="N53" s="4"/>
      <c r="O53" s="4"/>
      <c r="P53" s="4"/>
      <c r="T53" s="3">
        <f>($F$38)*($F$39)*($C$20/2)</f>
        <v>27.044943749999998</v>
      </c>
      <c r="U53" s="3">
        <f t="shared" si="4"/>
        <v>908.71010999999999</v>
      </c>
      <c r="V53" s="3">
        <f t="shared" si="5"/>
        <v>1343.9487560145787</v>
      </c>
      <c r="W53" s="3">
        <f t="shared" si="3"/>
        <v>-0.89484814381318423</v>
      </c>
      <c r="X53" s="3">
        <v>250</v>
      </c>
      <c r="AB53" s="3">
        <f>2.378*10^-6</f>
        <v>2.3779999999999999E-6</v>
      </c>
      <c r="AC53" s="3">
        <v>5.5</v>
      </c>
      <c r="AD53" s="3" t="s">
        <v>33</v>
      </c>
    </row>
    <row r="54" spans="2:30">
      <c r="B54" s="29"/>
      <c r="C54" s="4"/>
      <c r="D54" s="4"/>
      <c r="E54" s="4"/>
      <c r="F54" s="30"/>
      <c r="J54" s="29"/>
      <c r="K54" s="4"/>
      <c r="L54" s="30"/>
      <c r="T54" s="3">
        <f>($F$38)*($F$39)*($C$21/2)</f>
        <v>29.503574999999998</v>
      </c>
      <c r="U54" s="3">
        <f t="shared" si="4"/>
        <v>991.32011999999997</v>
      </c>
      <c r="V54" s="3">
        <f t="shared" si="5"/>
        <v>1426.5587660145786</v>
      </c>
      <c r="W54" s="3">
        <f t="shared" si="3"/>
        <v>-0.94985278128768524</v>
      </c>
      <c r="X54" s="3">
        <v>250</v>
      </c>
      <c r="AB54" s="3">
        <f>2.829*10^-6</f>
        <v>2.8289999999999999E-6</v>
      </c>
      <c r="AC54" s="3">
        <v>6</v>
      </c>
      <c r="AD54" s="3" t="s">
        <v>33</v>
      </c>
    </row>
    <row r="55" spans="2:30">
      <c r="B55" s="29"/>
      <c r="C55" s="4"/>
      <c r="D55" s="4"/>
      <c r="E55" s="4"/>
      <c r="F55" s="30"/>
      <c r="J55" s="29"/>
      <c r="K55" s="4"/>
      <c r="L55" s="30"/>
      <c r="T55" s="3">
        <f>($F$38)*($F$39)*($C$22/2)</f>
        <v>31.962206249999998</v>
      </c>
      <c r="U55" s="3">
        <f t="shared" si="4"/>
        <v>1073.93013</v>
      </c>
      <c r="V55" s="3">
        <f t="shared" si="5"/>
        <v>1509.1687760145787</v>
      </c>
      <c r="W55" s="3">
        <f t="shared" si="3"/>
        <v>-1.0048574187621864</v>
      </c>
      <c r="X55" s="3">
        <v>250</v>
      </c>
      <c r="AB55" s="3">
        <f>3.321*10^-6</f>
        <v>3.3210000000000001E-6</v>
      </c>
      <c r="AC55" s="3">
        <v>6.5</v>
      </c>
      <c r="AD55" s="3" t="s">
        <v>33</v>
      </c>
    </row>
    <row r="56" spans="2:30">
      <c r="B56" s="29" t="s">
        <v>68</v>
      </c>
      <c r="C56" s="4"/>
      <c r="D56" s="4"/>
      <c r="E56" s="4"/>
      <c r="F56" s="30"/>
      <c r="J56" s="29" t="s">
        <v>69</v>
      </c>
      <c r="K56" s="4"/>
      <c r="L56" s="30"/>
      <c r="T56" s="3">
        <f>($F$38)*($F$39)*($C$23/2)</f>
        <v>34.420837499999998</v>
      </c>
      <c r="U56" s="3">
        <f>$C$46*T56</f>
        <v>1156.5401400000001</v>
      </c>
      <c r="V56" s="3">
        <f t="shared" si="5"/>
        <v>1591.7787860145788</v>
      </c>
      <c r="W56" s="3">
        <f t="shared" si="3"/>
        <v>-1.0598620562366876</v>
      </c>
      <c r="X56" s="3">
        <v>250</v>
      </c>
      <c r="AB56" s="3">
        <f>3.851*10^-6</f>
        <v>3.8510000000000001E-6</v>
      </c>
      <c r="AC56" s="3">
        <v>7</v>
      </c>
      <c r="AD56" s="3" t="s">
        <v>33</v>
      </c>
    </row>
    <row r="57" spans="2:30">
      <c r="B57" s="45" t="s">
        <v>75</v>
      </c>
      <c r="C57" s="45" t="s">
        <v>76</v>
      </c>
      <c r="D57" s="45" t="s">
        <v>77</v>
      </c>
      <c r="E57" s="45" t="s">
        <v>78</v>
      </c>
      <c r="F57" s="45" t="s">
        <v>32</v>
      </c>
      <c r="J57" s="45" t="s">
        <v>32</v>
      </c>
      <c r="K57" s="3"/>
      <c r="L57" s="3"/>
      <c r="T57" s="3">
        <f>($F$38)*($F$39)*($C$24/2)</f>
        <v>36.879468750000001</v>
      </c>
      <c r="U57" s="3">
        <f t="shared" ref="U57:U66" si="7">$C$46*T57</f>
        <v>1239.1501500000002</v>
      </c>
      <c r="V57" s="3">
        <f t="shared" si="5"/>
        <v>1674.3887960145789</v>
      </c>
      <c r="W57" s="3">
        <f t="shared" si="3"/>
        <v>-1.1148666937111886</v>
      </c>
      <c r="X57" s="3">
        <v>250</v>
      </c>
      <c r="AB57" s="3">
        <f>4.421*10^-6</f>
        <v>4.4209999999999997E-6</v>
      </c>
      <c r="AC57" s="3">
        <v>7.5</v>
      </c>
      <c r="AD57" s="3" t="s">
        <v>33</v>
      </c>
    </row>
    <row r="58" spans="2:30">
      <c r="B58" s="3">
        <f>($F$38)*($F$39)*($C$9/2)</f>
        <v>0</v>
      </c>
      <c r="C58" s="3">
        <f>$C$46*B58</f>
        <v>0</v>
      </c>
      <c r="D58" s="3">
        <f>C58+($C$50*$C$52)</f>
        <v>435.23864601457871</v>
      </c>
      <c r="E58" s="3">
        <f t="shared" ref="E58:E83" si="8">(D58)/($C$48+((($F$40)*($C$52))*$F$9)-(($C$49+$C$50)*$F$9^2))</f>
        <v>-0.28979713159367249</v>
      </c>
      <c r="F58" s="3">
        <f>($F$9*E58)*($F$9*E58*$C$52)/2</f>
        <v>42.840220121123217</v>
      </c>
      <c r="J58" s="3">
        <v>0</v>
      </c>
      <c r="K58" s="3"/>
      <c r="L58" s="3"/>
      <c r="T58" s="3">
        <f>($F$38)*($F$39)*($C$25/2)</f>
        <v>39.338099999999997</v>
      </c>
      <c r="U58" s="3">
        <f t="shared" si="7"/>
        <v>1321.76016</v>
      </c>
      <c r="V58" s="3">
        <f t="shared" si="5"/>
        <v>1756.9988060145788</v>
      </c>
      <c r="W58" s="3">
        <f t="shared" si="3"/>
        <v>-1.1698713311856896</v>
      </c>
      <c r="X58" s="3">
        <v>250</v>
      </c>
      <c r="AB58" s="3">
        <f>5.03*10^-6</f>
        <v>5.0300000000000001E-6</v>
      </c>
      <c r="AC58" s="3">
        <v>8</v>
      </c>
      <c r="AD58" s="3" t="s">
        <v>33</v>
      </c>
    </row>
    <row r="59" spans="2:30">
      <c r="B59" s="3">
        <f>($F$38)*($F$39)*($C$10/2)</f>
        <v>2.4586312499999998</v>
      </c>
      <c r="C59" s="3">
        <f t="shared" ref="C59:C71" si="9">$C$46*B59</f>
        <v>82.610010000000003</v>
      </c>
      <c r="D59" s="3">
        <f t="shared" ref="D59:D82" si="10">C59+($C$50*$C$52)</f>
        <v>517.84865601457875</v>
      </c>
      <c r="E59" s="3">
        <f t="shared" si="8"/>
        <v>-0.34480176906817361</v>
      </c>
      <c r="F59" s="3">
        <f t="shared" ref="F59:F83" si="11">($F$9*E59)*($F$9*E59*$C$52)/2</f>
        <v>60.646047171050562</v>
      </c>
      <c r="J59" s="3">
        <f>1.965*10^-8</f>
        <v>1.9650000000000001E-8</v>
      </c>
      <c r="K59" s="3"/>
      <c r="L59" s="3"/>
      <c r="T59" s="3">
        <f>($F$38)*($F$39)*($C$26/2)</f>
        <v>41.796731249999993</v>
      </c>
      <c r="U59" s="3">
        <f t="shared" si="7"/>
        <v>1404.3701699999999</v>
      </c>
      <c r="V59" s="3">
        <f t="shared" si="5"/>
        <v>1839.6088160145787</v>
      </c>
      <c r="W59" s="3">
        <f t="shared" si="3"/>
        <v>-1.2248759686601907</v>
      </c>
      <c r="X59" s="3">
        <v>250</v>
      </c>
      <c r="AB59" s="3">
        <f>5.679*10^-6</f>
        <v>5.6790000000000002E-6</v>
      </c>
      <c r="AC59" s="3">
        <v>8.5</v>
      </c>
      <c r="AD59" s="3" t="s">
        <v>33</v>
      </c>
    </row>
    <row r="60" spans="2:30">
      <c r="B60" s="3">
        <f>($F$38)*($F$39)*($C$11/2)</f>
        <v>4.9172624999999996</v>
      </c>
      <c r="C60" s="3">
        <f t="shared" si="9"/>
        <v>165.22002000000001</v>
      </c>
      <c r="D60" s="3">
        <f t="shared" si="10"/>
        <v>600.45866601457874</v>
      </c>
      <c r="E60" s="3">
        <f t="shared" si="8"/>
        <v>-0.39980640654267463</v>
      </c>
      <c r="F60" s="3">
        <f t="shared" si="11"/>
        <v>81.538557985457942</v>
      </c>
      <c r="J60" s="3">
        <f>7.86*10^-8</f>
        <v>7.8600000000000002E-8</v>
      </c>
      <c r="K60" s="3"/>
      <c r="L60" s="3"/>
      <c r="T60" s="3">
        <f>($F$38)*($F$39)*($C$27/2)</f>
        <v>44.255362499999997</v>
      </c>
      <c r="U60" s="3">
        <f t="shared" si="7"/>
        <v>1486.98018</v>
      </c>
      <c r="V60" s="3">
        <f t="shared" si="5"/>
        <v>1922.2188260145788</v>
      </c>
      <c r="W60" s="3">
        <f t="shared" si="3"/>
        <v>-1.2798806061346917</v>
      </c>
      <c r="X60" s="3">
        <v>250</v>
      </c>
      <c r="AB60" s="3">
        <f>6.366*10^-6</f>
        <v>6.3659999999999997E-6</v>
      </c>
      <c r="AC60" s="3">
        <v>9</v>
      </c>
      <c r="AD60" s="3" t="s">
        <v>33</v>
      </c>
    </row>
    <row r="61" spans="2:30">
      <c r="B61" s="3">
        <f>($F$38)*($F$39)*($C$12/2)</f>
        <v>7.3758937499999995</v>
      </c>
      <c r="C61" s="3">
        <f t="shared" si="9"/>
        <v>247.83002999999999</v>
      </c>
      <c r="D61" s="3">
        <f t="shared" si="10"/>
        <v>683.06867601457873</v>
      </c>
      <c r="E61" s="3">
        <f t="shared" si="8"/>
        <v>-0.4548110440171757</v>
      </c>
      <c r="F61" s="3">
        <f t="shared" si="11"/>
        <v>105.51775256434547</v>
      </c>
      <c r="J61" s="3">
        <f>1.768*10^-7</f>
        <v>1.7679999999999999E-7</v>
      </c>
      <c r="K61" s="3"/>
      <c r="L61" s="3"/>
      <c r="T61" s="3">
        <f>($F$38)*($F$39)*($C$28/2)</f>
        <v>46.71399375</v>
      </c>
      <c r="U61" s="3">
        <f t="shared" si="7"/>
        <v>1569.5901900000001</v>
      </c>
      <c r="V61" s="3">
        <f t="shared" si="5"/>
        <v>2004.8288360145789</v>
      </c>
      <c r="W61" s="3">
        <f t="shared" si="3"/>
        <v>-1.3348852436091929</v>
      </c>
      <c r="X61" s="3">
        <v>250</v>
      </c>
      <c r="AB61" s="3">
        <f>7.093*10^-6</f>
        <v>7.0929999999999997E-6</v>
      </c>
      <c r="AC61" s="3">
        <v>9.5</v>
      </c>
      <c r="AD61" s="3" t="s">
        <v>33</v>
      </c>
    </row>
    <row r="62" spans="2:30">
      <c r="B62" s="3">
        <f>($F$38)*($F$39)*($C$13/2)</f>
        <v>9.8345249999999993</v>
      </c>
      <c r="C62" s="3">
        <f t="shared" si="9"/>
        <v>330.44004000000001</v>
      </c>
      <c r="D62" s="3">
        <f t="shared" si="10"/>
        <v>765.67868601457872</v>
      </c>
      <c r="E62" s="3">
        <f t="shared" si="8"/>
        <v>-0.50981568149167678</v>
      </c>
      <c r="F62" s="3">
        <f t="shared" si="11"/>
        <v>132.58363090771306</v>
      </c>
      <c r="J62" s="3">
        <f>3.144*10^-7</f>
        <v>3.1440000000000001E-7</v>
      </c>
      <c r="K62" s="3"/>
      <c r="L62" s="3"/>
      <c r="T62" s="3">
        <f>($F$38)*($F$39)*($C$29/2)</f>
        <v>49.172624999999996</v>
      </c>
      <c r="U62" s="3">
        <f t="shared" si="7"/>
        <v>1652.2002</v>
      </c>
      <c r="V62" s="3">
        <f t="shared" si="5"/>
        <v>2087.4388460145788</v>
      </c>
      <c r="W62" s="3">
        <f t="shared" si="3"/>
        <v>-1.3898898810836939</v>
      </c>
      <c r="X62" s="3">
        <v>250</v>
      </c>
      <c r="AB62" s="3">
        <f>7.86*10^-6</f>
        <v>7.8599999999999993E-6</v>
      </c>
      <c r="AC62" s="3">
        <v>10</v>
      </c>
      <c r="AD62" s="3" t="s">
        <v>33</v>
      </c>
    </row>
    <row r="63" spans="2:30">
      <c r="B63" s="3">
        <f>($F$38)*($F$39)*($C$14/2)</f>
        <v>12.293156249999999</v>
      </c>
      <c r="C63" s="3">
        <f t="shared" si="9"/>
        <v>413.05005</v>
      </c>
      <c r="D63" s="3">
        <f t="shared" si="10"/>
        <v>848.2886960145787</v>
      </c>
      <c r="E63" s="3">
        <f t="shared" si="8"/>
        <v>-0.56482031896617779</v>
      </c>
      <c r="F63" s="3">
        <f t="shared" si="11"/>
        <v>162.73619301556073</v>
      </c>
      <c r="J63" s="3">
        <f>4.912*10^-7</f>
        <v>4.9119999999999995E-7</v>
      </c>
      <c r="K63" s="3"/>
      <c r="L63" s="3"/>
      <c r="T63" s="3">
        <f>($F$38)*($F$39)*($C$30/2)</f>
        <v>51.631256249999993</v>
      </c>
      <c r="U63" s="3">
        <f t="shared" si="7"/>
        <v>1734.8102099999999</v>
      </c>
      <c r="V63" s="3">
        <f t="shared" si="5"/>
        <v>2170.0488560145786</v>
      </c>
      <c r="W63" s="3">
        <f t="shared" si="3"/>
        <v>-1.444894518558195</v>
      </c>
      <c r="X63" s="3">
        <v>250</v>
      </c>
      <c r="AB63" s="3">
        <f>8.665*10^-6</f>
        <v>8.6649999999999992E-6</v>
      </c>
      <c r="AC63" s="3">
        <v>10.5</v>
      </c>
      <c r="AD63" s="3" t="s">
        <v>33</v>
      </c>
    </row>
    <row r="64" spans="2:30">
      <c r="B64" s="3">
        <f>($F$38)*($F$39)*($C$15/2)</f>
        <v>14.751787499999999</v>
      </c>
      <c r="C64" s="3">
        <f t="shared" si="9"/>
        <v>495.66005999999999</v>
      </c>
      <c r="D64" s="3">
        <f t="shared" si="10"/>
        <v>930.89870601457869</v>
      </c>
      <c r="E64" s="3">
        <f t="shared" si="8"/>
        <v>-0.61982495644067892</v>
      </c>
      <c r="F64" s="3">
        <f t="shared" si="11"/>
        <v>195.97543888788852</v>
      </c>
      <c r="J64" s="3">
        <f>7.074*10^-7</f>
        <v>7.0739999999999999E-7</v>
      </c>
      <c r="K64" s="3"/>
      <c r="L64" s="3"/>
      <c r="T64" s="3">
        <f>($F$38)*($F$39)*($C$31/2)</f>
        <v>54.089887499999996</v>
      </c>
      <c r="U64" s="3">
        <f t="shared" si="7"/>
        <v>1817.42022</v>
      </c>
      <c r="V64" s="3">
        <f t="shared" si="5"/>
        <v>2252.6588660145785</v>
      </c>
      <c r="W64" s="3">
        <f t="shared" si="3"/>
        <v>-1.4998991560326957</v>
      </c>
      <c r="X64" s="3">
        <v>250</v>
      </c>
      <c r="AB64" s="3">
        <f>9.51*10^-6</f>
        <v>9.5099999999999987E-6</v>
      </c>
      <c r="AC64" s="3">
        <v>11</v>
      </c>
      <c r="AD64" s="3" t="s">
        <v>33</v>
      </c>
    </row>
    <row r="65" spans="2:30">
      <c r="B65" s="3">
        <f>($F$38)*($F$39)*($C$16/2)</f>
        <v>17.210418749999999</v>
      </c>
      <c r="C65" s="3">
        <f t="shared" si="9"/>
        <v>578.27007000000003</v>
      </c>
      <c r="D65" s="3">
        <f t="shared" si="10"/>
        <v>1013.5087160145788</v>
      </c>
      <c r="E65" s="3">
        <f t="shared" si="8"/>
        <v>-0.67482959391518005</v>
      </c>
      <c r="F65" s="3">
        <f t="shared" si="11"/>
        <v>232.30136852469641</v>
      </c>
      <c r="J65" s="3">
        <f>9.628*10^-7</f>
        <v>9.6279999999999991E-7</v>
      </c>
      <c r="K65" s="3"/>
      <c r="L65" s="3"/>
      <c r="T65" s="3">
        <f>($F$38)*($F$39)*($C$32/2)</f>
        <v>56.548518749999999</v>
      </c>
      <c r="U65" s="3">
        <f t="shared" si="7"/>
        <v>1900.0302300000001</v>
      </c>
      <c r="V65" s="3">
        <f t="shared" si="5"/>
        <v>2335.2688760145788</v>
      </c>
      <c r="W65" s="3">
        <f t="shared" si="3"/>
        <v>-1.5549037935071972</v>
      </c>
      <c r="X65" s="3">
        <v>250</v>
      </c>
      <c r="AB65" s="3">
        <f>1.039*10^-5</f>
        <v>1.039E-5</v>
      </c>
      <c r="AC65" s="3">
        <v>11.5</v>
      </c>
      <c r="AD65" s="3" t="s">
        <v>33</v>
      </c>
    </row>
    <row r="66" spans="2:30">
      <c r="B66" s="3">
        <f>($F$38)*($F$39)*($C$17/2)</f>
        <v>19.669049999999999</v>
      </c>
      <c r="C66" s="3">
        <f t="shared" si="9"/>
        <v>660.88008000000002</v>
      </c>
      <c r="D66" s="3">
        <f t="shared" si="10"/>
        <v>1096.1187260145787</v>
      </c>
      <c r="E66" s="3">
        <f t="shared" si="8"/>
        <v>-0.72983423138968095</v>
      </c>
      <c r="F66" s="3">
        <f t="shared" si="11"/>
        <v>271.71398192598429</v>
      </c>
      <c r="J66" s="3">
        <f>1.258*10^-6</f>
        <v>1.2579999999999999E-6</v>
      </c>
      <c r="K66" s="3"/>
      <c r="L66" s="3"/>
      <c r="T66" s="3">
        <f>($F$38)*($F$39)*($C$33/2)</f>
        <v>59.007149999999996</v>
      </c>
      <c r="U66" s="3">
        <f t="shared" si="7"/>
        <v>1982.6402399999999</v>
      </c>
      <c r="V66" s="3">
        <f t="shared" si="5"/>
        <v>2417.8788860145787</v>
      </c>
      <c r="W66" s="3">
        <f t="shared" si="3"/>
        <v>-1.6099084309816982</v>
      </c>
      <c r="X66" s="3">
        <v>250</v>
      </c>
      <c r="AB66" s="3">
        <f>1.132*10^-5</f>
        <v>1.132E-5</v>
      </c>
      <c r="AC66" s="3">
        <v>12</v>
      </c>
      <c r="AD66" s="3" t="s">
        <v>33</v>
      </c>
    </row>
    <row r="67" spans="2:30">
      <c r="B67" s="3">
        <f>($F$38)*($F$39)*($C$18/2)</f>
        <v>22.127681249999998</v>
      </c>
      <c r="C67" s="3">
        <f t="shared" si="9"/>
        <v>743.49009000000001</v>
      </c>
      <c r="D67" s="3">
        <f t="shared" si="10"/>
        <v>1178.7287360145788</v>
      </c>
      <c r="E67" s="3">
        <f t="shared" si="8"/>
        <v>-0.78483886886418219</v>
      </c>
      <c r="F67" s="3">
        <f t="shared" si="11"/>
        <v>314.2132790917525</v>
      </c>
      <c r="J67" s="3">
        <f>1.592*10^-6</f>
        <v>1.592E-6</v>
      </c>
      <c r="K67" s="3"/>
      <c r="L67" s="3"/>
      <c r="T67" s="3"/>
      <c r="U67" s="3"/>
      <c r="V67" s="3"/>
      <c r="W67" s="3"/>
      <c r="X67" s="3"/>
      <c r="AB67" s="29"/>
      <c r="AC67" s="4"/>
      <c r="AD67" s="30"/>
    </row>
    <row r="68" spans="2:30">
      <c r="B68" s="3">
        <f>($F$38)*($F$39)*($C$19/2)</f>
        <v>24.586312499999998</v>
      </c>
      <c r="C68" s="3">
        <f t="shared" si="9"/>
        <v>826.1001</v>
      </c>
      <c r="D68" s="3">
        <f t="shared" si="10"/>
        <v>1261.3387460145786</v>
      </c>
      <c r="E68" s="3">
        <f t="shared" si="8"/>
        <v>-0.8398435063386831</v>
      </c>
      <c r="F68" s="3">
        <f t="shared" si="11"/>
        <v>359.79926002200045</v>
      </c>
      <c r="J68" s="3">
        <f>1.965*10^-6</f>
        <v>1.9649999999999998E-6</v>
      </c>
      <c r="K68" s="3"/>
      <c r="L68" s="3"/>
      <c r="T68" s="29"/>
      <c r="U68" s="4"/>
      <c r="V68" s="4"/>
      <c r="W68" s="4"/>
      <c r="X68" s="30"/>
      <c r="AB68" s="29"/>
      <c r="AC68" s="4"/>
      <c r="AD68" s="30"/>
    </row>
    <row r="69" spans="2:30">
      <c r="B69" s="3">
        <f>($F$38)*($F$39)*($C$20/2)</f>
        <v>27.044943749999998</v>
      </c>
      <c r="C69" s="3">
        <f t="shared" si="9"/>
        <v>908.71010999999999</v>
      </c>
      <c r="D69" s="3">
        <f t="shared" si="10"/>
        <v>1343.9487560145787</v>
      </c>
      <c r="E69" s="3">
        <f t="shared" si="8"/>
        <v>-0.89484814381318423</v>
      </c>
      <c r="F69" s="3">
        <f t="shared" si="11"/>
        <v>408.47192471672884</v>
      </c>
      <c r="J69" s="3">
        <f>2.378*10^-6</f>
        <v>2.3779999999999999E-6</v>
      </c>
      <c r="K69" s="3">
        <v>5.5</v>
      </c>
      <c r="L69" s="3" t="s">
        <v>33</v>
      </c>
      <c r="T69" s="29" t="s">
        <v>118</v>
      </c>
      <c r="U69" s="4"/>
      <c r="V69" s="4"/>
      <c r="W69" s="4"/>
      <c r="X69" s="30"/>
      <c r="AB69" s="29" t="s">
        <v>119</v>
      </c>
      <c r="AC69" s="4"/>
      <c r="AD69" s="30"/>
    </row>
    <row r="70" spans="2:30">
      <c r="B70" s="3">
        <f>($F$38)*($F$39)*($C$21/2)</f>
        <v>29.503574999999998</v>
      </c>
      <c r="C70" s="3">
        <f t="shared" si="9"/>
        <v>991.32011999999997</v>
      </c>
      <c r="D70" s="3">
        <f t="shared" si="10"/>
        <v>1426.5587660145786</v>
      </c>
      <c r="E70" s="3">
        <f t="shared" si="8"/>
        <v>-0.94985278128768524</v>
      </c>
      <c r="F70" s="3">
        <f t="shared" si="11"/>
        <v>460.23127317593702</v>
      </c>
      <c r="J70" s="3">
        <f>2.829*10^-6</f>
        <v>2.8289999999999999E-6</v>
      </c>
      <c r="K70" s="3"/>
      <c r="L70" s="3"/>
      <c r="T70" s="45" t="s">
        <v>75</v>
      </c>
      <c r="U70" s="45" t="s">
        <v>76</v>
      </c>
      <c r="V70" s="45" t="s">
        <v>77</v>
      </c>
      <c r="W70" s="45" t="s">
        <v>78</v>
      </c>
      <c r="X70" s="45" t="s">
        <v>32</v>
      </c>
      <c r="AB70" s="45" t="s">
        <v>32</v>
      </c>
      <c r="AC70" s="3"/>
      <c r="AD70" s="3"/>
    </row>
    <row r="71" spans="2:30">
      <c r="B71" s="3">
        <f>($F$38)*($F$39)*($C$22/2)</f>
        <v>31.962206249999998</v>
      </c>
      <c r="C71" s="3">
        <f t="shared" si="9"/>
        <v>1073.93013</v>
      </c>
      <c r="D71" s="3">
        <f t="shared" si="10"/>
        <v>1509.1687760145787</v>
      </c>
      <c r="E71" s="3">
        <f t="shared" si="8"/>
        <v>-1.0048574187621864</v>
      </c>
      <c r="F71" s="3">
        <f t="shared" si="11"/>
        <v>515.07730539962552</v>
      </c>
      <c r="J71" s="3">
        <f>3.321*10^-6</f>
        <v>3.3210000000000001E-6</v>
      </c>
      <c r="K71" s="3"/>
      <c r="L71" s="3"/>
      <c r="T71" s="3">
        <f>($F$38)*($F$39)*($C$9/2)</f>
        <v>0</v>
      </c>
      <c r="U71" s="3">
        <f>$C$46*T71</f>
        <v>0</v>
      </c>
      <c r="V71" s="3">
        <f>U71+($C$50*$C$52)</f>
        <v>435.23864601457871</v>
      </c>
      <c r="W71" s="3">
        <f t="shared" ref="W71:W95" si="12">(V71)/($C$48+((($F$40)*($C$52))*$F$10)-(($C$49+$C$50)*$F$10^2))</f>
        <v>-5.0001497808539987</v>
      </c>
      <c r="X71" s="3">
        <v>250</v>
      </c>
      <c r="AB71" s="3">
        <f>0</f>
        <v>0</v>
      </c>
      <c r="AC71" s="3">
        <v>0</v>
      </c>
      <c r="AD71" s="3" t="s">
        <v>33</v>
      </c>
    </row>
    <row r="72" spans="2:30">
      <c r="B72" s="3">
        <f>($F$38)*($F$39)*($C$23/2)</f>
        <v>34.420837499999998</v>
      </c>
      <c r="C72" s="3">
        <f>$C$46*B72</f>
        <v>1156.5401400000001</v>
      </c>
      <c r="D72" s="3">
        <f t="shared" si="10"/>
        <v>1591.7787860145788</v>
      </c>
      <c r="E72" s="3">
        <f t="shared" si="8"/>
        <v>-1.0598620562366876</v>
      </c>
      <c r="F72" s="3">
        <f t="shared" si="11"/>
        <v>573.01002138779427</v>
      </c>
      <c r="J72" s="3">
        <f>3.851*10^-6</f>
        <v>3.8510000000000001E-6</v>
      </c>
      <c r="K72" s="3"/>
      <c r="L72" s="3"/>
      <c r="T72" s="3">
        <f>($F$38)*($F$39)*($C$10/2)</f>
        <v>2.4586312499999998</v>
      </c>
      <c r="U72" s="3">
        <f t="shared" ref="U72:U84" si="13">$C$46*T72</f>
        <v>82.610010000000003</v>
      </c>
      <c r="V72" s="3">
        <f t="shared" ref="V72:V95" si="14">U72+($C$50*$C$52)</f>
        <v>517.84865601457875</v>
      </c>
      <c r="W72" s="3">
        <f t="shared" si="12"/>
        <v>-5.9491979115294411</v>
      </c>
      <c r="X72" s="3">
        <v>250</v>
      </c>
      <c r="AB72" s="3">
        <f>0.009</f>
        <v>8.9999999999999993E-3</v>
      </c>
      <c r="AC72" s="3">
        <v>0.5</v>
      </c>
      <c r="AD72" s="3" t="s">
        <v>33</v>
      </c>
    </row>
    <row r="73" spans="2:30">
      <c r="B73" s="3">
        <f>($F$38)*($F$39)*($C$24/2)</f>
        <v>36.879468750000001</v>
      </c>
      <c r="C73" s="3">
        <f t="shared" ref="C73:C82" si="15">$C$46*B73</f>
        <v>1239.1501500000002</v>
      </c>
      <c r="D73" s="3">
        <f t="shared" si="10"/>
        <v>1674.3887960145789</v>
      </c>
      <c r="E73" s="3">
        <f t="shared" si="8"/>
        <v>-1.1148666937111886</v>
      </c>
      <c r="F73" s="3">
        <f t="shared" si="11"/>
        <v>634.02942114044265</v>
      </c>
      <c r="J73" s="3">
        <f>4.421*10^-6</f>
        <v>4.4209999999999997E-6</v>
      </c>
      <c r="K73" s="3"/>
      <c r="L73" s="3"/>
      <c r="T73" s="3">
        <f>($F$38)*($F$39)*($C$11/2)</f>
        <v>4.9172624999999996</v>
      </c>
      <c r="U73" s="3">
        <f t="shared" si="13"/>
        <v>165.22002000000001</v>
      </c>
      <c r="V73" s="3">
        <f t="shared" si="14"/>
        <v>600.45866601457874</v>
      </c>
      <c r="W73" s="3">
        <f t="shared" si="12"/>
        <v>-6.8982460422048844</v>
      </c>
      <c r="X73" s="3">
        <v>250</v>
      </c>
      <c r="AB73" s="3">
        <f>0.035</f>
        <v>3.5000000000000003E-2</v>
      </c>
      <c r="AC73" s="3">
        <v>1</v>
      </c>
      <c r="AD73" s="3" t="s">
        <v>33</v>
      </c>
    </row>
    <row r="74" spans="2:30">
      <c r="B74" s="3">
        <f>($F$38)*($F$39)*($C$25/2)</f>
        <v>39.338099999999997</v>
      </c>
      <c r="C74" s="3">
        <f t="shared" si="15"/>
        <v>1321.76016</v>
      </c>
      <c r="D74" s="3">
        <f t="shared" si="10"/>
        <v>1756.9988060145788</v>
      </c>
      <c r="E74" s="3">
        <f t="shared" si="8"/>
        <v>-1.1698713311856896</v>
      </c>
      <c r="F74" s="3">
        <f t="shared" si="11"/>
        <v>698.13550465757146</v>
      </c>
      <c r="J74" s="3">
        <f>5.03*10^-6</f>
        <v>5.0300000000000001E-6</v>
      </c>
      <c r="K74" s="3"/>
      <c r="L74" s="3"/>
      <c r="T74" s="3">
        <f>($F$38)*($F$39)*($C$12/2)</f>
        <v>7.3758937499999995</v>
      </c>
      <c r="U74" s="3">
        <f t="shared" si="13"/>
        <v>247.83002999999999</v>
      </c>
      <c r="V74" s="3">
        <f t="shared" si="14"/>
        <v>683.06867601457873</v>
      </c>
      <c r="W74" s="3">
        <f t="shared" si="12"/>
        <v>-7.8472941728803267</v>
      </c>
      <c r="X74" s="3">
        <v>250</v>
      </c>
      <c r="AB74" s="3">
        <f>0.078</f>
        <v>7.8E-2</v>
      </c>
      <c r="AC74" s="3">
        <v>1.5</v>
      </c>
      <c r="AD74" s="3" t="s">
        <v>33</v>
      </c>
    </row>
    <row r="75" spans="2:30">
      <c r="B75" s="3">
        <f>($F$38)*($F$39)*($C$26/2)</f>
        <v>41.796731249999993</v>
      </c>
      <c r="C75" s="3">
        <f t="shared" si="15"/>
        <v>1404.3701699999999</v>
      </c>
      <c r="D75" s="3">
        <f t="shared" si="10"/>
        <v>1839.6088160145787</v>
      </c>
      <c r="E75" s="3">
        <f t="shared" si="8"/>
        <v>-1.2248759686601907</v>
      </c>
      <c r="F75" s="3">
        <f t="shared" si="11"/>
        <v>765.32827193918013</v>
      </c>
      <c r="J75" s="3">
        <f>5.679*10^-6</f>
        <v>5.6790000000000002E-6</v>
      </c>
      <c r="K75" s="3"/>
      <c r="L75" s="3"/>
      <c r="T75" s="3">
        <f>($F$38)*($F$39)*($C$13/2)</f>
        <v>9.8345249999999993</v>
      </c>
      <c r="U75" s="3">
        <f t="shared" si="13"/>
        <v>330.44004000000001</v>
      </c>
      <c r="V75" s="3">
        <f t="shared" si="14"/>
        <v>765.67868601457872</v>
      </c>
      <c r="W75" s="3">
        <f t="shared" si="12"/>
        <v>-8.7963423035557682</v>
      </c>
      <c r="X75" s="3">
        <v>250</v>
      </c>
      <c r="AB75" s="3">
        <f>0.139</f>
        <v>0.13900000000000001</v>
      </c>
      <c r="AC75" s="3">
        <v>2</v>
      </c>
      <c r="AD75" s="3" t="s">
        <v>33</v>
      </c>
    </row>
    <row r="76" spans="2:30">
      <c r="B76" s="3">
        <f>($F$38)*($F$39)*($C$27/2)</f>
        <v>44.255362499999997</v>
      </c>
      <c r="C76" s="3">
        <f t="shared" si="15"/>
        <v>1486.98018</v>
      </c>
      <c r="D76" s="3">
        <f t="shared" si="10"/>
        <v>1922.2188260145788</v>
      </c>
      <c r="E76" s="3">
        <f t="shared" si="8"/>
        <v>-1.2798806061346917</v>
      </c>
      <c r="F76" s="3">
        <f t="shared" si="11"/>
        <v>835.60772298526888</v>
      </c>
      <c r="J76" s="3">
        <f>6.366*10^-6</f>
        <v>6.3659999999999997E-6</v>
      </c>
      <c r="K76" s="3"/>
      <c r="L76" s="3"/>
      <c r="T76" s="3">
        <f>($F$38)*($F$39)*($C$14/2)</f>
        <v>12.293156249999999</v>
      </c>
      <c r="U76" s="3">
        <f t="shared" si="13"/>
        <v>413.05005</v>
      </c>
      <c r="V76" s="3">
        <f t="shared" si="14"/>
        <v>848.2886960145787</v>
      </c>
      <c r="W76" s="3">
        <f t="shared" si="12"/>
        <v>-9.7453904342312114</v>
      </c>
      <c r="X76" s="3">
        <v>250</v>
      </c>
      <c r="AB76" s="3">
        <f>0.217</f>
        <v>0.217</v>
      </c>
      <c r="AC76" s="3">
        <v>2.5</v>
      </c>
      <c r="AD76" s="3" t="s">
        <v>33</v>
      </c>
    </row>
    <row r="77" spans="2:30">
      <c r="B77" s="3">
        <f>($F$38)*($F$39)*($C$28/2)</f>
        <v>46.71399375</v>
      </c>
      <c r="C77" s="3">
        <f t="shared" si="15"/>
        <v>1569.5901900000001</v>
      </c>
      <c r="D77" s="3">
        <f t="shared" si="10"/>
        <v>2004.8288360145789</v>
      </c>
      <c r="E77" s="3">
        <f t="shared" si="8"/>
        <v>-1.3348852436091929</v>
      </c>
      <c r="F77" s="3">
        <f t="shared" si="11"/>
        <v>908.97385779583828</v>
      </c>
      <c r="J77" s="3">
        <f>7.093*10^-6</f>
        <v>7.0929999999999997E-6</v>
      </c>
      <c r="K77" s="3"/>
      <c r="L77" s="3"/>
      <c r="T77" s="3">
        <f>($F$38)*($F$39)*($C$15/2)</f>
        <v>14.751787499999999</v>
      </c>
      <c r="U77" s="3">
        <f t="shared" si="13"/>
        <v>495.66005999999999</v>
      </c>
      <c r="V77" s="3">
        <f t="shared" si="14"/>
        <v>930.89870601457869</v>
      </c>
      <c r="W77" s="3">
        <f t="shared" si="12"/>
        <v>-10.694438564906655</v>
      </c>
      <c r="X77" s="3">
        <v>250</v>
      </c>
      <c r="AB77" s="3">
        <f>0.313</f>
        <v>0.313</v>
      </c>
      <c r="AC77" s="3">
        <v>3</v>
      </c>
      <c r="AD77" s="3" t="s">
        <v>33</v>
      </c>
    </row>
    <row r="78" spans="2:30">
      <c r="B78" s="3">
        <f>($F$38)*($F$39)*($C$29/2)</f>
        <v>49.172624999999996</v>
      </c>
      <c r="C78" s="3">
        <f t="shared" si="15"/>
        <v>1652.2002</v>
      </c>
      <c r="D78" s="3">
        <f t="shared" si="10"/>
        <v>2087.4388460145788</v>
      </c>
      <c r="E78" s="3">
        <f t="shared" si="8"/>
        <v>-1.3898898810836939</v>
      </c>
      <c r="F78" s="3">
        <f t="shared" si="11"/>
        <v>985.42667637088698</v>
      </c>
      <c r="J78" s="3">
        <f>7.86*10^-6</f>
        <v>7.8599999999999993E-6</v>
      </c>
      <c r="K78" s="3"/>
      <c r="L78" s="3"/>
      <c r="T78" s="3">
        <f>($F$38)*($F$39)*($C$16/2)</f>
        <v>17.210418749999999</v>
      </c>
      <c r="U78" s="3">
        <f t="shared" si="13"/>
        <v>578.27007000000003</v>
      </c>
      <c r="V78" s="3">
        <f t="shared" si="14"/>
        <v>1013.5087160145788</v>
      </c>
      <c r="W78" s="3">
        <f t="shared" si="12"/>
        <v>-11.643486695582098</v>
      </c>
      <c r="X78" s="3">
        <v>250</v>
      </c>
      <c r="AB78" s="3">
        <f>0.425</f>
        <v>0.42499999999999999</v>
      </c>
      <c r="AC78" s="3">
        <v>3.5</v>
      </c>
      <c r="AD78" s="3" t="s">
        <v>33</v>
      </c>
    </row>
    <row r="79" spans="2:30">
      <c r="B79" s="3">
        <f>($F$38)*($F$39)*($C$30/2)</f>
        <v>51.631256249999993</v>
      </c>
      <c r="C79" s="3">
        <f t="shared" si="15"/>
        <v>1734.8102099999999</v>
      </c>
      <c r="D79" s="3">
        <f t="shared" si="10"/>
        <v>2170.0488560145786</v>
      </c>
      <c r="E79" s="3">
        <f t="shared" si="8"/>
        <v>-1.444894518558195</v>
      </c>
      <c r="F79" s="3">
        <f t="shared" si="11"/>
        <v>1064.9661787104162</v>
      </c>
      <c r="J79" s="3">
        <f>8.665*10^-6</f>
        <v>8.6649999999999992E-6</v>
      </c>
      <c r="K79" s="3"/>
      <c r="L79" s="3"/>
      <c r="T79" s="3">
        <f>($F$38)*($F$39)*($C$17/2)</f>
        <v>19.669049999999999</v>
      </c>
      <c r="U79" s="3">
        <f t="shared" si="13"/>
        <v>660.88008000000002</v>
      </c>
      <c r="V79" s="3">
        <f t="shared" si="14"/>
        <v>1096.1187260145787</v>
      </c>
      <c r="W79" s="3">
        <f t="shared" si="12"/>
        <v>-12.592534826257539</v>
      </c>
      <c r="X79" s="3">
        <v>250</v>
      </c>
      <c r="AB79" s="3">
        <f>0.556</f>
        <v>0.55600000000000005</v>
      </c>
      <c r="AC79" s="3">
        <v>4</v>
      </c>
      <c r="AD79" s="3" t="s">
        <v>33</v>
      </c>
    </row>
    <row r="80" spans="2:30">
      <c r="B80" s="3">
        <f>($F$38)*($F$39)*($C$31/2)</f>
        <v>54.089887499999996</v>
      </c>
      <c r="C80" s="3">
        <f t="shared" si="15"/>
        <v>1817.42022</v>
      </c>
      <c r="D80" s="3">
        <f t="shared" si="10"/>
        <v>2252.6588660145785</v>
      </c>
      <c r="E80" s="3">
        <f t="shared" si="8"/>
        <v>-1.4998991560326957</v>
      </c>
      <c r="F80" s="3">
        <f t="shared" si="11"/>
        <v>1147.5923648144251</v>
      </c>
      <c r="J80" s="3">
        <f>9.51*10^-6</f>
        <v>9.5099999999999987E-6</v>
      </c>
      <c r="K80" s="3"/>
      <c r="L80" s="3"/>
      <c r="T80" s="3">
        <f>($F$38)*($F$39)*($C$18/2)</f>
        <v>22.127681249999998</v>
      </c>
      <c r="U80" s="3">
        <f t="shared" si="13"/>
        <v>743.49009000000001</v>
      </c>
      <c r="V80" s="3">
        <f t="shared" si="14"/>
        <v>1178.7287360145788</v>
      </c>
      <c r="W80" s="3">
        <f t="shared" si="12"/>
        <v>-13.541582956932983</v>
      </c>
      <c r="X80" s="3">
        <v>250</v>
      </c>
      <c r="AB80" s="3">
        <f>0.703</f>
        <v>0.70299999999999996</v>
      </c>
      <c r="AC80" s="3">
        <v>4.5</v>
      </c>
      <c r="AD80" s="3" t="s">
        <v>33</v>
      </c>
    </row>
    <row r="81" spans="2:30">
      <c r="B81" s="3">
        <f>($F$38)*($F$39)*($C$32/2)</f>
        <v>56.548518749999999</v>
      </c>
      <c r="C81" s="3">
        <f t="shared" si="15"/>
        <v>1900.0302300000001</v>
      </c>
      <c r="D81" s="3">
        <f t="shared" si="10"/>
        <v>2335.2688760145788</v>
      </c>
      <c r="E81" s="3">
        <f t="shared" si="8"/>
        <v>-1.5549037935071972</v>
      </c>
      <c r="F81" s="3">
        <f t="shared" si="11"/>
        <v>1233.3052346829149</v>
      </c>
      <c r="J81" s="3">
        <f>1.039*10^-5</f>
        <v>1.039E-5</v>
      </c>
      <c r="K81" s="3"/>
      <c r="L81" s="3"/>
      <c r="T81" s="3">
        <f>($F$38)*($F$39)*($C$19/2)</f>
        <v>24.586312499999998</v>
      </c>
      <c r="U81" s="3">
        <f t="shared" si="13"/>
        <v>826.1001</v>
      </c>
      <c r="V81" s="3">
        <f t="shared" si="14"/>
        <v>1261.3387460145786</v>
      </c>
      <c r="W81" s="3">
        <f t="shared" si="12"/>
        <v>-14.490631087608424</v>
      </c>
      <c r="X81" s="3">
        <v>250</v>
      </c>
      <c r="AB81" s="3">
        <f>0.868</f>
        <v>0.86799999999999999</v>
      </c>
      <c r="AC81" s="3">
        <v>5</v>
      </c>
      <c r="AD81" s="3" t="s">
        <v>33</v>
      </c>
    </row>
    <row r="82" spans="2:30">
      <c r="B82" s="3">
        <f>($F$38)*($F$39)*($C$33/2)</f>
        <v>59.007149999999996</v>
      </c>
      <c r="C82" s="3">
        <f t="shared" si="15"/>
        <v>1982.6402399999999</v>
      </c>
      <c r="D82" s="3">
        <f t="shared" si="10"/>
        <v>2417.8788860145787</v>
      </c>
      <c r="E82" s="3">
        <f t="shared" si="8"/>
        <v>-1.6099084309816982</v>
      </c>
      <c r="F82" s="3">
        <f t="shared" si="11"/>
        <v>1322.1047883158842</v>
      </c>
      <c r="J82" s="3">
        <f>1.132*10^-5</f>
        <v>1.132E-5</v>
      </c>
      <c r="K82" s="3"/>
      <c r="L82" s="3"/>
      <c r="T82" s="3">
        <f>($F$38)*($F$39)*($C$20/2)</f>
        <v>27.044943749999998</v>
      </c>
      <c r="U82" s="3">
        <f t="shared" si="13"/>
        <v>908.71010999999999</v>
      </c>
      <c r="V82" s="3">
        <f t="shared" si="14"/>
        <v>1343.9487560145787</v>
      </c>
      <c r="W82" s="3">
        <f t="shared" si="12"/>
        <v>-15.439679218283867</v>
      </c>
      <c r="X82" s="3">
        <v>250</v>
      </c>
      <c r="AB82" s="3">
        <f>1.051</f>
        <v>1.0509999999999999</v>
      </c>
      <c r="AC82" s="3">
        <v>5.5</v>
      </c>
      <c r="AD82" s="3" t="s">
        <v>33</v>
      </c>
    </row>
    <row r="83" spans="2:30">
      <c r="B83" s="3">
        <f>($F$38)*($F$39)*($C$34/2)</f>
        <v>0</v>
      </c>
      <c r="C83" s="3">
        <f>$C$46*B83</f>
        <v>0</v>
      </c>
      <c r="D83" s="3">
        <f>C83+($C$50*$C$52)</f>
        <v>435.23864601457871</v>
      </c>
      <c r="E83" s="3">
        <f t="shared" si="8"/>
        <v>-0.28979713159367249</v>
      </c>
      <c r="F83" s="3">
        <f t="shared" si="11"/>
        <v>42.840220121123217</v>
      </c>
      <c r="J83" s="29"/>
      <c r="K83" s="4"/>
      <c r="L83" s="30"/>
      <c r="T83" s="3">
        <f>($F$38)*($F$39)*($C$21/2)</f>
        <v>29.503574999999998</v>
      </c>
      <c r="U83" s="3">
        <f t="shared" si="13"/>
        <v>991.32011999999997</v>
      </c>
      <c r="V83" s="3">
        <f t="shared" si="14"/>
        <v>1426.5587660145786</v>
      </c>
      <c r="W83" s="3">
        <f t="shared" si="12"/>
        <v>-16.388727348959311</v>
      </c>
      <c r="X83" s="3">
        <v>250</v>
      </c>
      <c r="AB83" s="3">
        <f>1.25</f>
        <v>1.25</v>
      </c>
      <c r="AC83" s="3">
        <v>6</v>
      </c>
      <c r="AD83" s="3" t="s">
        <v>33</v>
      </c>
    </row>
    <row r="84" spans="2:30">
      <c r="B84" s="29"/>
      <c r="C84" s="4"/>
      <c r="D84" s="4"/>
      <c r="E84" s="4"/>
      <c r="F84" s="30"/>
      <c r="J84" s="29"/>
      <c r="K84" s="4"/>
      <c r="L84" s="30"/>
      <c r="T84" s="3">
        <f>($F$38)*($F$39)*($C$22/2)</f>
        <v>31.962206249999998</v>
      </c>
      <c r="U84" s="3">
        <f t="shared" si="13"/>
        <v>1073.93013</v>
      </c>
      <c r="V84" s="3">
        <f t="shared" si="14"/>
        <v>1509.1687760145787</v>
      </c>
      <c r="W84" s="3">
        <f t="shared" si="12"/>
        <v>-17.337775479634754</v>
      </c>
      <c r="X84" s="3">
        <v>250</v>
      </c>
      <c r="AB84" s="3">
        <f>1.467</f>
        <v>1.4670000000000001</v>
      </c>
      <c r="AC84" s="3">
        <v>6.5</v>
      </c>
      <c r="AD84" s="3" t="s">
        <v>33</v>
      </c>
    </row>
    <row r="85" spans="2:30">
      <c r="B85" s="29" t="s">
        <v>118</v>
      </c>
      <c r="C85" s="4"/>
      <c r="D85" s="4"/>
      <c r="E85" s="4"/>
      <c r="F85" s="30"/>
      <c r="J85" s="29" t="s">
        <v>119</v>
      </c>
      <c r="K85" s="4"/>
      <c r="L85" s="30"/>
      <c r="T85" s="3">
        <f>($F$38)*($F$39)*($C$23/2)</f>
        <v>34.420837499999998</v>
      </c>
      <c r="U85" s="3">
        <f>$C$46*T85</f>
        <v>1156.5401400000001</v>
      </c>
      <c r="V85" s="3">
        <f t="shared" si="14"/>
        <v>1591.7787860145788</v>
      </c>
      <c r="W85" s="3">
        <f t="shared" si="12"/>
        <v>-18.286823610310197</v>
      </c>
      <c r="X85" s="3">
        <v>250</v>
      </c>
      <c r="AB85" s="3">
        <f>1.702</f>
        <v>1.702</v>
      </c>
      <c r="AC85" s="3">
        <v>7</v>
      </c>
      <c r="AD85" s="3" t="s">
        <v>33</v>
      </c>
    </row>
    <row r="86" spans="2:30">
      <c r="B86" s="45" t="s">
        <v>75</v>
      </c>
      <c r="C86" s="45" t="s">
        <v>76</v>
      </c>
      <c r="D86" s="45" t="s">
        <v>77</v>
      </c>
      <c r="E86" s="45" t="s">
        <v>78</v>
      </c>
      <c r="F86" s="45" t="s">
        <v>32</v>
      </c>
      <c r="J86" s="45" t="s">
        <v>32</v>
      </c>
      <c r="K86" s="3"/>
      <c r="L86" s="3"/>
      <c r="T86" s="3">
        <f>($F$38)*($F$39)*($C$24/2)</f>
        <v>36.879468750000001</v>
      </c>
      <c r="U86" s="3">
        <f t="shared" ref="U86:U95" si="16">$C$46*T86</f>
        <v>1239.1501500000002</v>
      </c>
      <c r="V86" s="3">
        <f t="shared" si="14"/>
        <v>1674.3887960145789</v>
      </c>
      <c r="W86" s="3">
        <f t="shared" si="12"/>
        <v>-19.23587174098564</v>
      </c>
      <c r="X86" s="3">
        <v>250</v>
      </c>
      <c r="AB86" s="3">
        <f>1.954</f>
        <v>1.954</v>
      </c>
      <c r="AC86" s="3">
        <v>7.5</v>
      </c>
      <c r="AD86" s="3" t="s">
        <v>33</v>
      </c>
    </row>
    <row r="87" spans="2:30">
      <c r="B87" s="3">
        <f>($F$38)*($F$39)*($C$9/2)</f>
        <v>0</v>
      </c>
      <c r="C87" s="3">
        <f>$C$46*B87</f>
        <v>0</v>
      </c>
      <c r="D87" s="3">
        <f>C87+($C$50*$C$52)</f>
        <v>435.23864601457871</v>
      </c>
      <c r="E87" s="3">
        <f t="shared" ref="E87:E112" si="17">(D87)/($C$48+((($F$40)*($C$52))*$F$10)-(($C$49+$C$50)*$F$10^2))</f>
        <v>-5.0001497808539987</v>
      </c>
      <c r="F87" s="3">
        <f>($F$10*E87)*($F$10*E87*$C$52)/2</f>
        <v>3188.3762480194414</v>
      </c>
      <c r="J87" s="3">
        <f>0</f>
        <v>0</v>
      </c>
      <c r="K87" s="3"/>
      <c r="L87" s="3" t="s">
        <v>33</v>
      </c>
      <c r="T87" s="3">
        <f>($F$38)*($F$39)*($C$25/2)</f>
        <v>39.338099999999997</v>
      </c>
      <c r="U87" s="3">
        <f t="shared" si="16"/>
        <v>1321.76016</v>
      </c>
      <c r="V87" s="3">
        <f t="shared" si="14"/>
        <v>1756.9988060145788</v>
      </c>
      <c r="W87" s="3">
        <f t="shared" si="12"/>
        <v>-20.18491987166108</v>
      </c>
      <c r="X87" s="3">
        <v>250</v>
      </c>
      <c r="AB87" s="3">
        <f>2.223</f>
        <v>2.2229999999999999</v>
      </c>
      <c r="AC87" s="3">
        <v>8</v>
      </c>
      <c r="AD87" s="3" t="s">
        <v>33</v>
      </c>
    </row>
    <row r="88" spans="2:30">
      <c r="B88" s="3">
        <f>($F$38)*($F$39)*($C$10/2)</f>
        <v>2.4586312499999998</v>
      </c>
      <c r="C88" s="3">
        <f t="shared" ref="C88:C100" si="18">$C$46*B88</f>
        <v>82.610010000000003</v>
      </c>
      <c r="D88" s="3">
        <f t="shared" ref="D88:D111" si="19">C88+($C$50*$C$52)</f>
        <v>517.84865601457875</v>
      </c>
      <c r="E88" s="3">
        <f t="shared" si="17"/>
        <v>-5.9491979115294411</v>
      </c>
      <c r="F88" s="3">
        <f t="shared" ref="F88:F112" si="20">($F$10*E88)*($F$10*E88*$C$52)/2</f>
        <v>4513.5719608756854</v>
      </c>
      <c r="J88" s="3">
        <f>0.009</f>
        <v>8.9999999999999993E-3</v>
      </c>
      <c r="K88" s="3"/>
      <c r="L88" s="3" t="s">
        <v>33</v>
      </c>
      <c r="T88" s="3">
        <f>($F$38)*($F$39)*($C$26/2)</f>
        <v>41.796731249999993</v>
      </c>
      <c r="U88" s="3">
        <f t="shared" si="16"/>
        <v>1404.3701699999999</v>
      </c>
      <c r="V88" s="3">
        <f t="shared" si="14"/>
        <v>1839.6088160145787</v>
      </c>
      <c r="W88" s="3">
        <f t="shared" si="12"/>
        <v>-21.133968002336523</v>
      </c>
      <c r="X88" s="3">
        <v>250</v>
      </c>
      <c r="AB88" s="3">
        <f>2.509</f>
        <v>2.5089999999999999</v>
      </c>
      <c r="AC88" s="3">
        <v>8.5</v>
      </c>
      <c r="AD88" s="3" t="s">
        <v>33</v>
      </c>
    </row>
    <row r="89" spans="2:30">
      <c r="B89" s="3">
        <f>($F$38)*($F$39)*($C$11/2)</f>
        <v>4.9172624999999996</v>
      </c>
      <c r="C89" s="3">
        <f t="shared" si="18"/>
        <v>165.22002000000001</v>
      </c>
      <c r="D89" s="3">
        <f t="shared" si="19"/>
        <v>600.45866601457874</v>
      </c>
      <c r="E89" s="3">
        <f t="shared" si="17"/>
        <v>-6.8982460422048844</v>
      </c>
      <c r="F89" s="3">
        <f t="shared" si="20"/>
        <v>6068.4935988553434</v>
      </c>
      <c r="J89" s="3">
        <f>0.035</f>
        <v>3.5000000000000003E-2</v>
      </c>
      <c r="K89" s="3"/>
      <c r="L89" s="3" t="s">
        <v>33</v>
      </c>
      <c r="T89" s="3">
        <f>($F$38)*($F$39)*($C$27/2)</f>
        <v>44.255362499999997</v>
      </c>
      <c r="U89" s="3">
        <f t="shared" si="16"/>
        <v>1486.98018</v>
      </c>
      <c r="V89" s="3">
        <f t="shared" si="14"/>
        <v>1922.2188260145788</v>
      </c>
      <c r="W89" s="3">
        <f t="shared" si="12"/>
        <v>-22.083016133011967</v>
      </c>
      <c r="X89" s="3">
        <v>250</v>
      </c>
      <c r="AB89" s="3">
        <f>2.813</f>
        <v>2.8130000000000002</v>
      </c>
      <c r="AC89" s="3">
        <v>9</v>
      </c>
      <c r="AD89" s="3" t="s">
        <v>33</v>
      </c>
    </row>
    <row r="90" spans="2:30">
      <c r="B90" s="3">
        <f>($F$38)*($F$39)*($C$12/2)</f>
        <v>7.3758937499999995</v>
      </c>
      <c r="C90" s="3">
        <f t="shared" si="18"/>
        <v>247.83002999999999</v>
      </c>
      <c r="D90" s="3">
        <f t="shared" si="19"/>
        <v>683.06867601457873</v>
      </c>
      <c r="E90" s="3">
        <f t="shared" si="17"/>
        <v>-7.8472941728803267</v>
      </c>
      <c r="F90" s="3">
        <f t="shared" si="20"/>
        <v>7853.1411619584087</v>
      </c>
      <c r="J90" s="3">
        <f>0.078</f>
        <v>7.8E-2</v>
      </c>
      <c r="K90" s="3"/>
      <c r="L90" s="3" t="s">
        <v>33</v>
      </c>
      <c r="T90" s="3">
        <f>($F$38)*($F$39)*($C$28/2)</f>
        <v>46.71399375</v>
      </c>
      <c r="U90" s="3">
        <f t="shared" si="16"/>
        <v>1569.5901900000001</v>
      </c>
      <c r="V90" s="3">
        <f t="shared" si="14"/>
        <v>2004.8288360145789</v>
      </c>
      <c r="W90" s="3">
        <f t="shared" si="12"/>
        <v>-23.03206426368741</v>
      </c>
      <c r="X90" s="3">
        <v>250</v>
      </c>
      <c r="AB90" s="3">
        <f>3.135</f>
        <v>3.1349999999999998</v>
      </c>
      <c r="AC90" s="3">
        <v>9.5</v>
      </c>
      <c r="AD90" s="3" t="s">
        <v>33</v>
      </c>
    </row>
    <row r="91" spans="2:30">
      <c r="B91" s="3">
        <f>($F$38)*($F$39)*($C$13/2)</f>
        <v>9.8345249999999993</v>
      </c>
      <c r="C91" s="3">
        <f t="shared" si="18"/>
        <v>330.44004000000001</v>
      </c>
      <c r="D91" s="3">
        <f t="shared" si="19"/>
        <v>765.67868601457872</v>
      </c>
      <c r="E91" s="3">
        <f t="shared" si="17"/>
        <v>-8.7963423035557682</v>
      </c>
      <c r="F91" s="3">
        <f t="shared" si="20"/>
        <v>9867.5146501848794</v>
      </c>
      <c r="J91" s="3">
        <f>0.139</f>
        <v>0.13900000000000001</v>
      </c>
      <c r="K91" s="3"/>
      <c r="L91" s="3" t="s">
        <v>33</v>
      </c>
      <c r="T91" s="3">
        <f>($F$38)*($F$39)*($C$29/2)</f>
        <v>49.172624999999996</v>
      </c>
      <c r="U91" s="3">
        <f t="shared" si="16"/>
        <v>1652.2002</v>
      </c>
      <c r="V91" s="3">
        <f t="shared" si="14"/>
        <v>2087.4388460145788</v>
      </c>
      <c r="W91" s="3">
        <f t="shared" si="12"/>
        <v>-23.981112394362853</v>
      </c>
      <c r="X91" s="3">
        <v>250</v>
      </c>
      <c r="AB91" s="3">
        <f>3.473</f>
        <v>3.4729999999999999</v>
      </c>
      <c r="AC91" s="3">
        <v>10</v>
      </c>
      <c r="AD91" s="3" t="s">
        <v>33</v>
      </c>
    </row>
    <row r="92" spans="2:30">
      <c r="B92" s="3">
        <f>($F$38)*($F$39)*($C$14/2)</f>
        <v>12.293156249999999</v>
      </c>
      <c r="C92" s="3">
        <f t="shared" si="18"/>
        <v>413.05005</v>
      </c>
      <c r="D92" s="3">
        <f t="shared" si="19"/>
        <v>848.2886960145787</v>
      </c>
      <c r="E92" s="3">
        <f t="shared" si="17"/>
        <v>-9.7453904342312114</v>
      </c>
      <c r="F92" s="3">
        <f t="shared" si="20"/>
        <v>12111.614063534767</v>
      </c>
      <c r="J92" s="3">
        <f>0.217</f>
        <v>0.217</v>
      </c>
      <c r="K92" s="3"/>
      <c r="L92" s="3" t="s">
        <v>33</v>
      </c>
      <c r="T92" s="3">
        <f>($F$38)*($F$39)*($C$30/2)</f>
        <v>51.631256249999993</v>
      </c>
      <c r="U92" s="3">
        <f t="shared" si="16"/>
        <v>1734.8102099999999</v>
      </c>
      <c r="V92" s="3">
        <f t="shared" si="14"/>
        <v>2170.0488560145786</v>
      </c>
      <c r="W92" s="3">
        <f t="shared" si="12"/>
        <v>-24.930160525038293</v>
      </c>
      <c r="X92" s="3">
        <v>250</v>
      </c>
      <c r="AB92" s="3">
        <f>3.829</f>
        <v>3.8290000000000002</v>
      </c>
      <c r="AC92" s="3">
        <v>10.5</v>
      </c>
      <c r="AD92" s="3" t="s">
        <v>33</v>
      </c>
    </row>
    <row r="93" spans="2:30">
      <c r="B93" s="3">
        <f>($F$38)*($F$39)*($C$15/2)</f>
        <v>14.751787499999999</v>
      </c>
      <c r="C93" s="3">
        <f t="shared" si="18"/>
        <v>495.66005999999999</v>
      </c>
      <c r="D93" s="3">
        <f t="shared" si="19"/>
        <v>930.89870601457869</v>
      </c>
      <c r="E93" s="3">
        <f t="shared" si="17"/>
        <v>-10.694438564906655</v>
      </c>
      <c r="F93" s="3">
        <f t="shared" si="20"/>
        <v>14585.439402008064</v>
      </c>
      <c r="J93" s="3">
        <f>0.313</f>
        <v>0.313</v>
      </c>
      <c r="K93" s="3"/>
      <c r="L93" s="3" t="s">
        <v>33</v>
      </c>
      <c r="T93" s="3">
        <f>($F$38)*($F$39)*($C$31/2)</f>
        <v>54.089887499999996</v>
      </c>
      <c r="U93" s="3">
        <f t="shared" si="16"/>
        <v>1817.42022</v>
      </c>
      <c r="V93" s="3">
        <f t="shared" si="14"/>
        <v>2252.6588660145785</v>
      </c>
      <c r="W93" s="3">
        <f t="shared" si="12"/>
        <v>-25.879208655713732</v>
      </c>
      <c r="X93" s="3">
        <v>250</v>
      </c>
      <c r="AB93" s="3">
        <f>4.203</f>
        <v>4.2030000000000003</v>
      </c>
      <c r="AC93" s="3">
        <v>11</v>
      </c>
      <c r="AD93" s="3" t="s">
        <v>33</v>
      </c>
    </row>
    <row r="94" spans="2:30">
      <c r="B94" s="3">
        <f>($F$38)*($F$39)*($C$16/2)</f>
        <v>17.210418749999999</v>
      </c>
      <c r="C94" s="3">
        <f t="shared" si="18"/>
        <v>578.27007000000003</v>
      </c>
      <c r="D94" s="3">
        <f t="shared" si="19"/>
        <v>1013.5087160145788</v>
      </c>
      <c r="E94" s="3">
        <f t="shared" si="17"/>
        <v>-11.643486695582098</v>
      </c>
      <c r="F94" s="3">
        <f t="shared" si="20"/>
        <v>17288.990665604771</v>
      </c>
      <c r="J94" s="3">
        <f>0.425</f>
        <v>0.42499999999999999</v>
      </c>
      <c r="K94" s="3"/>
      <c r="L94" s="3" t="s">
        <v>33</v>
      </c>
      <c r="T94" s="3">
        <f>($F$38)*($F$39)*($C$32/2)</f>
        <v>56.548518749999999</v>
      </c>
      <c r="U94" s="3">
        <f t="shared" si="16"/>
        <v>1900.0302300000001</v>
      </c>
      <c r="V94" s="3">
        <f t="shared" si="14"/>
        <v>2335.2688760145788</v>
      </c>
      <c r="W94" s="3">
        <f t="shared" si="12"/>
        <v>-26.828256786389179</v>
      </c>
      <c r="X94" s="3">
        <v>250</v>
      </c>
      <c r="AB94" s="3">
        <f>4.593</f>
        <v>4.593</v>
      </c>
      <c r="AC94" s="3">
        <v>11.5</v>
      </c>
      <c r="AD94" s="3" t="s">
        <v>33</v>
      </c>
    </row>
    <row r="95" spans="2:30">
      <c r="B95" s="3">
        <f>($F$38)*($F$39)*($C$17/2)</f>
        <v>19.669049999999999</v>
      </c>
      <c r="C95" s="3">
        <f t="shared" si="18"/>
        <v>660.88008000000002</v>
      </c>
      <c r="D95" s="3">
        <f t="shared" si="19"/>
        <v>1096.1187260145787</v>
      </c>
      <c r="E95" s="3">
        <f t="shared" si="17"/>
        <v>-12.592534826257539</v>
      </c>
      <c r="F95" s="3">
        <f t="shared" si="20"/>
        <v>20222.267854324888</v>
      </c>
      <c r="J95" s="3">
        <f>0.556</f>
        <v>0.55600000000000005</v>
      </c>
      <c r="K95" s="3"/>
      <c r="L95" s="3" t="s">
        <v>33</v>
      </c>
      <c r="T95" s="3">
        <f>($F$38)*($F$39)*($C$33/2)</f>
        <v>59.007149999999996</v>
      </c>
      <c r="U95" s="3">
        <f t="shared" si="16"/>
        <v>1982.6402399999999</v>
      </c>
      <c r="V95" s="3">
        <f t="shared" si="14"/>
        <v>2417.8788860145787</v>
      </c>
      <c r="W95" s="3">
        <f t="shared" si="12"/>
        <v>-27.777304917064622</v>
      </c>
      <c r="X95" s="3">
        <v>250</v>
      </c>
      <c r="AB95" s="3">
        <f>5.002</f>
        <v>5.0019999999999998</v>
      </c>
      <c r="AC95" s="3">
        <v>12</v>
      </c>
      <c r="AD95" s="3" t="s">
        <v>33</v>
      </c>
    </row>
    <row r="96" spans="2:30">
      <c r="B96" s="3">
        <f>($F$38)*($F$39)*($C$18/2)</f>
        <v>22.127681249999998</v>
      </c>
      <c r="C96" s="3">
        <f t="shared" si="18"/>
        <v>743.49009000000001</v>
      </c>
      <c r="D96" s="3">
        <f t="shared" si="19"/>
        <v>1178.7287360145788</v>
      </c>
      <c r="E96" s="3">
        <f t="shared" si="17"/>
        <v>-13.541582956932983</v>
      </c>
      <c r="F96" s="3">
        <f t="shared" si="20"/>
        <v>23385.270968168414</v>
      </c>
      <c r="J96" s="3">
        <f>0.703</f>
        <v>0.70299999999999996</v>
      </c>
      <c r="K96" s="3"/>
      <c r="L96" s="3" t="s">
        <v>33</v>
      </c>
      <c r="T96" s="3"/>
      <c r="U96" s="3"/>
      <c r="V96" s="3"/>
      <c r="W96" s="3"/>
      <c r="X96" s="3"/>
      <c r="AB96" s="29"/>
      <c r="AC96" s="4"/>
      <c r="AD96" s="30"/>
    </row>
    <row r="97" spans="2:30">
      <c r="B97" s="3">
        <f>($F$38)*($F$39)*($C$19/2)</f>
        <v>24.586312499999998</v>
      </c>
      <c r="C97" s="3">
        <f t="shared" si="18"/>
        <v>826.1001</v>
      </c>
      <c r="D97" s="3">
        <f t="shared" si="19"/>
        <v>1261.3387460145786</v>
      </c>
      <c r="E97" s="3">
        <f t="shared" si="17"/>
        <v>-14.490631087608424</v>
      </c>
      <c r="F97" s="3">
        <f t="shared" si="20"/>
        <v>26778.00000713535</v>
      </c>
      <c r="J97" s="3">
        <f>0.868</f>
        <v>0.86799999999999999</v>
      </c>
      <c r="K97" s="3"/>
      <c r="L97" s="3" t="s">
        <v>33</v>
      </c>
      <c r="T97" s="29"/>
      <c r="U97" s="4"/>
      <c r="V97" s="4"/>
      <c r="W97" s="4"/>
      <c r="X97" s="30"/>
      <c r="AB97" s="29"/>
      <c r="AC97" s="4"/>
      <c r="AD97" s="30"/>
    </row>
    <row r="98" spans="2:30">
      <c r="B98" s="3">
        <f>($F$38)*($F$39)*($C$20/2)</f>
        <v>27.044943749999998</v>
      </c>
      <c r="C98" s="3">
        <f t="shared" si="18"/>
        <v>908.71010999999999</v>
      </c>
      <c r="D98" s="3">
        <f t="shared" si="19"/>
        <v>1343.9487560145787</v>
      </c>
      <c r="E98" s="3">
        <f t="shared" si="17"/>
        <v>-15.439679218283867</v>
      </c>
      <c r="F98" s="3">
        <f t="shared" si="20"/>
        <v>30400.454971225696</v>
      </c>
      <c r="J98" s="3">
        <f>1.051</f>
        <v>1.0509999999999999</v>
      </c>
      <c r="K98" s="3">
        <v>5.5</v>
      </c>
      <c r="L98" s="3" t="s">
        <v>33</v>
      </c>
      <c r="T98" s="29" t="s">
        <v>120</v>
      </c>
      <c r="U98" s="4"/>
      <c r="V98" s="4"/>
      <c r="W98" s="4"/>
      <c r="X98" s="30"/>
      <c r="AB98" s="29" t="s">
        <v>121</v>
      </c>
      <c r="AC98" s="4"/>
      <c r="AD98" s="30"/>
    </row>
    <row r="99" spans="2:30">
      <c r="B99" s="3">
        <f>($F$38)*($F$39)*($C$21/2)</f>
        <v>29.503574999999998</v>
      </c>
      <c r="C99" s="3">
        <f t="shared" si="18"/>
        <v>991.32011999999997</v>
      </c>
      <c r="D99" s="3">
        <f t="shared" si="19"/>
        <v>1426.5587660145786</v>
      </c>
      <c r="E99" s="3">
        <f t="shared" si="17"/>
        <v>-16.388727348959311</v>
      </c>
      <c r="F99" s="3">
        <f t="shared" si="20"/>
        <v>34252.635860439455</v>
      </c>
      <c r="J99" s="3">
        <f>1.25</f>
        <v>1.25</v>
      </c>
      <c r="K99" s="3"/>
      <c r="L99" s="3" t="s">
        <v>33</v>
      </c>
      <c r="T99" s="45" t="s">
        <v>75</v>
      </c>
      <c r="U99" s="45" t="s">
        <v>76</v>
      </c>
      <c r="V99" s="45" t="s">
        <v>77</v>
      </c>
      <c r="W99" s="45" t="s">
        <v>78</v>
      </c>
      <c r="X99" s="45" t="s">
        <v>32</v>
      </c>
      <c r="AB99" s="45" t="s">
        <v>32</v>
      </c>
      <c r="AC99" s="3"/>
      <c r="AD99" s="3"/>
    </row>
    <row r="100" spans="2:30">
      <c r="B100" s="3">
        <f>($F$38)*($F$39)*($C$22/2)</f>
        <v>31.962206249999998</v>
      </c>
      <c r="C100" s="3">
        <f t="shared" si="18"/>
        <v>1073.93013</v>
      </c>
      <c r="D100" s="3">
        <f t="shared" si="19"/>
        <v>1509.1687760145787</v>
      </c>
      <c r="E100" s="3">
        <f t="shared" si="17"/>
        <v>-17.337775479634754</v>
      </c>
      <c r="F100" s="3">
        <f t="shared" si="20"/>
        <v>38334.542674776625</v>
      </c>
      <c r="J100" s="3">
        <f>1.467</f>
        <v>1.4670000000000001</v>
      </c>
      <c r="K100" s="3"/>
      <c r="L100" s="3" t="s">
        <v>33</v>
      </c>
      <c r="T100" s="3">
        <f>($F$38)*($F$39)*($C$9/2)</f>
        <v>0</v>
      </c>
      <c r="U100" s="3">
        <f>$C$46*T100</f>
        <v>0</v>
      </c>
      <c r="V100" s="3">
        <f>U100+($C$50*$C$52)</f>
        <v>435.23864601457871</v>
      </c>
      <c r="W100" s="3">
        <f t="shared" ref="W100:W124" si="21">(V100)/($C$48+((($F$40)*($C$52))*$F$11)-(($C$49+$C$50)*$F$11^2))</f>
        <v>2.6712816676848168</v>
      </c>
      <c r="X100" s="3">
        <v>250</v>
      </c>
      <c r="AB100" s="3">
        <v>0</v>
      </c>
      <c r="AC100" s="3">
        <v>0</v>
      </c>
      <c r="AD100" s="3" t="s">
        <v>33</v>
      </c>
    </row>
    <row r="101" spans="2:30">
      <c r="B101" s="3">
        <f>($F$38)*($F$39)*($C$23/2)</f>
        <v>34.420837499999998</v>
      </c>
      <c r="C101" s="3">
        <f>$C$46*B101</f>
        <v>1156.5401400000001</v>
      </c>
      <c r="D101" s="3">
        <f t="shared" si="19"/>
        <v>1591.7787860145788</v>
      </c>
      <c r="E101" s="3">
        <f t="shared" si="17"/>
        <v>-18.286823610310197</v>
      </c>
      <c r="F101" s="3">
        <f t="shared" si="20"/>
        <v>42646.175414237201</v>
      </c>
      <c r="J101" s="3">
        <f>1.702</f>
        <v>1.702</v>
      </c>
      <c r="K101" s="3"/>
      <c r="L101" s="3" t="s">
        <v>33</v>
      </c>
      <c r="T101" s="3">
        <f>($F$38)*($F$39)*($C$10/2)</f>
        <v>2.4586312499999998</v>
      </c>
      <c r="U101" s="3">
        <f t="shared" ref="U101:U113" si="22">$C$46*T101</f>
        <v>82.610010000000003</v>
      </c>
      <c r="V101" s="3">
        <f t="shared" ref="V101:V124" si="23">U101+($C$50*$C$52)</f>
        <v>517.84865601457875</v>
      </c>
      <c r="W101" s="3">
        <f t="shared" si="21"/>
        <v>3.1783014539582712</v>
      </c>
      <c r="X101" s="3">
        <v>250</v>
      </c>
      <c r="AB101" s="3">
        <f>0.125</f>
        <v>0.125</v>
      </c>
      <c r="AC101" s="3">
        <v>0.5</v>
      </c>
      <c r="AD101" s="3" t="s">
        <v>33</v>
      </c>
    </row>
    <row r="102" spans="2:30">
      <c r="B102" s="3">
        <f>($F$38)*($F$39)*($C$24/2)</f>
        <v>36.879468750000001</v>
      </c>
      <c r="C102" s="3">
        <f t="shared" ref="C102:C111" si="24">$C$46*B102</f>
        <v>1239.1501500000002</v>
      </c>
      <c r="D102" s="3">
        <f t="shared" si="19"/>
        <v>1674.3887960145789</v>
      </c>
      <c r="E102" s="3">
        <f t="shared" si="17"/>
        <v>-19.23587174098564</v>
      </c>
      <c r="F102" s="3">
        <f t="shared" si="20"/>
        <v>47187.534078821191</v>
      </c>
      <c r="J102" s="3">
        <f>1.954</f>
        <v>1.954</v>
      </c>
      <c r="K102" s="3"/>
      <c r="L102" s="3" t="s">
        <v>33</v>
      </c>
      <c r="T102" s="3">
        <f>($F$38)*($F$39)*($C$11/2)</f>
        <v>4.9172624999999996</v>
      </c>
      <c r="U102" s="3">
        <f t="shared" si="22"/>
        <v>165.22002000000001</v>
      </c>
      <c r="V102" s="3">
        <f t="shared" si="23"/>
        <v>600.45866601457874</v>
      </c>
      <c r="W102" s="3">
        <f t="shared" si="21"/>
        <v>3.6853212402317257</v>
      </c>
      <c r="X102" s="3">
        <v>250</v>
      </c>
      <c r="AB102" s="3">
        <f>0.499</f>
        <v>0.499</v>
      </c>
      <c r="AC102" s="3">
        <v>1</v>
      </c>
      <c r="AD102" s="3" t="s">
        <v>33</v>
      </c>
    </row>
    <row r="103" spans="2:30">
      <c r="B103" s="3">
        <f>($F$38)*($F$39)*($C$25/2)</f>
        <v>39.338099999999997</v>
      </c>
      <c r="C103" s="3">
        <f t="shared" si="24"/>
        <v>1321.76016</v>
      </c>
      <c r="D103" s="3">
        <f t="shared" si="19"/>
        <v>1756.9988060145788</v>
      </c>
      <c r="E103" s="3">
        <f t="shared" si="17"/>
        <v>-20.18491987166108</v>
      </c>
      <c r="F103" s="3">
        <f>($F$10*E103)*($F$10*E103*$C$52)/2</f>
        <v>51958.618668528579</v>
      </c>
      <c r="J103" s="3">
        <f>2.223</f>
        <v>2.2229999999999999</v>
      </c>
      <c r="K103" s="3"/>
      <c r="L103" s="3" t="s">
        <v>33</v>
      </c>
      <c r="T103" s="3">
        <f>($F$38)*($F$39)*($C$12/2)</f>
        <v>7.3758937499999995</v>
      </c>
      <c r="U103" s="3">
        <f t="shared" si="22"/>
        <v>247.83002999999999</v>
      </c>
      <c r="V103" s="3">
        <f t="shared" si="23"/>
        <v>683.06867601457873</v>
      </c>
      <c r="W103" s="3">
        <f t="shared" si="21"/>
        <v>4.1923410265051801</v>
      </c>
      <c r="X103" s="3">
        <v>250</v>
      </c>
      <c r="AB103" s="3">
        <f>1.122</f>
        <v>1.1220000000000001</v>
      </c>
      <c r="AC103" s="3">
        <v>1.5</v>
      </c>
      <c r="AD103" s="3" t="s">
        <v>33</v>
      </c>
    </row>
    <row r="104" spans="2:30">
      <c r="B104" s="3">
        <f>($F$38)*($F$39)*($C$26/2)</f>
        <v>41.796731249999993</v>
      </c>
      <c r="C104" s="3">
        <f t="shared" si="24"/>
        <v>1404.3701699999999</v>
      </c>
      <c r="D104" s="3">
        <f t="shared" si="19"/>
        <v>1839.6088160145787</v>
      </c>
      <c r="E104" s="3">
        <f t="shared" si="17"/>
        <v>-21.133968002336523</v>
      </c>
      <c r="F104" s="3">
        <f t="shared" si="20"/>
        <v>56959.429183359389</v>
      </c>
      <c r="J104" s="3">
        <f>2.509</f>
        <v>2.5089999999999999</v>
      </c>
      <c r="K104" s="3"/>
      <c r="L104" s="3" t="s">
        <v>33</v>
      </c>
      <c r="T104" s="3">
        <f>($F$38)*($F$39)*($C$13/2)</f>
        <v>9.8345249999999993</v>
      </c>
      <c r="U104" s="3">
        <f t="shared" si="22"/>
        <v>330.44004000000001</v>
      </c>
      <c r="V104" s="3">
        <f t="shared" si="23"/>
        <v>765.67868601457872</v>
      </c>
      <c r="W104" s="3">
        <f t="shared" si="21"/>
        <v>4.6993608127786342</v>
      </c>
      <c r="X104" s="3">
        <v>250</v>
      </c>
      <c r="AB104" s="3">
        <f>1.995</f>
        <v>1.9950000000000001</v>
      </c>
      <c r="AC104" s="3">
        <v>2</v>
      </c>
      <c r="AD104" s="3" t="s">
        <v>33</v>
      </c>
    </row>
    <row r="105" spans="2:30">
      <c r="B105" s="3">
        <f>($F$38)*($F$39)*($C$27/2)</f>
        <v>44.255362499999997</v>
      </c>
      <c r="C105" s="3">
        <f t="shared" si="24"/>
        <v>1486.98018</v>
      </c>
      <c r="D105" s="3">
        <f t="shared" si="19"/>
        <v>1922.2188260145788</v>
      </c>
      <c r="E105" s="3">
        <f t="shared" si="17"/>
        <v>-22.083016133011967</v>
      </c>
      <c r="F105" s="3">
        <f t="shared" si="20"/>
        <v>62189.96562331359</v>
      </c>
      <c r="J105" s="3">
        <f>2.813</f>
        <v>2.8130000000000002</v>
      </c>
      <c r="K105" s="3"/>
      <c r="L105" s="3" t="s">
        <v>33</v>
      </c>
      <c r="T105" s="3">
        <f>($F$38)*($F$39)*($C$14/2)</f>
        <v>12.293156249999999</v>
      </c>
      <c r="U105" s="3">
        <f t="shared" si="22"/>
        <v>413.05005</v>
      </c>
      <c r="V105" s="3">
        <f t="shared" si="23"/>
        <v>848.2886960145787</v>
      </c>
      <c r="W105" s="3">
        <f t="shared" si="21"/>
        <v>5.2063805990520891</v>
      </c>
      <c r="X105" s="3">
        <v>250</v>
      </c>
      <c r="AB105" s="3">
        <f>3.117</f>
        <v>3.117</v>
      </c>
      <c r="AC105" s="3">
        <v>2.5</v>
      </c>
      <c r="AD105" s="3" t="s">
        <v>33</v>
      </c>
    </row>
    <row r="106" spans="2:30">
      <c r="B106" s="3">
        <f>($F$38)*($F$39)*($C$28/2)</f>
        <v>46.71399375</v>
      </c>
      <c r="C106" s="3">
        <f t="shared" si="24"/>
        <v>1569.5901900000001</v>
      </c>
      <c r="D106" s="3">
        <f t="shared" si="19"/>
        <v>2004.8288360145789</v>
      </c>
      <c r="E106" s="3">
        <f t="shared" si="17"/>
        <v>-23.03206426368741</v>
      </c>
      <c r="F106" s="3">
        <f t="shared" si="20"/>
        <v>67650.227988391242</v>
      </c>
      <c r="J106" s="3">
        <f>3.135</f>
        <v>3.1349999999999998</v>
      </c>
      <c r="K106" s="3"/>
      <c r="L106" s="3" t="s">
        <v>33</v>
      </c>
      <c r="T106" s="3">
        <f>($F$38)*($F$39)*($C$15/2)</f>
        <v>14.751787499999999</v>
      </c>
      <c r="U106" s="3">
        <f t="shared" si="22"/>
        <v>495.66005999999999</v>
      </c>
      <c r="V106" s="3">
        <f t="shared" si="23"/>
        <v>930.89870601457869</v>
      </c>
      <c r="W106" s="3">
        <f t="shared" si="21"/>
        <v>5.7134003853255431</v>
      </c>
      <c r="X106" s="3">
        <v>250</v>
      </c>
      <c r="AB106" s="3">
        <f>4.489</f>
        <v>4.4889999999999999</v>
      </c>
      <c r="AC106" s="3">
        <v>3</v>
      </c>
      <c r="AD106" s="3" t="s">
        <v>33</v>
      </c>
    </row>
    <row r="107" spans="2:30">
      <c r="B107" s="3">
        <f>($F$38)*($F$39)*($C$29/2)</f>
        <v>49.172624999999996</v>
      </c>
      <c r="C107" s="3">
        <f t="shared" si="24"/>
        <v>1652.2002</v>
      </c>
      <c r="D107" s="3">
        <f t="shared" si="19"/>
        <v>2087.4388460145788</v>
      </c>
      <c r="E107" s="3">
        <f t="shared" si="17"/>
        <v>-23.981112394362853</v>
      </c>
      <c r="F107" s="3">
        <f t="shared" si="20"/>
        <v>73340.216278592256</v>
      </c>
      <c r="J107" s="3">
        <f>3.473</f>
        <v>3.4729999999999999</v>
      </c>
      <c r="K107" s="3"/>
      <c r="L107" s="3" t="s">
        <v>33</v>
      </c>
      <c r="T107" s="3">
        <f>($F$38)*($F$39)*($C$16/2)</f>
        <v>17.210418749999999</v>
      </c>
      <c r="U107" s="3">
        <f t="shared" si="22"/>
        <v>578.27007000000003</v>
      </c>
      <c r="V107" s="3">
        <f t="shared" si="23"/>
        <v>1013.5087160145788</v>
      </c>
      <c r="W107" s="3">
        <f t="shared" si="21"/>
        <v>6.220420171598998</v>
      </c>
      <c r="X107" s="3">
        <v>250</v>
      </c>
      <c r="AB107" s="3">
        <f>6.11</f>
        <v>6.11</v>
      </c>
      <c r="AC107" s="3">
        <v>3.5</v>
      </c>
      <c r="AD107" s="3" t="s">
        <v>33</v>
      </c>
    </row>
    <row r="108" spans="2:30">
      <c r="B108" s="3">
        <f>($F$38)*($F$39)*($C$30/2)</f>
        <v>51.631256249999993</v>
      </c>
      <c r="C108" s="3">
        <f t="shared" si="24"/>
        <v>1734.8102099999999</v>
      </c>
      <c r="D108" s="3">
        <f t="shared" si="19"/>
        <v>2170.0488560145786</v>
      </c>
      <c r="E108" s="3">
        <f t="shared" si="17"/>
        <v>-24.930160525038293</v>
      </c>
      <c r="F108" s="3">
        <f t="shared" si="20"/>
        <v>79259.930493916705</v>
      </c>
      <c r="J108" s="3">
        <f>3.829</f>
        <v>3.8290000000000002</v>
      </c>
      <c r="K108" s="3"/>
      <c r="L108" s="3" t="s">
        <v>33</v>
      </c>
      <c r="T108" s="3">
        <f>($F$38)*($F$39)*($C$17/2)</f>
        <v>19.669049999999999</v>
      </c>
      <c r="U108" s="3">
        <f t="shared" si="22"/>
        <v>660.88008000000002</v>
      </c>
      <c r="V108" s="3">
        <f t="shared" si="23"/>
        <v>1096.1187260145787</v>
      </c>
      <c r="W108" s="3">
        <f t="shared" si="21"/>
        <v>6.727439957872452</v>
      </c>
      <c r="X108" s="3">
        <v>250</v>
      </c>
      <c r="AB108" s="3">
        <f>7.98</f>
        <v>7.98</v>
      </c>
      <c r="AC108" s="3">
        <v>4</v>
      </c>
      <c r="AD108" s="3" t="s">
        <v>33</v>
      </c>
    </row>
    <row r="109" spans="2:30">
      <c r="B109" s="3">
        <f>($F$38)*($F$39)*($C$31/2)</f>
        <v>54.089887499999996</v>
      </c>
      <c r="C109" s="3">
        <f t="shared" si="24"/>
        <v>1817.42022</v>
      </c>
      <c r="D109" s="3">
        <f t="shared" si="19"/>
        <v>2252.6588660145785</v>
      </c>
      <c r="E109" s="3">
        <f t="shared" si="17"/>
        <v>-25.879208655713732</v>
      </c>
      <c r="F109" s="3">
        <f t="shared" si="20"/>
        <v>85409.370634364546</v>
      </c>
      <c r="J109" s="3">
        <f>4.203</f>
        <v>4.2030000000000003</v>
      </c>
      <c r="K109" s="3"/>
      <c r="L109" s="3" t="s">
        <v>33</v>
      </c>
      <c r="T109" s="3">
        <f>($F$38)*($F$39)*($C$18/2)</f>
        <v>22.127681249999998</v>
      </c>
      <c r="U109" s="3">
        <f t="shared" si="22"/>
        <v>743.49009000000001</v>
      </c>
      <c r="V109" s="3">
        <f t="shared" si="23"/>
        <v>1178.7287360145788</v>
      </c>
      <c r="W109" s="3">
        <f t="shared" si="21"/>
        <v>7.2344597441459069</v>
      </c>
      <c r="X109" s="3">
        <v>250</v>
      </c>
      <c r="AB109" s="3">
        <f>10.1</f>
        <v>10.1</v>
      </c>
      <c r="AC109" s="3">
        <v>4.5</v>
      </c>
      <c r="AD109" s="3" t="s">
        <v>33</v>
      </c>
    </row>
    <row r="110" spans="2:30">
      <c r="B110" s="3">
        <f>($F$38)*($F$39)*($C$32/2)</f>
        <v>56.548518749999999</v>
      </c>
      <c r="C110" s="3">
        <f t="shared" si="24"/>
        <v>1900.0302300000001</v>
      </c>
      <c r="D110" s="3">
        <f t="shared" si="19"/>
        <v>2335.2688760145788</v>
      </c>
      <c r="E110" s="3">
        <f t="shared" si="17"/>
        <v>-26.828256786389179</v>
      </c>
      <c r="F110" s="3">
        <f t="shared" si="20"/>
        <v>91788.536699935823</v>
      </c>
      <c r="J110" s="3">
        <f>4.593</f>
        <v>4.593</v>
      </c>
      <c r="K110" s="3"/>
      <c r="L110" s="3" t="s">
        <v>33</v>
      </c>
      <c r="T110" s="3">
        <f>($F$38)*($F$39)*($C$19/2)</f>
        <v>24.586312499999998</v>
      </c>
      <c r="U110" s="3">
        <f t="shared" si="22"/>
        <v>826.1001</v>
      </c>
      <c r="V110" s="3">
        <f t="shared" si="23"/>
        <v>1261.3387460145786</v>
      </c>
      <c r="W110" s="3">
        <f t="shared" si="21"/>
        <v>7.74147953041936</v>
      </c>
      <c r="X110" s="3">
        <v>250</v>
      </c>
      <c r="AB110" s="3">
        <f>12.469</f>
        <v>12.468999999999999</v>
      </c>
      <c r="AC110" s="3">
        <v>5</v>
      </c>
      <c r="AD110" s="3" t="s">
        <v>33</v>
      </c>
    </row>
    <row r="111" spans="2:30">
      <c r="B111" s="3">
        <f>($F$38)*($F$39)*($C$33/2)</f>
        <v>59.007149999999996</v>
      </c>
      <c r="C111" s="3">
        <f t="shared" si="24"/>
        <v>1982.6402399999999</v>
      </c>
      <c r="D111" s="3">
        <f t="shared" si="19"/>
        <v>2417.8788860145787</v>
      </c>
      <c r="E111" s="3">
        <f t="shared" si="17"/>
        <v>-27.777304917064622</v>
      </c>
      <c r="F111" s="3">
        <f t="shared" si="20"/>
        <v>98397.428690630521</v>
      </c>
      <c r="J111" s="3">
        <f>5.002</f>
        <v>5.0019999999999998</v>
      </c>
      <c r="K111" s="3"/>
      <c r="L111" s="3" t="s">
        <v>33</v>
      </c>
      <c r="T111" s="3">
        <f>($F$38)*($F$39)*($C$20/2)</f>
        <v>27.044943749999998</v>
      </c>
      <c r="U111" s="3">
        <f t="shared" si="22"/>
        <v>908.71010999999999</v>
      </c>
      <c r="V111" s="3">
        <f t="shared" si="23"/>
        <v>1343.9487560145787</v>
      </c>
      <c r="W111" s="3">
        <f t="shared" si="21"/>
        <v>8.2484993166928149</v>
      </c>
      <c r="X111" s="3">
        <v>250</v>
      </c>
      <c r="AB111" s="3">
        <f>15.088</f>
        <v>15.087999999999999</v>
      </c>
      <c r="AC111" s="3">
        <v>5.5</v>
      </c>
      <c r="AD111" s="3" t="s">
        <v>33</v>
      </c>
    </row>
    <row r="112" spans="2:30">
      <c r="B112" s="3">
        <f>($F$38)*($F$39)*($C$34/2)</f>
        <v>0</v>
      </c>
      <c r="C112" s="3">
        <f>$C$46*B112</f>
        <v>0</v>
      </c>
      <c r="D112" s="3">
        <f>C112+($C$50*$C$52)</f>
        <v>435.23864601457871</v>
      </c>
      <c r="E112" s="3">
        <f t="shared" si="17"/>
        <v>-5.0001497808539987</v>
      </c>
      <c r="F112" s="3">
        <f t="shared" si="20"/>
        <v>3188.3762480194414</v>
      </c>
      <c r="J112" s="29"/>
      <c r="K112" s="4"/>
      <c r="L112" s="30"/>
      <c r="T112" s="3">
        <f>($F$38)*($F$39)*($C$21/2)</f>
        <v>29.503574999999998</v>
      </c>
      <c r="U112" s="3">
        <f t="shared" si="22"/>
        <v>991.32011999999997</v>
      </c>
      <c r="V112" s="3">
        <f t="shared" si="23"/>
        <v>1426.5587660145786</v>
      </c>
      <c r="W112" s="3">
        <f t="shared" si="21"/>
        <v>8.7555191029662698</v>
      </c>
      <c r="X112" s="3">
        <v>250</v>
      </c>
      <c r="AB112" s="3">
        <f>17.956</f>
        <v>17.956</v>
      </c>
      <c r="AC112" s="3">
        <v>6</v>
      </c>
      <c r="AD112" s="3" t="s">
        <v>33</v>
      </c>
    </row>
    <row r="113" spans="2:30">
      <c r="B113" s="29"/>
      <c r="C113" s="4"/>
      <c r="D113" s="4"/>
      <c r="E113" s="4"/>
      <c r="F113" s="30"/>
      <c r="J113" s="29"/>
      <c r="K113" s="4"/>
      <c r="L113" s="30"/>
      <c r="T113" s="3">
        <f>($F$38)*($F$39)*($C$22/2)</f>
        <v>31.962206249999998</v>
      </c>
      <c r="U113" s="3">
        <f t="shared" si="22"/>
        <v>1073.93013</v>
      </c>
      <c r="V113" s="3">
        <f t="shared" si="23"/>
        <v>1509.1687760145787</v>
      </c>
      <c r="W113" s="3">
        <f t="shared" si="21"/>
        <v>9.2625388892397247</v>
      </c>
      <c r="X113" s="3">
        <v>250</v>
      </c>
      <c r="AB113" s="3">
        <f>21.073</f>
        <v>21.073</v>
      </c>
      <c r="AC113" s="3">
        <v>6.5</v>
      </c>
      <c r="AD113" s="3" t="s">
        <v>33</v>
      </c>
    </row>
    <row r="114" spans="2:30">
      <c r="B114" s="29" t="s">
        <v>120</v>
      </c>
      <c r="C114" s="4"/>
      <c r="D114" s="4"/>
      <c r="E114" s="4"/>
      <c r="F114" s="30"/>
      <c r="J114" s="29" t="s">
        <v>121</v>
      </c>
      <c r="K114" s="4"/>
      <c r="L114" s="30"/>
      <c r="T114" s="3">
        <f>($F$38)*($F$39)*($C$23/2)</f>
        <v>34.420837499999998</v>
      </c>
      <c r="U114" s="3">
        <f>$C$46*T114</f>
        <v>1156.5401400000001</v>
      </c>
      <c r="V114" s="3">
        <f t="shared" si="23"/>
        <v>1591.7787860145788</v>
      </c>
      <c r="W114" s="3">
        <f t="shared" si="21"/>
        <v>9.7695586755131796</v>
      </c>
      <c r="X114" s="3">
        <v>250</v>
      </c>
      <c r="AB114" s="3">
        <f>24.44</f>
        <v>24.44</v>
      </c>
      <c r="AC114" s="3">
        <v>7</v>
      </c>
      <c r="AD114" s="3" t="s">
        <v>33</v>
      </c>
    </row>
    <row r="115" spans="2:30">
      <c r="B115" s="45" t="s">
        <v>75</v>
      </c>
      <c r="C115" s="45" t="s">
        <v>76</v>
      </c>
      <c r="D115" s="45" t="s">
        <v>77</v>
      </c>
      <c r="E115" s="45" t="s">
        <v>78</v>
      </c>
      <c r="F115" s="45" t="s">
        <v>32</v>
      </c>
      <c r="J115" s="45" t="s">
        <v>32</v>
      </c>
      <c r="K115" s="3"/>
      <c r="L115" s="3"/>
      <c r="T115" s="3">
        <f>($F$38)*($F$39)*($C$24/2)</f>
        <v>36.879468750000001</v>
      </c>
      <c r="U115" s="3">
        <f t="shared" ref="U115:U124" si="25">$C$46*T115</f>
        <v>1239.1501500000002</v>
      </c>
      <c r="V115" s="3">
        <f t="shared" si="23"/>
        <v>1674.3887960145789</v>
      </c>
      <c r="W115" s="3">
        <f t="shared" si="21"/>
        <v>10.276578461786634</v>
      </c>
      <c r="X115" s="3">
        <v>250</v>
      </c>
      <c r="AB115" s="3">
        <f>28.056</f>
        <v>28.056000000000001</v>
      </c>
      <c r="AC115" s="3">
        <v>7.5</v>
      </c>
      <c r="AD115" s="3" t="s">
        <v>33</v>
      </c>
    </row>
    <row r="116" spans="2:30">
      <c r="B116" s="3">
        <f>($F$38)*($F$39)*($C$9/2)</f>
        <v>0</v>
      </c>
      <c r="C116" s="3">
        <f>$C$46*B116</f>
        <v>0</v>
      </c>
      <c r="D116" s="3">
        <f>C116+($C$50*$C$52)</f>
        <v>435.23864601457871</v>
      </c>
      <c r="E116" s="3">
        <f t="shared" ref="E116:E141" si="26">(D116)/($C$48+((($F$40)*($C$52))*$F$11)-(($C$49+$C$50)*$F$11^2))</f>
        <v>2.6712816676848168</v>
      </c>
      <c r="F116" s="3">
        <f>($F$11*E116)*($F$11*E116*$C$52)/2</f>
        <v>404.44585287543447</v>
      </c>
      <c r="J116" s="3">
        <v>0</v>
      </c>
      <c r="K116" s="3"/>
      <c r="L116" s="3" t="s">
        <v>33</v>
      </c>
      <c r="T116" s="3">
        <f>($F$38)*($F$39)*($C$25/2)</f>
        <v>39.338099999999997</v>
      </c>
      <c r="U116" s="3">
        <f t="shared" si="25"/>
        <v>1321.76016</v>
      </c>
      <c r="V116" s="3">
        <f t="shared" si="23"/>
        <v>1756.9988060145788</v>
      </c>
      <c r="W116" s="3">
        <f t="shared" si="21"/>
        <v>10.783598248060088</v>
      </c>
      <c r="X116" s="3">
        <v>250</v>
      </c>
      <c r="AB116" s="3">
        <f>31.922</f>
        <v>31.922000000000001</v>
      </c>
      <c r="AC116" s="3">
        <v>8</v>
      </c>
      <c r="AD116" s="3" t="s">
        <v>33</v>
      </c>
    </row>
    <row r="117" spans="2:30">
      <c r="B117" s="3">
        <f>($F$38)*($F$39)*($C$10/2)</f>
        <v>2.4586312499999998</v>
      </c>
      <c r="C117" s="3">
        <f t="shared" ref="C117:C129" si="27">$C$46*B117</f>
        <v>82.610010000000003</v>
      </c>
      <c r="D117" s="3">
        <f t="shared" ref="D117:D141" si="28">C117+($C$50*$C$52)</f>
        <v>517.84865601457875</v>
      </c>
      <c r="E117" s="3">
        <f t="shared" si="26"/>
        <v>3.1783014539582712</v>
      </c>
      <c r="F117" s="3">
        <f t="shared" ref="F117:F141" si="29">($F$11*E117)*($F$11*E117*$C$52)/2</f>
        <v>572.54706447050512</v>
      </c>
      <c r="J117" s="3">
        <f>0.125</f>
        <v>0.125</v>
      </c>
      <c r="K117" s="3"/>
      <c r="L117" s="3" t="s">
        <v>33</v>
      </c>
      <c r="T117" s="3">
        <f>($F$38)*($F$39)*($C$26/2)</f>
        <v>41.796731249999993</v>
      </c>
      <c r="U117" s="3">
        <f t="shared" si="25"/>
        <v>1404.3701699999999</v>
      </c>
      <c r="V117" s="3">
        <f t="shared" si="23"/>
        <v>1839.6088160145787</v>
      </c>
      <c r="W117" s="3">
        <f t="shared" si="21"/>
        <v>11.290618034333541</v>
      </c>
      <c r="X117" s="3">
        <v>250</v>
      </c>
      <c r="AB117" s="3">
        <f>36.037</f>
        <v>36.036999999999999</v>
      </c>
      <c r="AC117" s="3">
        <v>8.5</v>
      </c>
      <c r="AD117" s="3" t="s">
        <v>33</v>
      </c>
    </row>
    <row r="118" spans="2:30">
      <c r="B118" s="3">
        <f>($F$38)*($F$39)*($C$11/2)</f>
        <v>4.9172624999999996</v>
      </c>
      <c r="C118" s="3">
        <f t="shared" si="27"/>
        <v>165.22002000000001</v>
      </c>
      <c r="D118" s="3">
        <f t="shared" si="28"/>
        <v>600.45866601457874</v>
      </c>
      <c r="E118" s="3">
        <f t="shared" si="26"/>
        <v>3.6853212402317257</v>
      </c>
      <c r="F118" s="3">
        <f t="shared" si="29"/>
        <v>769.78903314274032</v>
      </c>
      <c r="J118" s="3">
        <f>0.499</f>
        <v>0.499</v>
      </c>
      <c r="K118" s="3"/>
      <c r="L118" s="3" t="s">
        <v>33</v>
      </c>
      <c r="T118" s="3">
        <f>($F$38)*($F$39)*($C$27/2)</f>
        <v>44.255362499999997</v>
      </c>
      <c r="U118" s="3">
        <f t="shared" si="25"/>
        <v>1486.98018</v>
      </c>
      <c r="V118" s="3">
        <f t="shared" si="23"/>
        <v>1922.2188260145788</v>
      </c>
      <c r="W118" s="3">
        <f t="shared" si="21"/>
        <v>11.797637820606997</v>
      </c>
      <c r="X118" s="3">
        <v>250</v>
      </c>
      <c r="AB118" s="3">
        <f>40.401</f>
        <v>40.401000000000003</v>
      </c>
      <c r="AC118" s="3">
        <v>9</v>
      </c>
      <c r="AD118" s="3" t="s">
        <v>33</v>
      </c>
    </row>
    <row r="119" spans="2:30">
      <c r="B119" s="3">
        <f>($F$38)*($F$39)*($C$12/2)</f>
        <v>7.3758937499999995</v>
      </c>
      <c r="C119" s="3">
        <f t="shared" si="27"/>
        <v>247.83002999999999</v>
      </c>
      <c r="D119" s="3">
        <f t="shared" si="28"/>
        <v>683.06867601457873</v>
      </c>
      <c r="E119" s="3">
        <f t="shared" si="26"/>
        <v>4.1923410265051801</v>
      </c>
      <c r="F119" s="3">
        <f t="shared" si="29"/>
        <v>996.17175889214002</v>
      </c>
      <c r="J119" s="3">
        <f>1.122</f>
        <v>1.1220000000000001</v>
      </c>
      <c r="K119" s="3"/>
      <c r="L119" s="3" t="s">
        <v>33</v>
      </c>
      <c r="T119" s="3">
        <f>($F$38)*($F$39)*($C$28/2)</f>
        <v>46.71399375</v>
      </c>
      <c r="U119" s="3">
        <f t="shared" si="25"/>
        <v>1569.5901900000001</v>
      </c>
      <c r="V119" s="3">
        <f t="shared" si="23"/>
        <v>2004.8288360145789</v>
      </c>
      <c r="W119" s="3">
        <f t="shared" si="21"/>
        <v>12.304657606880452</v>
      </c>
      <c r="X119" s="3">
        <v>250</v>
      </c>
      <c r="AB119" s="3">
        <f>45.015</f>
        <v>45.015000000000001</v>
      </c>
      <c r="AC119" s="3">
        <v>9.5</v>
      </c>
      <c r="AD119" s="3" t="s">
        <v>33</v>
      </c>
    </row>
    <row r="120" spans="2:30">
      <c r="B120" s="3">
        <f>($F$38)*($F$39)*($C$13/2)</f>
        <v>9.8345249999999993</v>
      </c>
      <c r="C120" s="3">
        <f t="shared" si="27"/>
        <v>330.44004000000001</v>
      </c>
      <c r="D120" s="3">
        <f t="shared" si="28"/>
        <v>765.67868601457872</v>
      </c>
      <c r="E120" s="3">
        <f t="shared" si="26"/>
        <v>4.6993608127786342</v>
      </c>
      <c r="F120" s="3">
        <f t="shared" si="29"/>
        <v>1251.695241718704</v>
      </c>
      <c r="J120" s="3">
        <f>1.995</f>
        <v>1.9950000000000001</v>
      </c>
      <c r="K120" s="3"/>
      <c r="L120" s="3" t="s">
        <v>33</v>
      </c>
      <c r="T120" s="3">
        <f>($F$38)*($F$39)*($C$29/2)</f>
        <v>49.172624999999996</v>
      </c>
      <c r="U120" s="3">
        <f t="shared" si="25"/>
        <v>1652.2002</v>
      </c>
      <c r="V120" s="3">
        <f t="shared" si="23"/>
        <v>2087.4388460145788</v>
      </c>
      <c r="W120" s="3">
        <f t="shared" si="21"/>
        <v>12.811677393153905</v>
      </c>
      <c r="X120" s="3">
        <v>250</v>
      </c>
      <c r="AB120" s="3">
        <f>49.878</f>
        <v>49.878</v>
      </c>
      <c r="AC120" s="3">
        <v>10</v>
      </c>
      <c r="AD120" s="3" t="s">
        <v>33</v>
      </c>
    </row>
    <row r="121" spans="2:30">
      <c r="B121" s="3">
        <f>($F$38)*($F$39)*($C$14/2)</f>
        <v>12.293156249999999</v>
      </c>
      <c r="C121" s="3">
        <f t="shared" si="27"/>
        <v>413.05005</v>
      </c>
      <c r="D121" s="3">
        <f t="shared" si="28"/>
        <v>848.2886960145787</v>
      </c>
      <c r="E121" s="3">
        <f t="shared" si="26"/>
        <v>5.2063805990520891</v>
      </c>
      <c r="F121" s="3">
        <f t="shared" si="29"/>
        <v>1536.3594816224329</v>
      </c>
      <c r="J121" s="3">
        <f>3.117</f>
        <v>3.117</v>
      </c>
      <c r="K121" s="3"/>
      <c r="L121" s="3" t="s">
        <v>33</v>
      </c>
      <c r="T121" s="3">
        <f>($F$38)*($F$39)*($C$30/2)</f>
        <v>51.631256249999993</v>
      </c>
      <c r="U121" s="3">
        <f t="shared" si="25"/>
        <v>1734.8102099999999</v>
      </c>
      <c r="V121" s="3">
        <f t="shared" si="23"/>
        <v>2170.0488560145786</v>
      </c>
      <c r="W121" s="3">
        <f t="shared" si="21"/>
        <v>13.318697179427359</v>
      </c>
      <c r="X121" s="3">
        <v>250</v>
      </c>
      <c r="AB121" s="3">
        <f>54.99</f>
        <v>54.99</v>
      </c>
      <c r="AC121" s="3">
        <v>10.5</v>
      </c>
      <c r="AD121" s="3" t="s">
        <v>33</v>
      </c>
    </row>
    <row r="122" spans="2:30">
      <c r="B122" s="3">
        <f>($F$38)*($F$39)*($C$15/2)</f>
        <v>14.751787499999999</v>
      </c>
      <c r="C122" s="3">
        <f t="shared" si="27"/>
        <v>495.66005999999999</v>
      </c>
      <c r="D122" s="3">
        <f t="shared" si="28"/>
        <v>930.89870601457869</v>
      </c>
      <c r="E122" s="3">
        <f t="shared" si="26"/>
        <v>5.7134003853255431</v>
      </c>
      <c r="F122" s="3">
        <f t="shared" si="29"/>
        <v>1850.1644786033262</v>
      </c>
      <c r="J122" s="3">
        <f>4.489</f>
        <v>4.4889999999999999</v>
      </c>
      <c r="K122" s="3"/>
      <c r="L122" s="3" t="s">
        <v>33</v>
      </c>
      <c r="T122" s="3">
        <f>($F$38)*($F$39)*($C$31/2)</f>
        <v>54.089887499999996</v>
      </c>
      <c r="U122" s="3">
        <f t="shared" si="25"/>
        <v>1817.42022</v>
      </c>
      <c r="V122" s="3">
        <f t="shared" si="23"/>
        <v>2252.6588660145785</v>
      </c>
      <c r="W122" s="3">
        <f t="shared" si="21"/>
        <v>13.825716965700812</v>
      </c>
      <c r="X122" s="3">
        <v>250</v>
      </c>
      <c r="AB122" s="3">
        <f>60.352</f>
        <v>60.351999999999997</v>
      </c>
      <c r="AC122" s="3">
        <v>11</v>
      </c>
      <c r="AD122" s="3" t="s">
        <v>33</v>
      </c>
    </row>
    <row r="123" spans="2:30">
      <c r="B123" s="3">
        <f>($F$38)*($F$39)*($C$16/2)</f>
        <v>17.210418749999999</v>
      </c>
      <c r="C123" s="3">
        <f t="shared" si="27"/>
        <v>578.27007000000003</v>
      </c>
      <c r="D123" s="3">
        <f t="shared" si="28"/>
        <v>1013.5087160145788</v>
      </c>
      <c r="E123" s="3">
        <f t="shared" si="26"/>
        <v>6.220420171598998</v>
      </c>
      <c r="F123" s="3">
        <f t="shared" si="29"/>
        <v>2193.1102326613845</v>
      </c>
      <c r="J123" s="3">
        <f>6.11</f>
        <v>6.11</v>
      </c>
      <c r="K123" s="3"/>
      <c r="L123" s="3" t="s">
        <v>33</v>
      </c>
      <c r="T123" s="3">
        <f>($F$38)*($F$39)*($C$32/2)</f>
        <v>56.548518749999999</v>
      </c>
      <c r="U123" s="3">
        <f t="shared" si="25"/>
        <v>1900.0302300000001</v>
      </c>
      <c r="V123" s="3">
        <f t="shared" si="23"/>
        <v>2335.2688760145788</v>
      </c>
      <c r="W123" s="3">
        <f t="shared" si="21"/>
        <v>14.332736751974268</v>
      </c>
      <c r="X123" s="3">
        <v>250</v>
      </c>
      <c r="AB123" s="3">
        <f>65.963</f>
        <v>65.962999999999994</v>
      </c>
      <c r="AC123" s="3">
        <v>11.5</v>
      </c>
      <c r="AD123" s="3" t="s">
        <v>33</v>
      </c>
    </row>
    <row r="124" spans="2:30">
      <c r="B124" s="3">
        <f>($F$38)*($F$39)*($C$17/2)</f>
        <v>19.669049999999999</v>
      </c>
      <c r="C124" s="3">
        <f t="shared" si="27"/>
        <v>660.88008000000002</v>
      </c>
      <c r="D124" s="3">
        <f t="shared" si="28"/>
        <v>1096.1187260145787</v>
      </c>
      <c r="E124" s="3">
        <f t="shared" si="26"/>
        <v>6.727439957872452</v>
      </c>
      <c r="F124" s="3">
        <f t="shared" si="29"/>
        <v>2565.1967437966059</v>
      </c>
      <c r="J124" s="3">
        <f>7.98</f>
        <v>7.98</v>
      </c>
      <c r="K124" s="3"/>
      <c r="L124" s="3" t="s">
        <v>33</v>
      </c>
      <c r="T124" s="3">
        <f>($F$38)*($F$39)*($C$33/2)</f>
        <v>59.007149999999996</v>
      </c>
      <c r="U124" s="3">
        <f t="shared" si="25"/>
        <v>1982.6402399999999</v>
      </c>
      <c r="V124" s="3">
        <f t="shared" si="23"/>
        <v>2417.8788860145787</v>
      </c>
      <c r="W124" s="3">
        <f t="shared" si="21"/>
        <v>14.839756538247723</v>
      </c>
      <c r="X124" s="3">
        <v>250</v>
      </c>
      <c r="AB124" s="3">
        <f>71.824</f>
        <v>71.823999999999998</v>
      </c>
      <c r="AC124" s="3">
        <v>12</v>
      </c>
      <c r="AD124" s="3" t="s">
        <v>33</v>
      </c>
    </row>
    <row r="125" spans="2:30">
      <c r="B125" s="3">
        <f>($F$38)*($F$39)*($C$18/2)</f>
        <v>22.127681249999998</v>
      </c>
      <c r="C125" s="3">
        <f t="shared" si="27"/>
        <v>743.49009000000001</v>
      </c>
      <c r="D125" s="3">
        <f t="shared" si="28"/>
        <v>1178.7287360145788</v>
      </c>
      <c r="E125" s="3">
        <f t="shared" si="26"/>
        <v>7.2344597441459069</v>
      </c>
      <c r="F125" s="3">
        <f t="shared" si="29"/>
        <v>2966.424012008993</v>
      </c>
      <c r="J125" s="3">
        <f>10.1</f>
        <v>10.1</v>
      </c>
      <c r="K125" s="3"/>
      <c r="L125" s="3" t="s">
        <v>33</v>
      </c>
      <c r="T125" s="3"/>
      <c r="U125" s="3"/>
      <c r="V125" s="3"/>
      <c r="W125" s="3"/>
      <c r="X125" s="3"/>
      <c r="AB125" s="29"/>
      <c r="AC125" s="4"/>
      <c r="AD125" s="30"/>
    </row>
    <row r="126" spans="2:30">
      <c r="B126" s="3">
        <f>($F$38)*($F$39)*($C$19/2)</f>
        <v>24.586312499999998</v>
      </c>
      <c r="C126" s="3">
        <f t="shared" si="27"/>
        <v>826.1001</v>
      </c>
      <c r="D126" s="3">
        <f t="shared" si="28"/>
        <v>1261.3387460145786</v>
      </c>
      <c r="E126" s="3">
        <f t="shared" si="26"/>
        <v>7.74147953041936</v>
      </c>
      <c r="F126" s="3">
        <f t="shared" si="29"/>
        <v>3396.7920372985441</v>
      </c>
      <c r="J126" s="3">
        <f>12.469</f>
        <v>12.468999999999999</v>
      </c>
      <c r="K126" s="3"/>
      <c r="L126" s="3" t="s">
        <v>33</v>
      </c>
      <c r="T126" s="29"/>
      <c r="U126" s="4"/>
      <c r="V126" s="4"/>
      <c r="W126" s="4"/>
      <c r="X126" s="30"/>
      <c r="AB126" s="29"/>
      <c r="AC126" s="4"/>
      <c r="AD126" s="30"/>
    </row>
    <row r="127" spans="2:30">
      <c r="B127" s="3">
        <f>($F$38)*($F$39)*($C$20/2)</f>
        <v>27.044943749999998</v>
      </c>
      <c r="C127" s="3">
        <f t="shared" si="27"/>
        <v>908.71010999999999</v>
      </c>
      <c r="D127" s="3">
        <f t="shared" si="28"/>
        <v>1343.9487560145787</v>
      </c>
      <c r="E127" s="3">
        <f t="shared" si="26"/>
        <v>8.2484993166928149</v>
      </c>
      <c r="F127" s="3">
        <f t="shared" si="29"/>
        <v>3856.30081966526</v>
      </c>
      <c r="J127" s="3">
        <f>15.088</f>
        <v>15.087999999999999</v>
      </c>
      <c r="K127" s="3">
        <v>5.5</v>
      </c>
      <c r="L127" s="3" t="s">
        <v>33</v>
      </c>
      <c r="T127" s="29" t="s">
        <v>122</v>
      </c>
      <c r="U127" s="4"/>
      <c r="V127" s="4"/>
      <c r="W127" s="4"/>
      <c r="X127" s="30"/>
      <c r="AB127" s="29" t="s">
        <v>123</v>
      </c>
      <c r="AC127" s="4"/>
      <c r="AD127" s="30"/>
    </row>
    <row r="128" spans="2:30">
      <c r="B128" s="3">
        <f>($F$38)*($F$39)*($C$21/2)</f>
        <v>29.503574999999998</v>
      </c>
      <c r="C128" s="3">
        <f t="shared" si="27"/>
        <v>991.32011999999997</v>
      </c>
      <c r="D128" s="3">
        <f t="shared" si="28"/>
        <v>1426.5587660145786</v>
      </c>
      <c r="E128" s="3">
        <f t="shared" si="26"/>
        <v>8.7555191029662698</v>
      </c>
      <c r="F128" s="3">
        <f t="shared" si="29"/>
        <v>4344.9503591091407</v>
      </c>
      <c r="J128" s="3">
        <f>17.956</f>
        <v>17.956</v>
      </c>
      <c r="K128" s="3"/>
      <c r="L128" s="3" t="s">
        <v>33</v>
      </c>
      <c r="T128" s="45" t="s">
        <v>75</v>
      </c>
      <c r="U128" s="45" t="s">
        <v>76</v>
      </c>
      <c r="V128" s="45" t="s">
        <v>77</v>
      </c>
      <c r="W128" s="45" t="s">
        <v>78</v>
      </c>
      <c r="X128" s="45" t="s">
        <v>32</v>
      </c>
      <c r="AB128" s="45" t="s">
        <v>32</v>
      </c>
      <c r="AC128" s="3"/>
      <c r="AD128" s="3"/>
    </row>
    <row r="129" spans="2:30">
      <c r="B129" s="3">
        <f>($F$38)*($F$39)*($C$22/2)</f>
        <v>31.962206249999998</v>
      </c>
      <c r="C129" s="3">
        <f t="shared" si="27"/>
        <v>1073.93013</v>
      </c>
      <c r="D129" s="3">
        <f t="shared" si="28"/>
        <v>1509.1687760145787</v>
      </c>
      <c r="E129" s="3">
        <f t="shared" si="26"/>
        <v>9.2625388892397247</v>
      </c>
      <c r="F129" s="3">
        <f t="shared" si="29"/>
        <v>4862.7406556301858</v>
      </c>
      <c r="J129" s="3">
        <f>21.073</f>
        <v>21.073</v>
      </c>
      <c r="K129" s="3"/>
      <c r="L129" s="3" t="s">
        <v>33</v>
      </c>
      <c r="T129" s="3">
        <f>($F$38)*($F$39)*($C$9/2)</f>
        <v>0</v>
      </c>
      <c r="U129" s="3">
        <f>$C$46*T129</f>
        <v>0</v>
      </c>
      <c r="V129" s="3">
        <f>U129+($C$50*$C$52)</f>
        <v>435.23864601457871</v>
      </c>
      <c r="W129" s="3">
        <f t="shared" ref="W129:W153" si="30">(V129)/($C$48+((($F$40)*($C$52))*$F$12)-(($C$49+$C$50)*$F$12^2))</f>
        <v>1.7666389193884513</v>
      </c>
      <c r="X129" s="3">
        <f>($F$12*W129)*($F$12*W129*$C$52)/2</f>
        <v>99.503677881592608</v>
      </c>
      <c r="AB129" s="3">
        <v>0</v>
      </c>
      <c r="AC129" s="3">
        <v>0</v>
      </c>
      <c r="AD129" s="3" t="s">
        <v>33</v>
      </c>
    </row>
    <row r="130" spans="2:30">
      <c r="B130" s="3">
        <f>($F$38)*($F$39)*($C$23/2)</f>
        <v>34.420837499999998</v>
      </c>
      <c r="C130" s="3">
        <f>$C$46*B130</f>
        <v>1156.5401400000001</v>
      </c>
      <c r="D130" s="3">
        <f t="shared" si="28"/>
        <v>1591.7787860145788</v>
      </c>
      <c r="E130" s="3">
        <f t="shared" si="26"/>
        <v>9.7695586755131796</v>
      </c>
      <c r="F130" s="3">
        <f t="shared" si="29"/>
        <v>5409.6717092283961</v>
      </c>
      <c r="J130" s="3">
        <f>24.44</f>
        <v>24.44</v>
      </c>
      <c r="K130" s="3"/>
      <c r="L130" s="3" t="s">
        <v>33</v>
      </c>
      <c r="T130" s="3">
        <f>($F$38)*($F$39)*($C$10/2)</f>
        <v>2.4586312499999998</v>
      </c>
      <c r="U130" s="3">
        <f t="shared" ref="U130:U142" si="31">$C$46*T130</f>
        <v>82.610010000000003</v>
      </c>
      <c r="V130" s="3">
        <f t="shared" ref="V130:V153" si="32">U130+($C$50*$C$52)</f>
        <v>517.84865601457875</v>
      </c>
      <c r="W130" s="3">
        <f t="shared" si="30"/>
        <v>2.1019539474390183</v>
      </c>
      <c r="X130" s="3">
        <f t="shared" ref="X130:X132" si="33">($F$12*W130)*($F$12*W130*$C$52)/2</f>
        <v>140.86073146773242</v>
      </c>
      <c r="AB130" s="3">
        <f>3.765</f>
        <v>3.7650000000000001</v>
      </c>
      <c r="AC130" s="3">
        <v>0.5</v>
      </c>
      <c r="AD130" s="3" t="s">
        <v>33</v>
      </c>
    </row>
    <row r="131" spans="2:30">
      <c r="B131" s="3">
        <f>($F$38)*($F$39)*($C$24/2)</f>
        <v>36.879468750000001</v>
      </c>
      <c r="C131" s="3">
        <f t="shared" ref="C131:C140" si="34">$C$46*B131</f>
        <v>1239.1501500000002</v>
      </c>
      <c r="D131" s="3">
        <f t="shared" si="28"/>
        <v>1674.3887960145789</v>
      </c>
      <c r="E131" s="3">
        <f t="shared" si="26"/>
        <v>10.276578461786634</v>
      </c>
      <c r="F131" s="3">
        <f t="shared" si="29"/>
        <v>5985.74351990377</v>
      </c>
      <c r="J131" s="3">
        <f>28.056</f>
        <v>28.056000000000001</v>
      </c>
      <c r="K131" s="3"/>
      <c r="L131" s="3" t="s">
        <v>33</v>
      </c>
      <c r="T131" s="3">
        <f>($F$38)*($F$39)*($C$11/2)</f>
        <v>4.9172624999999996</v>
      </c>
      <c r="U131" s="3">
        <f t="shared" si="31"/>
        <v>165.22002000000001</v>
      </c>
      <c r="V131" s="3">
        <f t="shared" si="32"/>
        <v>600.45866601457874</v>
      </c>
      <c r="W131" s="3">
        <f t="shared" si="30"/>
        <v>2.4372689754895851</v>
      </c>
      <c r="X131" s="3">
        <f t="shared" si="33"/>
        <v>189.38713166681669</v>
      </c>
      <c r="AB131" s="3">
        <f>15.058</f>
        <v>15.058</v>
      </c>
      <c r="AC131" s="3">
        <v>1</v>
      </c>
      <c r="AD131" s="3" t="s">
        <v>33</v>
      </c>
    </row>
    <row r="132" spans="2:30">
      <c r="B132" s="3">
        <f>($F$38)*($F$39)*($C$25/2)</f>
        <v>39.338099999999997</v>
      </c>
      <c r="C132" s="3">
        <f t="shared" si="34"/>
        <v>1321.76016</v>
      </c>
      <c r="D132" s="3">
        <f t="shared" si="28"/>
        <v>1756.9988060145788</v>
      </c>
      <c r="E132" s="3">
        <f t="shared" si="26"/>
        <v>10.783598248060088</v>
      </c>
      <c r="F132" s="3">
        <f t="shared" si="29"/>
        <v>6590.9560876563064</v>
      </c>
      <c r="J132" s="3">
        <f>31.922</f>
        <v>31.922000000000001</v>
      </c>
      <c r="K132" s="3"/>
      <c r="L132" s="3" t="s">
        <v>33</v>
      </c>
      <c r="T132" s="3">
        <f>($F$38)*($F$39)*($C$12/2)</f>
        <v>7.3758937499999995</v>
      </c>
      <c r="U132" s="3">
        <f t="shared" si="31"/>
        <v>247.83002999999999</v>
      </c>
      <c r="V132" s="3">
        <f t="shared" si="32"/>
        <v>683.06867601457873</v>
      </c>
      <c r="W132" s="3">
        <f t="shared" si="30"/>
        <v>2.7725840035401519</v>
      </c>
      <c r="X132" s="3">
        <f t="shared" si="33"/>
        <v>245.08287847884532</v>
      </c>
      <c r="AB132" s="3">
        <f>33.881</f>
        <v>33.881</v>
      </c>
      <c r="AC132" s="3">
        <v>1.5</v>
      </c>
      <c r="AD132" s="3" t="s">
        <v>33</v>
      </c>
    </row>
    <row r="133" spans="2:30">
      <c r="B133" s="3">
        <f>($F$38)*($F$39)*($C$26/2)</f>
        <v>41.796731249999993</v>
      </c>
      <c r="C133" s="3">
        <f t="shared" si="34"/>
        <v>1404.3701699999999</v>
      </c>
      <c r="D133" s="3">
        <f t="shared" si="28"/>
        <v>1839.6088160145787</v>
      </c>
      <c r="E133" s="3">
        <f t="shared" si="26"/>
        <v>11.290618034333541</v>
      </c>
      <c r="F133" s="3">
        <f t="shared" si="29"/>
        <v>7225.3094124860072</v>
      </c>
      <c r="J133" s="3">
        <f>36.037</f>
        <v>36.036999999999999</v>
      </c>
      <c r="K133" s="3"/>
      <c r="L133" s="3" t="s">
        <v>33</v>
      </c>
      <c r="T133" s="3">
        <f>($F$38)*($F$39)*($C$13/2)</f>
        <v>9.8345249999999993</v>
      </c>
      <c r="U133" s="3">
        <f t="shared" si="31"/>
        <v>330.44004000000001</v>
      </c>
      <c r="V133" s="3">
        <f t="shared" si="32"/>
        <v>765.67868601457872</v>
      </c>
      <c r="W133" s="3">
        <f t="shared" si="30"/>
        <v>3.1078990315907182</v>
      </c>
      <c r="X133" s="3">
        <v>250</v>
      </c>
      <c r="AB133" s="3">
        <f>60.233</f>
        <v>60.232999999999997</v>
      </c>
      <c r="AC133" s="3">
        <v>2</v>
      </c>
      <c r="AD133" s="3" t="s">
        <v>33</v>
      </c>
    </row>
    <row r="134" spans="2:30">
      <c r="B134" s="3">
        <f>($F$38)*($F$39)*($C$27/2)</f>
        <v>44.255362499999997</v>
      </c>
      <c r="C134" s="3">
        <f t="shared" si="34"/>
        <v>1486.98018</v>
      </c>
      <c r="D134" s="3">
        <f t="shared" si="28"/>
        <v>1922.2188260145788</v>
      </c>
      <c r="E134" s="3">
        <f t="shared" si="26"/>
        <v>11.797637820606997</v>
      </c>
      <c r="F134" s="3">
        <f t="shared" si="29"/>
        <v>7888.8034943928797</v>
      </c>
      <c r="J134" s="3">
        <f>40.401</f>
        <v>40.401000000000003</v>
      </c>
      <c r="K134" s="3"/>
      <c r="L134" s="3" t="s">
        <v>33</v>
      </c>
      <c r="T134" s="3">
        <f>($F$38)*($F$39)*($C$14/2)</f>
        <v>12.293156249999999</v>
      </c>
      <c r="U134" s="3">
        <f t="shared" si="31"/>
        <v>413.05005</v>
      </c>
      <c r="V134" s="3">
        <f t="shared" si="32"/>
        <v>848.2886960145787</v>
      </c>
      <c r="W134" s="3">
        <f t="shared" si="30"/>
        <v>3.443214059641285</v>
      </c>
      <c r="X134" s="3">
        <v>250</v>
      </c>
      <c r="AB134" s="3">
        <f>94.113</f>
        <v>94.113</v>
      </c>
      <c r="AC134" s="3">
        <v>2.5</v>
      </c>
      <c r="AD134" s="3" t="s">
        <v>33</v>
      </c>
    </row>
    <row r="135" spans="2:30">
      <c r="B135" s="3">
        <f>($F$38)*($F$39)*($C$28/2)</f>
        <v>46.71399375</v>
      </c>
      <c r="C135" s="3">
        <f t="shared" si="34"/>
        <v>1569.5901900000001</v>
      </c>
      <c r="D135" s="3">
        <f t="shared" si="28"/>
        <v>2004.8288360145789</v>
      </c>
      <c r="E135" s="3">
        <f t="shared" si="26"/>
        <v>12.304657606880452</v>
      </c>
      <c r="F135" s="3">
        <f t="shared" si="29"/>
        <v>8581.438333376911</v>
      </c>
      <c r="J135" s="3">
        <f>45.015</f>
        <v>45.015000000000001</v>
      </c>
      <c r="K135" s="3"/>
      <c r="L135" s="3" t="s">
        <v>33</v>
      </c>
      <c r="T135" s="3">
        <f>($F$38)*($F$39)*($C$15/2)</f>
        <v>14.751787499999999</v>
      </c>
      <c r="U135" s="3">
        <f t="shared" si="31"/>
        <v>495.66005999999999</v>
      </c>
      <c r="V135" s="3">
        <f t="shared" si="32"/>
        <v>930.89870601457869</v>
      </c>
      <c r="W135" s="3">
        <f t="shared" si="30"/>
        <v>3.7785290876918518</v>
      </c>
      <c r="X135" s="3">
        <v>250</v>
      </c>
      <c r="AB135" s="3">
        <f>135.523</f>
        <v>135.523</v>
      </c>
      <c r="AC135" s="3">
        <v>3</v>
      </c>
      <c r="AD135" s="3" t="s">
        <v>33</v>
      </c>
    </row>
    <row r="136" spans="2:30">
      <c r="B136" s="3">
        <f>($F$38)*($F$39)*($C$29/2)</f>
        <v>49.172624999999996</v>
      </c>
      <c r="C136" s="3">
        <f t="shared" si="34"/>
        <v>1652.2002</v>
      </c>
      <c r="D136" s="3">
        <f t="shared" si="28"/>
        <v>2087.4388460145788</v>
      </c>
      <c r="E136" s="3">
        <f t="shared" si="26"/>
        <v>12.811677393153905</v>
      </c>
      <c r="F136" s="3">
        <f t="shared" si="29"/>
        <v>9303.2139294381068</v>
      </c>
      <c r="J136" s="3">
        <f>49.878</f>
        <v>49.878</v>
      </c>
      <c r="K136" s="3"/>
      <c r="L136" s="3" t="s">
        <v>33</v>
      </c>
      <c r="T136" s="3">
        <f>($F$38)*($F$39)*($C$16/2)</f>
        <v>17.210418749999999</v>
      </c>
      <c r="U136" s="3">
        <f t="shared" si="31"/>
        <v>578.27007000000003</v>
      </c>
      <c r="V136" s="3">
        <f t="shared" si="32"/>
        <v>1013.5087160145788</v>
      </c>
      <c r="W136" s="3">
        <f t="shared" si="30"/>
        <v>4.1138441157424186</v>
      </c>
      <c r="X136" s="3">
        <v>250</v>
      </c>
      <c r="AB136" s="3">
        <f>184.462</f>
        <v>184.46199999999999</v>
      </c>
      <c r="AC136" s="3">
        <v>3.5</v>
      </c>
      <c r="AD136" s="3" t="s">
        <v>33</v>
      </c>
    </row>
    <row r="137" spans="2:30">
      <c r="B137" s="3">
        <f>($F$38)*($F$39)*($C$30/2)</f>
        <v>51.631256249999993</v>
      </c>
      <c r="C137" s="3">
        <f t="shared" si="34"/>
        <v>1734.8102099999999</v>
      </c>
      <c r="D137" s="3">
        <f t="shared" si="28"/>
        <v>2170.0488560145786</v>
      </c>
      <c r="E137" s="3">
        <f t="shared" si="26"/>
        <v>13.318697179427359</v>
      </c>
      <c r="F137" s="3">
        <f t="shared" si="29"/>
        <v>10054.130282576465</v>
      </c>
      <c r="J137" s="3">
        <f>54.99</f>
        <v>54.99</v>
      </c>
      <c r="K137" s="3"/>
      <c r="L137" s="3" t="s">
        <v>33</v>
      </c>
      <c r="T137" s="3">
        <f>($F$38)*($F$39)*($C$17/2)</f>
        <v>19.669049999999999</v>
      </c>
      <c r="U137" s="3">
        <f t="shared" si="31"/>
        <v>660.88008000000002</v>
      </c>
      <c r="V137" s="3">
        <f t="shared" si="32"/>
        <v>1096.1187260145787</v>
      </c>
      <c r="W137" s="3">
        <f t="shared" si="30"/>
        <v>4.4491591437929854</v>
      </c>
      <c r="X137" s="3">
        <v>250</v>
      </c>
      <c r="AB137" s="3">
        <f>240.93</f>
        <v>240.93</v>
      </c>
      <c r="AC137" s="3">
        <v>4</v>
      </c>
      <c r="AD137" s="3" t="s">
        <v>33</v>
      </c>
    </row>
    <row r="138" spans="2:30">
      <c r="B138" s="3">
        <f>($F$38)*($F$39)*($C$31/2)</f>
        <v>54.089887499999996</v>
      </c>
      <c r="C138" s="3">
        <f t="shared" si="34"/>
        <v>1817.42022</v>
      </c>
      <c r="D138" s="3">
        <f t="shared" si="28"/>
        <v>2252.6588660145785</v>
      </c>
      <c r="E138" s="3">
        <f t="shared" si="26"/>
        <v>13.825716965700812</v>
      </c>
      <c r="F138" s="3">
        <f t="shared" si="29"/>
        <v>10834.187392791988</v>
      </c>
      <c r="J138" s="3">
        <f>60.352</f>
        <v>60.351999999999997</v>
      </c>
      <c r="K138" s="3"/>
      <c r="L138" s="3" t="s">
        <v>33</v>
      </c>
      <c r="T138" s="3">
        <f>($F$38)*($F$39)*($C$18/2)</f>
        <v>22.127681249999998</v>
      </c>
      <c r="U138" s="3">
        <f t="shared" si="31"/>
        <v>743.49009000000001</v>
      </c>
      <c r="V138" s="3">
        <f t="shared" si="32"/>
        <v>1178.7287360145788</v>
      </c>
      <c r="W138" s="3">
        <f t="shared" si="30"/>
        <v>4.7844741718435522</v>
      </c>
      <c r="X138" s="3">
        <v>250</v>
      </c>
      <c r="AB138" s="3">
        <f>304.927</f>
        <v>304.92700000000002</v>
      </c>
      <c r="AC138" s="3">
        <v>4.5</v>
      </c>
      <c r="AD138" s="3" t="s">
        <v>33</v>
      </c>
    </row>
    <row r="139" spans="2:30">
      <c r="B139" s="3">
        <f>($F$38)*($F$39)*($C$32/2)</f>
        <v>56.548518749999999</v>
      </c>
      <c r="C139" s="3">
        <f t="shared" si="34"/>
        <v>1900.0302300000001</v>
      </c>
      <c r="D139" s="3">
        <f t="shared" si="28"/>
        <v>2335.2688760145788</v>
      </c>
      <c r="E139" s="3">
        <f t="shared" si="26"/>
        <v>14.332736751974268</v>
      </c>
      <c r="F139" s="3">
        <f t="shared" si="29"/>
        <v>11643.385260084682</v>
      </c>
      <c r="J139" s="3">
        <f>65.963</f>
        <v>65.962999999999994</v>
      </c>
      <c r="K139" s="3"/>
      <c r="L139" s="3" t="s">
        <v>33</v>
      </c>
      <c r="T139" s="3">
        <f>($F$38)*($F$39)*($C$19/2)</f>
        <v>24.586312499999998</v>
      </c>
      <c r="U139" s="3">
        <f t="shared" si="31"/>
        <v>826.1001</v>
      </c>
      <c r="V139" s="3">
        <f t="shared" si="32"/>
        <v>1261.3387460145786</v>
      </c>
      <c r="W139" s="3">
        <f t="shared" si="30"/>
        <v>5.119789199894119</v>
      </c>
      <c r="X139" s="3">
        <v>250</v>
      </c>
      <c r="AB139" s="3">
        <f>376.454</f>
        <v>376.45400000000001</v>
      </c>
      <c r="AC139" s="3">
        <v>5</v>
      </c>
      <c r="AD139" s="3" t="s">
        <v>33</v>
      </c>
    </row>
    <row r="140" spans="2:30">
      <c r="B140" s="3">
        <f>($F$38)*($F$39)*($C$33/2)</f>
        <v>59.007149999999996</v>
      </c>
      <c r="C140" s="3">
        <f t="shared" si="34"/>
        <v>1982.6402399999999</v>
      </c>
      <c r="D140" s="3">
        <f t="shared" si="28"/>
        <v>2417.8788860145787</v>
      </c>
      <c r="E140" s="3">
        <f t="shared" si="26"/>
        <v>14.839756538247723</v>
      </c>
      <c r="F140" s="3">
        <f t="shared" si="29"/>
        <v>12481.723884454537</v>
      </c>
      <c r="J140" s="3">
        <f>71.824</f>
        <v>71.823999999999998</v>
      </c>
      <c r="K140" s="3"/>
      <c r="L140" s="3" t="s">
        <v>33</v>
      </c>
      <c r="T140" s="3">
        <f>($F$38)*($F$39)*($C$20/2)</f>
        <v>27.044943749999998</v>
      </c>
      <c r="U140" s="3">
        <f t="shared" si="31"/>
        <v>908.71010999999999</v>
      </c>
      <c r="V140" s="3">
        <f t="shared" si="32"/>
        <v>1343.9487560145787</v>
      </c>
      <c r="W140" s="3">
        <f t="shared" si="30"/>
        <v>5.4551042279446857</v>
      </c>
      <c r="X140" s="3">
        <v>250</v>
      </c>
      <c r="AB140" s="3">
        <f>455.509</f>
        <v>455.50900000000001</v>
      </c>
      <c r="AC140" s="3">
        <v>5.5</v>
      </c>
      <c r="AD140" s="3" t="s">
        <v>33</v>
      </c>
    </row>
    <row r="141" spans="2:30">
      <c r="B141" s="3">
        <f>($F$38)*($F$39)*($C$34/2)</f>
        <v>0</v>
      </c>
      <c r="C141" s="3">
        <f>$C$46*B141</f>
        <v>0</v>
      </c>
      <c r="D141" s="3">
        <f t="shared" si="28"/>
        <v>435.23864601457871</v>
      </c>
      <c r="E141" s="3">
        <f t="shared" si="26"/>
        <v>2.6712816676848168</v>
      </c>
      <c r="F141" s="3">
        <f t="shared" si="29"/>
        <v>404.44585287543447</v>
      </c>
      <c r="J141" s="29"/>
      <c r="K141" s="4"/>
      <c r="L141" s="30"/>
      <c r="T141" s="3">
        <f>($F$38)*($F$39)*($C$21/2)</f>
        <v>29.503574999999998</v>
      </c>
      <c r="U141" s="3">
        <f t="shared" si="31"/>
        <v>991.32011999999997</v>
      </c>
      <c r="V141" s="3">
        <f t="shared" si="32"/>
        <v>1426.5587660145786</v>
      </c>
      <c r="W141" s="3">
        <f t="shared" si="30"/>
        <v>5.7904192559952525</v>
      </c>
      <c r="X141" s="3">
        <v>250</v>
      </c>
      <c r="AB141" s="3">
        <f>542.093</f>
        <v>542.09299999999996</v>
      </c>
      <c r="AC141" s="3">
        <v>6</v>
      </c>
      <c r="AD141" s="3" t="s">
        <v>33</v>
      </c>
    </row>
    <row r="142" spans="2:30">
      <c r="B142" s="29"/>
      <c r="C142" s="4"/>
      <c r="D142" s="4"/>
      <c r="E142" s="4"/>
      <c r="F142" s="30"/>
      <c r="J142" s="29"/>
      <c r="K142" s="4"/>
      <c r="L142" s="30"/>
      <c r="T142" s="3">
        <f>($F$38)*($F$39)*($C$22/2)</f>
        <v>31.962206249999998</v>
      </c>
      <c r="U142" s="3">
        <f t="shared" si="31"/>
        <v>1073.93013</v>
      </c>
      <c r="V142" s="3">
        <f t="shared" si="32"/>
        <v>1509.1687760145787</v>
      </c>
      <c r="W142" s="3">
        <f t="shared" si="30"/>
        <v>6.1257342840458193</v>
      </c>
      <c r="X142" s="3">
        <v>250</v>
      </c>
      <c r="AB142" s="3">
        <f>636.207</f>
        <v>636.20699999999999</v>
      </c>
      <c r="AC142" s="3">
        <v>6.5</v>
      </c>
      <c r="AD142" s="3" t="s">
        <v>33</v>
      </c>
    </row>
    <row r="143" spans="2:30">
      <c r="B143" s="29" t="s">
        <v>122</v>
      </c>
      <c r="C143" s="4"/>
      <c r="D143" s="4"/>
      <c r="E143" s="4"/>
      <c r="F143" s="30"/>
      <c r="J143" s="29" t="s">
        <v>123</v>
      </c>
      <c r="K143" s="4"/>
      <c r="L143" s="30"/>
      <c r="T143" s="3">
        <f>($F$38)*($F$39)*($C$23/2)</f>
        <v>34.420837499999998</v>
      </c>
      <c r="U143" s="3">
        <f>$C$46*T143</f>
        <v>1156.5401400000001</v>
      </c>
      <c r="V143" s="3">
        <f t="shared" si="32"/>
        <v>1591.7787860145788</v>
      </c>
      <c r="W143" s="3">
        <f t="shared" si="30"/>
        <v>6.4610493120963861</v>
      </c>
      <c r="X143" s="3">
        <v>250</v>
      </c>
      <c r="AB143" s="3">
        <f>737.849</f>
        <v>737.84900000000005</v>
      </c>
      <c r="AC143" s="3">
        <v>7</v>
      </c>
      <c r="AD143" s="3" t="s">
        <v>33</v>
      </c>
    </row>
    <row r="144" spans="2:30">
      <c r="B144" s="45" t="s">
        <v>75</v>
      </c>
      <c r="C144" s="45" t="s">
        <v>76</v>
      </c>
      <c r="D144" s="45" t="s">
        <v>77</v>
      </c>
      <c r="E144" s="45" t="s">
        <v>78</v>
      </c>
      <c r="F144" s="45" t="s">
        <v>32</v>
      </c>
      <c r="J144" s="45" t="s">
        <v>32</v>
      </c>
      <c r="K144" s="3"/>
      <c r="L144" s="3"/>
      <c r="T144" s="3">
        <f>($F$38)*($F$39)*($C$24/2)</f>
        <v>36.879468750000001</v>
      </c>
      <c r="U144" s="3">
        <f t="shared" ref="U144:U153" si="35">$C$46*T144</f>
        <v>1239.1501500000002</v>
      </c>
      <c r="V144" s="3">
        <f t="shared" si="32"/>
        <v>1674.3887960145789</v>
      </c>
      <c r="W144" s="3">
        <f t="shared" si="30"/>
        <v>6.7963643401469538</v>
      </c>
      <c r="X144" s="3">
        <v>250</v>
      </c>
      <c r="AB144" s="3">
        <v>750</v>
      </c>
      <c r="AC144" s="3">
        <v>7.5</v>
      </c>
      <c r="AD144" s="3" t="s">
        <v>33</v>
      </c>
    </row>
    <row r="145" spans="2:30">
      <c r="B145" s="3">
        <f>($F$38)*($F$39)*($C$9/2)</f>
        <v>0</v>
      </c>
      <c r="C145" s="3">
        <f>$C$46*B145</f>
        <v>0</v>
      </c>
      <c r="D145" s="3">
        <f>C145+($C$50*$C$52)</f>
        <v>435.23864601457871</v>
      </c>
      <c r="E145" s="3">
        <f t="shared" ref="E145:E170" si="36">(D145)/($C$48+((($F$40)*($C$52))*$F$12)-(($C$49+$C$50)*$F$12^2))</f>
        <v>1.7666389193884513</v>
      </c>
      <c r="F145" s="3">
        <f>($F$12*E145)*($F$12*E145*$C$52)/2</f>
        <v>99.503677881592608</v>
      </c>
      <c r="J145" s="3">
        <v>0</v>
      </c>
      <c r="K145" s="3"/>
      <c r="L145" s="3"/>
      <c r="T145" s="3">
        <f>($F$38)*($F$39)*($C$25/2)</f>
        <v>39.338099999999997</v>
      </c>
      <c r="U145" s="3">
        <f t="shared" si="35"/>
        <v>1321.76016</v>
      </c>
      <c r="V145" s="3">
        <f t="shared" si="32"/>
        <v>1756.9988060145788</v>
      </c>
      <c r="W145" s="3">
        <f t="shared" si="30"/>
        <v>7.1316793681975197</v>
      </c>
      <c r="X145" s="3">
        <v>250</v>
      </c>
      <c r="AB145" s="3">
        <v>750</v>
      </c>
      <c r="AC145" s="3">
        <v>8</v>
      </c>
      <c r="AD145" s="3" t="s">
        <v>33</v>
      </c>
    </row>
    <row r="146" spans="2:30">
      <c r="B146" s="3">
        <f>($F$38)*($F$39)*($C$10/2)</f>
        <v>2.4586312499999998</v>
      </c>
      <c r="C146" s="3">
        <f t="shared" ref="C146:C158" si="37">$C$46*B146</f>
        <v>82.610010000000003</v>
      </c>
      <c r="D146" s="3">
        <f t="shared" ref="D146:D170" si="38">C146+($C$50*$C$52)</f>
        <v>517.84865601457875</v>
      </c>
      <c r="E146" s="3">
        <f t="shared" si="36"/>
        <v>2.1019539474390183</v>
      </c>
      <c r="F146" s="3">
        <f t="shared" ref="F146:F170" si="39">($F$12*E146)*($F$12*E146*$C$52)/2</f>
        <v>140.86073146773242</v>
      </c>
      <c r="J146" s="3">
        <f>3.765</f>
        <v>3.7650000000000001</v>
      </c>
      <c r="K146" s="3"/>
      <c r="L146" s="3"/>
      <c r="T146" s="3">
        <f>($F$38)*($F$39)*($C$26/2)</f>
        <v>41.796731249999993</v>
      </c>
      <c r="U146" s="3">
        <f t="shared" si="35"/>
        <v>1404.3701699999999</v>
      </c>
      <c r="V146" s="3">
        <f t="shared" si="32"/>
        <v>1839.6088160145787</v>
      </c>
      <c r="W146" s="3">
        <f t="shared" si="30"/>
        <v>7.4669943962480865</v>
      </c>
      <c r="X146" s="3">
        <v>250</v>
      </c>
      <c r="AB146" s="3">
        <v>750</v>
      </c>
      <c r="AC146" s="3">
        <v>8.5</v>
      </c>
      <c r="AD146" s="3" t="s">
        <v>33</v>
      </c>
    </row>
    <row r="147" spans="2:30">
      <c r="B147" s="3">
        <f>($F$38)*($F$39)*($C$11/2)</f>
        <v>4.9172624999999996</v>
      </c>
      <c r="C147" s="3">
        <f t="shared" si="37"/>
        <v>165.22002000000001</v>
      </c>
      <c r="D147" s="3">
        <f t="shared" si="38"/>
        <v>600.45866601457874</v>
      </c>
      <c r="E147" s="3">
        <f t="shared" si="36"/>
        <v>2.4372689754895851</v>
      </c>
      <c r="F147" s="3">
        <f t="shared" si="39"/>
        <v>189.38713166681669</v>
      </c>
      <c r="J147" s="3">
        <f>15.058</f>
        <v>15.058</v>
      </c>
      <c r="K147" s="3"/>
      <c r="L147" s="3"/>
      <c r="T147" s="3">
        <f>($F$38)*($F$39)*($C$27/2)</f>
        <v>44.255362499999997</v>
      </c>
      <c r="U147" s="3">
        <f t="shared" si="35"/>
        <v>1486.98018</v>
      </c>
      <c r="V147" s="3">
        <f t="shared" si="32"/>
        <v>1922.2188260145788</v>
      </c>
      <c r="W147" s="3">
        <f t="shared" si="30"/>
        <v>7.8023094242986533</v>
      </c>
      <c r="X147" s="3">
        <v>250</v>
      </c>
      <c r="AB147" s="3">
        <v>750</v>
      </c>
      <c r="AC147" s="3">
        <v>9</v>
      </c>
      <c r="AD147" s="3" t="s">
        <v>33</v>
      </c>
    </row>
    <row r="148" spans="2:30">
      <c r="B148" s="3">
        <f>($F$38)*($F$39)*($C$12/2)</f>
        <v>7.3758937499999995</v>
      </c>
      <c r="C148" s="3">
        <f t="shared" si="37"/>
        <v>247.83002999999999</v>
      </c>
      <c r="D148" s="3">
        <f t="shared" si="38"/>
        <v>683.06867601457873</v>
      </c>
      <c r="E148" s="3">
        <f t="shared" si="36"/>
        <v>2.7725840035401519</v>
      </c>
      <c r="F148" s="3">
        <f t="shared" si="39"/>
        <v>245.08287847884532</v>
      </c>
      <c r="J148" s="3">
        <f>33.881</f>
        <v>33.881</v>
      </c>
      <c r="K148" s="3"/>
      <c r="L148" s="3"/>
      <c r="T148" s="3">
        <f>($F$38)*($F$39)*($C$28/2)</f>
        <v>46.71399375</v>
      </c>
      <c r="U148" s="3">
        <f t="shared" si="35"/>
        <v>1569.5901900000001</v>
      </c>
      <c r="V148" s="3">
        <f t="shared" si="32"/>
        <v>2004.8288360145789</v>
      </c>
      <c r="W148" s="3">
        <f t="shared" si="30"/>
        <v>8.13762445234922</v>
      </c>
      <c r="X148" s="3">
        <v>250</v>
      </c>
      <c r="AB148" s="3">
        <v>750</v>
      </c>
      <c r="AC148" s="3">
        <v>9.5</v>
      </c>
      <c r="AD148" s="3" t="s">
        <v>33</v>
      </c>
    </row>
    <row r="149" spans="2:30">
      <c r="B149" s="3">
        <f>($F$38)*($F$39)*($C$13/2)</f>
        <v>9.8345249999999993</v>
      </c>
      <c r="C149" s="3">
        <f t="shared" si="37"/>
        <v>330.44004000000001</v>
      </c>
      <c r="D149" s="3">
        <f t="shared" si="38"/>
        <v>765.67868601457872</v>
      </c>
      <c r="E149" s="3">
        <f t="shared" si="36"/>
        <v>3.1078990315907182</v>
      </c>
      <c r="F149" s="3">
        <f t="shared" si="39"/>
        <v>307.94797190381837</v>
      </c>
      <c r="J149" s="3">
        <f>60.233</f>
        <v>60.232999999999997</v>
      </c>
      <c r="K149" s="3"/>
      <c r="L149" s="3"/>
      <c r="T149" s="3">
        <f>($F$38)*($F$39)*($C$29/2)</f>
        <v>49.172624999999996</v>
      </c>
      <c r="U149" s="3">
        <f t="shared" si="35"/>
        <v>1652.2002</v>
      </c>
      <c r="V149" s="3">
        <f t="shared" si="32"/>
        <v>2087.4388460145788</v>
      </c>
      <c r="W149" s="3">
        <f t="shared" si="30"/>
        <v>8.4729394803997859</v>
      </c>
      <c r="X149" s="3">
        <v>250</v>
      </c>
      <c r="AB149" s="3">
        <v>750</v>
      </c>
      <c r="AC149" s="3">
        <v>10</v>
      </c>
      <c r="AD149" s="3" t="s">
        <v>33</v>
      </c>
    </row>
    <row r="150" spans="2:30">
      <c r="B150" s="3">
        <f>($F$38)*($F$39)*($C$14/2)</f>
        <v>12.293156249999999</v>
      </c>
      <c r="C150" s="3">
        <f t="shared" si="37"/>
        <v>413.05005</v>
      </c>
      <c r="D150" s="3">
        <f t="shared" si="38"/>
        <v>848.2886960145787</v>
      </c>
      <c r="E150" s="3">
        <f t="shared" si="36"/>
        <v>3.443214059641285</v>
      </c>
      <c r="F150" s="3">
        <f t="shared" si="39"/>
        <v>377.9824119417359</v>
      </c>
      <c r="J150" s="3">
        <f>94.113</f>
        <v>94.113</v>
      </c>
      <c r="K150" s="3"/>
      <c r="L150" s="3"/>
      <c r="T150" s="3">
        <f>($F$38)*($F$39)*($C$30/2)</f>
        <v>51.631256249999993</v>
      </c>
      <c r="U150" s="3">
        <f t="shared" si="35"/>
        <v>1734.8102099999999</v>
      </c>
      <c r="V150" s="3">
        <f t="shared" si="32"/>
        <v>2170.0488560145786</v>
      </c>
      <c r="W150" s="3">
        <f t="shared" si="30"/>
        <v>8.8082545084503536</v>
      </c>
      <c r="X150" s="3">
        <v>250</v>
      </c>
      <c r="AB150" s="3">
        <v>750</v>
      </c>
      <c r="AC150" s="3">
        <v>10.5</v>
      </c>
      <c r="AD150" s="3" t="s">
        <v>33</v>
      </c>
    </row>
    <row r="151" spans="2:30">
      <c r="B151" s="3">
        <f>($F$38)*($F$39)*($C$15/2)</f>
        <v>14.751787499999999</v>
      </c>
      <c r="C151" s="3">
        <f t="shared" si="37"/>
        <v>495.66005999999999</v>
      </c>
      <c r="D151" s="3">
        <f t="shared" si="38"/>
        <v>930.89870601457869</v>
      </c>
      <c r="E151" s="3">
        <f t="shared" si="36"/>
        <v>3.7785290876918518</v>
      </c>
      <c r="F151" s="3">
        <f t="shared" si="39"/>
        <v>455.1861985925978</v>
      </c>
      <c r="J151" s="3">
        <f>135.523</f>
        <v>135.523</v>
      </c>
      <c r="K151" s="3"/>
      <c r="L151" s="3"/>
      <c r="T151" s="3">
        <f>($F$38)*($F$39)*($C$31/2)</f>
        <v>54.089887499999996</v>
      </c>
      <c r="U151" s="3">
        <f t="shared" si="35"/>
        <v>1817.42022</v>
      </c>
      <c r="V151" s="3">
        <f t="shared" si="32"/>
        <v>2252.6588660145785</v>
      </c>
      <c r="W151" s="3">
        <f t="shared" si="30"/>
        <v>9.1435695365009195</v>
      </c>
      <c r="X151" s="3">
        <v>250</v>
      </c>
      <c r="AB151" s="3">
        <v>750</v>
      </c>
      <c r="AC151" s="3">
        <v>11</v>
      </c>
      <c r="AD151" s="3" t="s">
        <v>33</v>
      </c>
    </row>
    <row r="152" spans="2:30">
      <c r="B152" s="3">
        <f>($F$38)*($F$39)*($C$16/2)</f>
        <v>17.210418749999999</v>
      </c>
      <c r="C152" s="3">
        <f t="shared" si="37"/>
        <v>578.27007000000003</v>
      </c>
      <c r="D152" s="3">
        <f t="shared" si="38"/>
        <v>1013.5087160145788</v>
      </c>
      <c r="E152" s="3">
        <f t="shared" si="36"/>
        <v>4.1138441157424186</v>
      </c>
      <c r="F152" s="3">
        <f t="shared" si="39"/>
        <v>539.55933185640424</v>
      </c>
      <c r="J152" s="3">
        <f>184.462</f>
        <v>184.46199999999999</v>
      </c>
      <c r="K152" s="3"/>
      <c r="L152" s="3"/>
      <c r="T152" s="3">
        <f>($F$38)*($F$39)*($C$32/2)</f>
        <v>56.548518749999999</v>
      </c>
      <c r="U152" s="3">
        <f t="shared" si="35"/>
        <v>1900.0302300000001</v>
      </c>
      <c r="V152" s="3">
        <f t="shared" si="32"/>
        <v>2335.2688760145788</v>
      </c>
      <c r="W152" s="3">
        <f t="shared" si="30"/>
        <v>9.4788845645514872</v>
      </c>
      <c r="X152" s="3">
        <v>250</v>
      </c>
      <c r="AB152" s="3">
        <v>750</v>
      </c>
      <c r="AC152" s="3">
        <v>11.5</v>
      </c>
      <c r="AD152" s="3" t="s">
        <v>33</v>
      </c>
    </row>
    <row r="153" spans="2:30">
      <c r="B153" s="3">
        <f>($F$38)*($F$39)*($C$17/2)</f>
        <v>19.669049999999999</v>
      </c>
      <c r="C153" s="3">
        <f t="shared" si="37"/>
        <v>660.88008000000002</v>
      </c>
      <c r="D153" s="3">
        <f t="shared" si="38"/>
        <v>1096.1187260145787</v>
      </c>
      <c r="E153" s="3">
        <f t="shared" si="36"/>
        <v>4.4491591437929854</v>
      </c>
      <c r="F153" s="3">
        <f t="shared" si="39"/>
        <v>631.10181173315505</v>
      </c>
      <c r="J153" s="3">
        <f>240.93</f>
        <v>240.93</v>
      </c>
      <c r="K153" s="3"/>
      <c r="L153" s="3"/>
      <c r="T153" s="3">
        <f>($F$38)*($F$39)*($C$33/2)</f>
        <v>59.007149999999996</v>
      </c>
      <c r="U153" s="3">
        <f t="shared" si="35"/>
        <v>1982.6402399999999</v>
      </c>
      <c r="V153" s="3">
        <f t="shared" si="32"/>
        <v>2417.8788860145787</v>
      </c>
      <c r="W153" s="3">
        <f t="shared" si="30"/>
        <v>9.8141995926020531</v>
      </c>
      <c r="X153" s="3">
        <v>250</v>
      </c>
      <c r="AB153" s="3">
        <v>750</v>
      </c>
      <c r="AC153" s="3">
        <v>12</v>
      </c>
      <c r="AD153" s="3" t="s">
        <v>33</v>
      </c>
    </row>
    <row r="154" spans="2:30">
      <c r="B154" s="3">
        <f>($F$38)*($F$39)*($C$18/2)</f>
        <v>22.127681249999998</v>
      </c>
      <c r="C154" s="3">
        <f t="shared" si="37"/>
        <v>743.49009000000001</v>
      </c>
      <c r="D154" s="3">
        <f t="shared" si="38"/>
        <v>1178.7287360145788</v>
      </c>
      <c r="E154" s="3">
        <f t="shared" si="36"/>
        <v>4.7844741718435522</v>
      </c>
      <c r="F154" s="3">
        <f t="shared" si="39"/>
        <v>729.81363822285039</v>
      </c>
      <c r="J154" s="3">
        <f>304.927</f>
        <v>304.92700000000002</v>
      </c>
      <c r="K154" s="3"/>
      <c r="L154" s="3"/>
      <c r="T154" s="3"/>
      <c r="U154" s="3"/>
      <c r="V154" s="3"/>
      <c r="W154" s="3"/>
      <c r="X154" s="3"/>
      <c r="AB154" s="29"/>
      <c r="AC154" s="4"/>
      <c r="AD154" s="30"/>
    </row>
    <row r="155" spans="2:30">
      <c r="B155" s="3">
        <f>($F$38)*($F$39)*($C$19/2)</f>
        <v>24.586312499999998</v>
      </c>
      <c r="C155" s="3">
        <f t="shared" si="37"/>
        <v>826.1001</v>
      </c>
      <c r="D155" s="3">
        <f t="shared" si="38"/>
        <v>1261.3387460145786</v>
      </c>
      <c r="E155" s="3">
        <f t="shared" si="36"/>
        <v>5.119789199894119</v>
      </c>
      <c r="F155" s="3">
        <f t="shared" si="39"/>
        <v>835.69481132549004</v>
      </c>
      <c r="J155" s="3">
        <f>376.454</f>
        <v>376.45400000000001</v>
      </c>
      <c r="K155" s="3"/>
      <c r="L155" s="3"/>
      <c r="T155" s="29"/>
      <c r="U155" s="4"/>
      <c r="V155" s="4"/>
      <c r="W155" s="4"/>
      <c r="X155" s="30"/>
      <c r="AB155" s="29"/>
      <c r="AC155" s="4"/>
      <c r="AD155" s="30"/>
    </row>
    <row r="156" spans="2:30">
      <c r="B156" s="3">
        <f>($F$38)*($F$39)*($C$20/2)</f>
        <v>27.044943749999998</v>
      </c>
      <c r="C156" s="3">
        <f t="shared" si="37"/>
        <v>908.71010999999999</v>
      </c>
      <c r="D156" s="3">
        <f t="shared" si="38"/>
        <v>1343.9487560145787</v>
      </c>
      <c r="E156" s="3">
        <f t="shared" si="36"/>
        <v>5.4551042279446857</v>
      </c>
      <c r="F156" s="3">
        <f t="shared" si="39"/>
        <v>948.74533104107434</v>
      </c>
      <c r="J156" s="3">
        <f>455.509</f>
        <v>455.50900000000001</v>
      </c>
      <c r="K156" s="3">
        <v>5.5</v>
      </c>
      <c r="L156" s="3" t="s">
        <v>33</v>
      </c>
      <c r="T156" s="29" t="s">
        <v>124</v>
      </c>
      <c r="U156" s="4"/>
      <c r="V156" s="4"/>
      <c r="W156" s="4"/>
      <c r="X156" s="30"/>
      <c r="AB156" s="29" t="s">
        <v>125</v>
      </c>
      <c r="AC156" s="4"/>
      <c r="AD156" s="30"/>
    </row>
    <row r="157" spans="2:30">
      <c r="B157" s="3">
        <f>($F$38)*($F$39)*($C$21/2)</f>
        <v>29.503574999999998</v>
      </c>
      <c r="C157" s="3">
        <f t="shared" si="37"/>
        <v>991.32011999999997</v>
      </c>
      <c r="D157" s="3">
        <f t="shared" si="38"/>
        <v>1426.5587660145786</v>
      </c>
      <c r="E157" s="3">
        <f t="shared" si="36"/>
        <v>5.7904192559952525</v>
      </c>
      <c r="F157" s="3">
        <f t="shared" si="39"/>
        <v>1068.9651973696027</v>
      </c>
      <c r="J157" s="3">
        <f>542.093</f>
        <v>542.09299999999996</v>
      </c>
      <c r="K157" s="3"/>
      <c r="L157" s="3"/>
      <c r="T157" s="45" t="s">
        <v>75</v>
      </c>
      <c r="U157" s="45" t="s">
        <v>76</v>
      </c>
      <c r="V157" s="45" t="s">
        <v>77</v>
      </c>
      <c r="W157" s="45" t="s">
        <v>78</v>
      </c>
      <c r="X157" s="45" t="s">
        <v>32</v>
      </c>
      <c r="AB157" s="45" t="s">
        <v>32</v>
      </c>
      <c r="AC157" s="3"/>
      <c r="AD157" s="3"/>
    </row>
    <row r="158" spans="2:30">
      <c r="B158" s="3">
        <f>($F$38)*($F$39)*($C$22/2)</f>
        <v>31.962206249999998</v>
      </c>
      <c r="C158" s="3">
        <f t="shared" si="37"/>
        <v>1073.93013</v>
      </c>
      <c r="D158" s="3">
        <f t="shared" si="38"/>
        <v>1509.1687760145787</v>
      </c>
      <c r="E158" s="3">
        <f t="shared" si="36"/>
        <v>6.1257342840458193</v>
      </c>
      <c r="F158" s="3">
        <f t="shared" si="39"/>
        <v>1196.3544103110758</v>
      </c>
      <c r="J158" s="3">
        <f>636.207</f>
        <v>636.20699999999999</v>
      </c>
      <c r="K158" s="3"/>
      <c r="L158" s="3"/>
      <c r="T158" s="3">
        <f>($F$38)*($F$39)*($C$9/2)</f>
        <v>0</v>
      </c>
      <c r="U158" s="3">
        <f>$C$46*T158</f>
        <v>0</v>
      </c>
      <c r="V158" s="3">
        <f>U158+($C$50*$C$52)</f>
        <v>435.23864601457871</v>
      </c>
      <c r="W158" s="3">
        <f t="shared" ref="W158:W182" si="40">(V158)/($C$48+((($F$40)*($C$52))*$F$13)-(($C$49+$C$50)*$F$13^2))</f>
        <v>1.5372549749136324</v>
      </c>
      <c r="X158" s="3">
        <f>($F$13*W158)*($F$13*W158*$C$52)/2</f>
        <v>48.218681894954429</v>
      </c>
      <c r="AB158" s="3">
        <v>0</v>
      </c>
      <c r="AC158" s="3">
        <v>0</v>
      </c>
      <c r="AD158" s="3" t="s">
        <v>33</v>
      </c>
    </row>
    <row r="159" spans="2:30">
      <c r="B159" s="3">
        <f>($F$38)*($F$39)*($C$23/2)</f>
        <v>34.420837499999998</v>
      </c>
      <c r="C159" s="3">
        <f>$C$46*B159</f>
        <v>1156.5401400000001</v>
      </c>
      <c r="D159" s="3">
        <f t="shared" si="38"/>
        <v>1591.7787860145788</v>
      </c>
      <c r="E159" s="3">
        <f t="shared" si="36"/>
        <v>6.4610493120963861</v>
      </c>
      <c r="F159" s="3">
        <f t="shared" si="39"/>
        <v>1330.9129698654936</v>
      </c>
      <c r="J159" s="3">
        <f>737.849</f>
        <v>737.84900000000005</v>
      </c>
      <c r="K159" s="3"/>
      <c r="L159" s="3"/>
      <c r="T159" s="3">
        <f>($F$38)*($F$39)*($C$10/2)</f>
        <v>2.4586312499999998</v>
      </c>
      <c r="U159" s="3">
        <f t="shared" ref="U159:U171" si="41">$C$46*T159</f>
        <v>82.610010000000003</v>
      </c>
      <c r="V159" s="3">
        <f t="shared" ref="V159:V182" si="42">U159+($C$50*$C$52)</f>
        <v>517.84865601457875</v>
      </c>
      <c r="W159" s="3">
        <f t="shared" si="40"/>
        <v>1.8290320264531026</v>
      </c>
      <c r="X159" s="3">
        <f t="shared" ref="X159:X164" si="43">($F$13*W159)*($F$13*W159*$C$52)/2</f>
        <v>68.259977387124025</v>
      </c>
      <c r="AB159" s="3">
        <f>15.145</f>
        <v>15.145</v>
      </c>
      <c r="AC159" s="3">
        <v>0.5</v>
      </c>
      <c r="AD159" s="3" t="s">
        <v>33</v>
      </c>
    </row>
    <row r="160" spans="2:30">
      <c r="B160" s="3">
        <f>($F$38)*($F$39)*($C$24/2)</f>
        <v>36.879468750000001</v>
      </c>
      <c r="C160" s="3">
        <f t="shared" ref="C160:C169" si="44">$C$46*B160</f>
        <v>1239.1501500000002</v>
      </c>
      <c r="D160" s="3">
        <f t="shared" si="38"/>
        <v>1674.3887960145789</v>
      </c>
      <c r="E160" s="3">
        <f t="shared" si="36"/>
        <v>6.7963643401469538</v>
      </c>
      <c r="F160" s="3">
        <f t="shared" si="39"/>
        <v>1472.6408760328554</v>
      </c>
      <c r="J160" s="3">
        <f>847.021</f>
        <v>847.02099999999996</v>
      </c>
      <c r="K160" s="3"/>
      <c r="L160" s="3"/>
      <c r="T160" s="3">
        <f>($F$38)*($F$39)*($C$11/2)</f>
        <v>4.9172624999999996</v>
      </c>
      <c r="U160" s="3">
        <f t="shared" si="41"/>
        <v>165.22002000000001</v>
      </c>
      <c r="V160" s="3">
        <f t="shared" si="42"/>
        <v>600.45866601457874</v>
      </c>
      <c r="W160" s="3">
        <f t="shared" si="40"/>
        <v>2.1208090779925728</v>
      </c>
      <c r="X160" s="3">
        <f t="shared" si="43"/>
        <v>91.775480577783043</v>
      </c>
      <c r="AB160" s="3">
        <f>60.581</f>
        <v>60.581000000000003</v>
      </c>
      <c r="AC160" s="3">
        <v>1</v>
      </c>
      <c r="AD160" s="3" t="s">
        <v>33</v>
      </c>
    </row>
    <row r="161" spans="2:30">
      <c r="B161" s="3">
        <f>($F$38)*($F$39)*($C$25/2)</f>
        <v>39.338099999999997</v>
      </c>
      <c r="C161" s="3">
        <f t="shared" si="44"/>
        <v>1321.76016</v>
      </c>
      <c r="D161" s="3">
        <f t="shared" si="38"/>
        <v>1756.9988060145788</v>
      </c>
      <c r="E161" s="3">
        <f t="shared" si="36"/>
        <v>7.1316793681975197</v>
      </c>
      <c r="F161" s="3">
        <f t="shared" si="39"/>
        <v>1621.5381288131614</v>
      </c>
      <c r="J161" s="3">
        <f>963.721</f>
        <v>963.721</v>
      </c>
      <c r="K161" s="3"/>
      <c r="L161" s="3"/>
      <c r="T161" s="3">
        <f>($F$38)*($F$39)*($C$12/2)</f>
        <v>7.3758937499999995</v>
      </c>
      <c r="U161" s="3">
        <f t="shared" si="41"/>
        <v>247.83002999999999</v>
      </c>
      <c r="V161" s="3">
        <f t="shared" si="42"/>
        <v>683.06867601457873</v>
      </c>
      <c r="W161" s="3">
        <f t="shared" si="40"/>
        <v>2.412586129532043</v>
      </c>
      <c r="X161" s="3">
        <f t="shared" si="43"/>
        <v>118.76519146693143</v>
      </c>
      <c r="AB161" s="3">
        <f>136.308</f>
        <v>136.30799999999999</v>
      </c>
      <c r="AC161" s="3">
        <v>1.5</v>
      </c>
      <c r="AD161" s="3" t="s">
        <v>33</v>
      </c>
    </row>
    <row r="162" spans="2:30">
      <c r="B162" s="3">
        <f>($F$38)*($F$39)*($C$26/2)</f>
        <v>41.796731249999993</v>
      </c>
      <c r="C162" s="3">
        <f t="shared" si="44"/>
        <v>1404.3701699999999</v>
      </c>
      <c r="D162" s="3">
        <f t="shared" si="38"/>
        <v>1839.6088160145787</v>
      </c>
      <c r="E162" s="3">
        <f t="shared" si="36"/>
        <v>7.4669943962480865</v>
      </c>
      <c r="F162" s="3">
        <f t="shared" si="39"/>
        <v>1777.6047282064121</v>
      </c>
      <c r="J162" s="3">
        <f>1.088*10^3</f>
        <v>1088</v>
      </c>
      <c r="K162" s="3"/>
      <c r="L162" s="3"/>
      <c r="T162" s="3">
        <f>($F$38)*($F$39)*($C$13/2)</f>
        <v>9.8345249999999993</v>
      </c>
      <c r="U162" s="3">
        <f t="shared" si="41"/>
        <v>330.44004000000001</v>
      </c>
      <c r="V162" s="3">
        <f t="shared" si="42"/>
        <v>765.67868601457872</v>
      </c>
      <c r="W162" s="3">
        <f t="shared" si="40"/>
        <v>2.7043631810715127</v>
      </c>
      <c r="X162" s="3">
        <f t="shared" si="43"/>
        <v>149.22911005456913</v>
      </c>
      <c r="AB162" s="3">
        <f>242.324</f>
        <v>242.32400000000001</v>
      </c>
      <c r="AC162" s="3">
        <v>2</v>
      </c>
      <c r="AD162" s="3" t="s">
        <v>33</v>
      </c>
    </row>
    <row r="163" spans="2:30">
      <c r="B163" s="3">
        <f>($F$38)*($F$39)*($C$27/2)</f>
        <v>44.255362499999997</v>
      </c>
      <c r="C163" s="3">
        <f t="shared" si="44"/>
        <v>1486.98018</v>
      </c>
      <c r="D163" s="3">
        <f t="shared" si="38"/>
        <v>1922.2188260145788</v>
      </c>
      <c r="E163" s="3">
        <f t="shared" si="36"/>
        <v>7.8023094242986533</v>
      </c>
      <c r="F163" s="3">
        <f t="shared" si="39"/>
        <v>1940.8406742126072</v>
      </c>
      <c r="J163" s="3">
        <f>1.22*10^3</f>
        <v>1220</v>
      </c>
      <c r="K163" s="3"/>
      <c r="L163" s="3"/>
      <c r="T163" s="3">
        <f>($F$38)*($F$39)*($C$14/2)</f>
        <v>12.293156249999999</v>
      </c>
      <c r="U163" s="3">
        <f t="shared" si="41"/>
        <v>413.05005</v>
      </c>
      <c r="V163" s="3">
        <f t="shared" si="42"/>
        <v>848.2886960145787</v>
      </c>
      <c r="W163" s="3">
        <f t="shared" si="40"/>
        <v>2.9961402326109829</v>
      </c>
      <c r="X163" s="3">
        <f t="shared" si="43"/>
        <v>183.16723634069626</v>
      </c>
      <c r="AB163" s="3">
        <f>378.632</f>
        <v>378.63200000000001</v>
      </c>
      <c r="AC163" s="3">
        <v>2.5</v>
      </c>
      <c r="AD163" s="3" t="s">
        <v>33</v>
      </c>
    </row>
    <row r="164" spans="2:30">
      <c r="B164" s="3">
        <f>($F$38)*($F$39)*($C$28/2)</f>
        <v>46.71399375</v>
      </c>
      <c r="C164" s="3">
        <f t="shared" si="44"/>
        <v>1569.5901900000001</v>
      </c>
      <c r="D164" s="3">
        <f t="shared" si="38"/>
        <v>2004.8288360145789</v>
      </c>
      <c r="E164" s="3">
        <f t="shared" si="36"/>
        <v>8.13762445234922</v>
      </c>
      <c r="F164" s="3">
        <f t="shared" si="39"/>
        <v>2111.2459668317465</v>
      </c>
      <c r="J164" s="3">
        <f>1.359*10^3</f>
        <v>1359</v>
      </c>
      <c r="K164" s="3"/>
      <c r="L164" s="3"/>
      <c r="T164" s="3">
        <f>($F$38)*($F$39)*($C$15/2)</f>
        <v>14.751787499999999</v>
      </c>
      <c r="U164" s="3">
        <f t="shared" si="41"/>
        <v>495.66005999999999</v>
      </c>
      <c r="V164" s="3">
        <f t="shared" si="42"/>
        <v>930.89870601457869</v>
      </c>
      <c r="W164" s="3">
        <f t="shared" si="40"/>
        <v>3.2879172841504531</v>
      </c>
      <c r="X164" s="3">
        <f t="shared" si="43"/>
        <v>220.5795703253128</v>
      </c>
      <c r="AB164" s="3">
        <f>545.23</f>
        <v>545.23</v>
      </c>
      <c r="AC164" s="3">
        <v>3</v>
      </c>
      <c r="AD164" s="3" t="s">
        <v>33</v>
      </c>
    </row>
    <row r="165" spans="2:30">
      <c r="B165" s="3">
        <f>($F$38)*($F$39)*($C$29/2)</f>
        <v>49.172624999999996</v>
      </c>
      <c r="C165" s="3">
        <f t="shared" si="44"/>
        <v>1652.2002</v>
      </c>
      <c r="D165" s="3">
        <f t="shared" si="38"/>
        <v>2087.4388460145788</v>
      </c>
      <c r="E165" s="3">
        <f t="shared" si="36"/>
        <v>8.4729394803997859</v>
      </c>
      <c r="F165" s="3">
        <f t="shared" si="39"/>
        <v>2288.8206060638304</v>
      </c>
      <c r="J165" s="3">
        <f>1.506*10^3</f>
        <v>1506</v>
      </c>
      <c r="K165" s="3"/>
      <c r="L165" s="3"/>
      <c r="T165" s="3">
        <f>($F$38)*($F$39)*($C$16/2)</f>
        <v>17.210418749999999</v>
      </c>
      <c r="U165" s="3">
        <f t="shared" si="41"/>
        <v>578.27007000000003</v>
      </c>
      <c r="V165" s="3">
        <f t="shared" si="42"/>
        <v>1013.5087160145788</v>
      </c>
      <c r="W165" s="3">
        <f t="shared" si="40"/>
        <v>3.5796943356899233</v>
      </c>
      <c r="X165" s="3">
        <v>250</v>
      </c>
      <c r="AB165" s="3">
        <f>742.119</f>
        <v>742.11900000000003</v>
      </c>
      <c r="AC165" s="3">
        <v>3.5</v>
      </c>
      <c r="AD165" s="3" t="s">
        <v>33</v>
      </c>
    </row>
    <row r="166" spans="2:30">
      <c r="B166" s="3">
        <f>($F$38)*($F$39)*($C$30/2)</f>
        <v>51.631256249999993</v>
      </c>
      <c r="C166" s="3">
        <f t="shared" si="44"/>
        <v>1734.8102099999999</v>
      </c>
      <c r="D166" s="3">
        <f t="shared" si="38"/>
        <v>2170.0488560145786</v>
      </c>
      <c r="E166" s="3">
        <f t="shared" si="36"/>
        <v>8.8082545084503536</v>
      </c>
      <c r="F166" s="3">
        <f t="shared" si="39"/>
        <v>2473.5645919088593</v>
      </c>
      <c r="J166" s="3">
        <f>1.66*10^3</f>
        <v>1660</v>
      </c>
      <c r="K166" s="3"/>
      <c r="L166" s="3"/>
      <c r="T166" s="3">
        <f>($F$38)*($F$39)*($C$17/2)</f>
        <v>19.669049999999999</v>
      </c>
      <c r="U166" s="3">
        <f t="shared" si="41"/>
        <v>660.88008000000002</v>
      </c>
      <c r="V166" s="3">
        <f t="shared" si="42"/>
        <v>1096.1187260145787</v>
      </c>
      <c r="W166" s="3">
        <f t="shared" si="40"/>
        <v>3.8714713872293931</v>
      </c>
      <c r="X166" s="3">
        <v>250</v>
      </c>
      <c r="AB166" s="3">
        <f>750</f>
        <v>750</v>
      </c>
      <c r="AC166" s="3">
        <v>4</v>
      </c>
      <c r="AD166" s="3" t="s">
        <v>33</v>
      </c>
    </row>
    <row r="167" spans="2:30">
      <c r="B167" s="3">
        <f>($F$38)*($F$39)*($C$31/2)</f>
        <v>54.089887499999996</v>
      </c>
      <c r="C167" s="3">
        <f t="shared" si="44"/>
        <v>1817.42022</v>
      </c>
      <c r="D167" s="3">
        <f t="shared" si="38"/>
        <v>2252.6588660145785</v>
      </c>
      <c r="E167" s="3">
        <f t="shared" si="36"/>
        <v>9.1435695365009195</v>
      </c>
      <c r="F167" s="3">
        <f t="shared" si="39"/>
        <v>2665.4779243668322</v>
      </c>
      <c r="J167" s="3">
        <f>1822</f>
        <v>1822</v>
      </c>
      <c r="K167" s="3"/>
      <c r="L167" s="3"/>
      <c r="T167" s="3">
        <f>($F$38)*($F$39)*($C$18/2)</f>
        <v>22.127681249999998</v>
      </c>
      <c r="U167" s="3">
        <f t="shared" si="41"/>
        <v>743.49009000000001</v>
      </c>
      <c r="V167" s="3">
        <f t="shared" si="42"/>
        <v>1178.7287360145788</v>
      </c>
      <c r="W167" s="3">
        <f t="shared" si="40"/>
        <v>4.1632484387688633</v>
      </c>
      <c r="X167" s="3">
        <v>250</v>
      </c>
      <c r="AB167" s="3">
        <f>750</f>
        <v>750</v>
      </c>
      <c r="AC167" s="3">
        <v>4.5</v>
      </c>
      <c r="AD167" s="3" t="s">
        <v>33</v>
      </c>
    </row>
    <row r="168" spans="2:30">
      <c r="B168" s="3">
        <f>($F$38)*($F$39)*($C$32/2)</f>
        <v>56.548518749999999</v>
      </c>
      <c r="C168" s="3">
        <f t="shared" si="44"/>
        <v>1900.0302300000001</v>
      </c>
      <c r="D168" s="3">
        <f t="shared" si="38"/>
        <v>2335.2688760145788</v>
      </c>
      <c r="E168" s="3">
        <f t="shared" si="36"/>
        <v>9.4788845645514872</v>
      </c>
      <c r="F168" s="3">
        <f t="shared" si="39"/>
        <v>2864.5606034377502</v>
      </c>
      <c r="J168" s="3">
        <f>1991</f>
        <v>1991</v>
      </c>
      <c r="K168" s="3"/>
      <c r="L168" s="3"/>
      <c r="T168" s="3">
        <f>($F$38)*($F$39)*($C$19/2)</f>
        <v>24.586312499999998</v>
      </c>
      <c r="U168" s="3">
        <f t="shared" si="41"/>
        <v>826.1001</v>
      </c>
      <c r="V168" s="3">
        <f t="shared" si="42"/>
        <v>1261.3387460145786</v>
      </c>
      <c r="W168" s="3">
        <f t="shared" si="40"/>
        <v>4.4550254903083335</v>
      </c>
      <c r="X168" s="3">
        <v>250</v>
      </c>
      <c r="AB168" s="3">
        <f>750</f>
        <v>750</v>
      </c>
      <c r="AC168" s="3">
        <v>5</v>
      </c>
      <c r="AD168" s="3" t="s">
        <v>33</v>
      </c>
    </row>
    <row r="169" spans="2:30">
      <c r="B169" s="3">
        <f>($F$38)*($F$39)*($C$33/2)</f>
        <v>59.007149999999996</v>
      </c>
      <c r="C169" s="3">
        <f t="shared" si="44"/>
        <v>1982.6402399999999</v>
      </c>
      <c r="D169" s="3">
        <f t="shared" si="38"/>
        <v>2417.8788860145787</v>
      </c>
      <c r="E169" s="3">
        <f t="shared" si="36"/>
        <v>9.8141995926020531</v>
      </c>
      <c r="F169" s="3">
        <f t="shared" si="39"/>
        <v>3070.8126291216108</v>
      </c>
      <c r="J169" s="3">
        <f>2.168*10^3</f>
        <v>2168</v>
      </c>
      <c r="K169" s="3"/>
      <c r="L169" s="3"/>
      <c r="T169" s="3">
        <f>($F$38)*($F$39)*($C$20/2)</f>
        <v>27.044943749999998</v>
      </c>
      <c r="U169" s="3">
        <f t="shared" si="41"/>
        <v>908.71010999999999</v>
      </c>
      <c r="V169" s="3">
        <f t="shared" si="42"/>
        <v>1343.9487560145787</v>
      </c>
      <c r="W169" s="3">
        <f t="shared" si="40"/>
        <v>4.7468025418478037</v>
      </c>
      <c r="X169" s="3">
        <v>250</v>
      </c>
      <c r="AB169" s="3">
        <f>750</f>
        <v>750</v>
      </c>
      <c r="AC169" s="3">
        <v>5.5</v>
      </c>
      <c r="AD169" s="3" t="s">
        <v>33</v>
      </c>
    </row>
    <row r="170" spans="2:30">
      <c r="B170" s="3">
        <f>($F$38)*($F$39)*($C$34/2)</f>
        <v>0</v>
      </c>
      <c r="C170" s="3">
        <f>$C$46*B170</f>
        <v>0</v>
      </c>
      <c r="D170" s="3">
        <f t="shared" si="38"/>
        <v>435.23864601457871</v>
      </c>
      <c r="E170" s="3">
        <f t="shared" si="36"/>
        <v>1.7666389193884513</v>
      </c>
      <c r="F170" s="3">
        <f t="shared" si="39"/>
        <v>99.503677881592608</v>
      </c>
      <c r="J170" s="29"/>
      <c r="K170" s="4"/>
      <c r="L170" s="30"/>
      <c r="T170" s="3">
        <f>($F$38)*($F$39)*($C$21/2)</f>
        <v>29.503574999999998</v>
      </c>
      <c r="U170" s="3">
        <f t="shared" si="41"/>
        <v>991.32011999999997</v>
      </c>
      <c r="V170" s="3">
        <f t="shared" si="42"/>
        <v>1426.5587660145786</v>
      </c>
      <c r="W170" s="3">
        <f t="shared" si="40"/>
        <v>5.038579593387273</v>
      </c>
      <c r="X170" s="3">
        <v>250</v>
      </c>
      <c r="AB170" s="3">
        <f>750</f>
        <v>750</v>
      </c>
      <c r="AC170" s="3">
        <v>6</v>
      </c>
      <c r="AD170" s="3" t="s">
        <v>33</v>
      </c>
    </row>
    <row r="171" spans="2:30">
      <c r="B171" s="29"/>
      <c r="C171" s="4"/>
      <c r="D171" s="4"/>
      <c r="E171" s="4"/>
      <c r="F171" s="30"/>
      <c r="J171" s="29"/>
      <c r="K171" s="4"/>
      <c r="L171" s="30"/>
      <c r="T171" s="3">
        <f>($F$38)*($F$39)*($C$22/2)</f>
        <v>31.962206249999998</v>
      </c>
      <c r="U171" s="3">
        <f t="shared" si="41"/>
        <v>1073.93013</v>
      </c>
      <c r="V171" s="3">
        <f t="shared" si="42"/>
        <v>1509.1687760145787</v>
      </c>
      <c r="W171" s="3">
        <f t="shared" si="40"/>
        <v>5.3303566449267441</v>
      </c>
      <c r="X171" s="3">
        <v>250</v>
      </c>
      <c r="AB171" s="3">
        <f>750</f>
        <v>750</v>
      </c>
      <c r="AC171" s="3">
        <v>6.5</v>
      </c>
      <c r="AD171" s="3" t="s">
        <v>33</v>
      </c>
    </row>
    <row r="172" spans="2:30">
      <c r="B172" s="29" t="s">
        <v>124</v>
      </c>
      <c r="C172" s="4"/>
      <c r="D172" s="4"/>
      <c r="E172" s="4"/>
      <c r="F172" s="30"/>
      <c r="J172" s="29" t="s">
        <v>125</v>
      </c>
      <c r="K172" s="4"/>
      <c r="L172" s="30"/>
      <c r="T172" s="3">
        <f>($F$38)*($F$39)*($C$23/2)</f>
        <v>34.420837499999998</v>
      </c>
      <c r="U172" s="3">
        <f>$C$46*T172</f>
        <v>1156.5401400000001</v>
      </c>
      <c r="V172" s="3">
        <f t="shared" si="42"/>
        <v>1591.7787860145788</v>
      </c>
      <c r="W172" s="3">
        <f t="shared" si="40"/>
        <v>5.6221336964662143</v>
      </c>
      <c r="X172" s="3">
        <v>250</v>
      </c>
      <c r="AB172" s="3">
        <f>750</f>
        <v>750</v>
      </c>
      <c r="AC172" s="3">
        <v>7</v>
      </c>
      <c r="AD172" s="3" t="s">
        <v>33</v>
      </c>
    </row>
    <row r="173" spans="2:30">
      <c r="B173" s="45" t="s">
        <v>75</v>
      </c>
      <c r="C173" s="45" t="s">
        <v>76</v>
      </c>
      <c r="D173" s="45" t="s">
        <v>77</v>
      </c>
      <c r="E173" s="45" t="s">
        <v>78</v>
      </c>
      <c r="F173" s="45" t="s">
        <v>32</v>
      </c>
      <c r="J173" s="45" t="s">
        <v>32</v>
      </c>
      <c r="K173" s="3"/>
      <c r="L173" s="3"/>
      <c r="T173" s="3">
        <f>($F$38)*($F$39)*($C$24/2)</f>
        <v>36.879468750000001</v>
      </c>
      <c r="U173" s="3">
        <f t="shared" ref="U173:U182" si="45">$C$46*T173</f>
        <v>1239.1501500000002</v>
      </c>
      <c r="V173" s="3">
        <f t="shared" si="42"/>
        <v>1674.3887960145789</v>
      </c>
      <c r="W173" s="3">
        <f t="shared" si="40"/>
        <v>5.9139107480056845</v>
      </c>
      <c r="X173" s="3">
        <v>250</v>
      </c>
      <c r="AB173" s="3">
        <f>750</f>
        <v>750</v>
      </c>
      <c r="AC173" s="3">
        <v>7.5</v>
      </c>
      <c r="AD173" s="3" t="s">
        <v>33</v>
      </c>
    </row>
    <row r="174" spans="2:30">
      <c r="B174" s="3">
        <f>($F$38)*($F$39)*($C$9/2)</f>
        <v>0</v>
      </c>
      <c r="C174" s="3">
        <f>$C$46*B174</f>
        <v>0</v>
      </c>
      <c r="D174" s="3">
        <f>C174+($C$50*$C$52)</f>
        <v>435.23864601457871</v>
      </c>
      <c r="E174" s="3">
        <f t="shared" ref="E174:E199" si="46">(D174)/($C$48+((($F$40)*($C$52))*$F$13)-(($C$49+$C$50)*$F$13^2))</f>
        <v>1.5372549749136324</v>
      </c>
      <c r="F174" s="3">
        <f>($F$13*E174)*($F$13*E174*$C$52)/2</f>
        <v>48.218681894954429</v>
      </c>
      <c r="J174" s="3">
        <v>0</v>
      </c>
      <c r="K174" s="3"/>
      <c r="L174" s="3"/>
      <c r="T174" s="3">
        <f>($F$38)*($F$39)*($C$25/2)</f>
        <v>39.338099999999997</v>
      </c>
      <c r="U174" s="3">
        <f t="shared" si="45"/>
        <v>1321.76016</v>
      </c>
      <c r="V174" s="3">
        <f t="shared" si="42"/>
        <v>1756.9988060145788</v>
      </c>
      <c r="W174" s="3">
        <f t="shared" si="40"/>
        <v>6.2056877995451547</v>
      </c>
      <c r="X174" s="3">
        <v>250</v>
      </c>
      <c r="AB174" s="3">
        <f>750</f>
        <v>750</v>
      </c>
      <c r="AC174" s="3">
        <v>8</v>
      </c>
      <c r="AD174" s="3" t="s">
        <v>33</v>
      </c>
    </row>
    <row r="175" spans="2:30">
      <c r="B175" s="3">
        <f>($F$38)*($F$39)*($C$10/2)</f>
        <v>2.4586312499999998</v>
      </c>
      <c r="C175" s="3">
        <f t="shared" ref="C175:C187" si="47">$C$46*B175</f>
        <v>82.610010000000003</v>
      </c>
      <c r="D175" s="3">
        <f t="shared" ref="D175:D199" si="48">C175+($C$50*$C$52)</f>
        <v>517.84865601457875</v>
      </c>
      <c r="E175" s="3">
        <f t="shared" si="46"/>
        <v>1.8290320264531026</v>
      </c>
      <c r="F175" s="3">
        <f t="shared" ref="F175:F199" si="49">($F$13*E175)*($F$13*E175*$C$52)/2</f>
        <v>68.259977387124025</v>
      </c>
      <c r="J175" s="3">
        <f>15.145</f>
        <v>15.145</v>
      </c>
      <c r="K175" s="3"/>
      <c r="L175" s="3"/>
      <c r="T175" s="3">
        <f>($F$38)*($F$39)*($C$26/2)</f>
        <v>41.796731249999993</v>
      </c>
      <c r="U175" s="3">
        <f t="shared" si="45"/>
        <v>1404.3701699999999</v>
      </c>
      <c r="V175" s="3">
        <f t="shared" si="42"/>
        <v>1839.6088160145787</v>
      </c>
      <c r="W175" s="3">
        <f t="shared" si="40"/>
        <v>6.497464851084624</v>
      </c>
      <c r="X175" s="3">
        <v>250</v>
      </c>
      <c r="AB175" s="3">
        <f>750</f>
        <v>750</v>
      </c>
      <c r="AC175" s="3">
        <v>8.5</v>
      </c>
      <c r="AD175" s="3" t="s">
        <v>33</v>
      </c>
    </row>
    <row r="176" spans="2:30">
      <c r="B176" s="3">
        <f>($F$38)*($F$39)*($C$11/2)</f>
        <v>4.9172624999999996</v>
      </c>
      <c r="C176" s="3">
        <f t="shared" si="47"/>
        <v>165.22002000000001</v>
      </c>
      <c r="D176" s="3">
        <f t="shared" si="48"/>
        <v>600.45866601457874</v>
      </c>
      <c r="E176" s="3">
        <f t="shared" si="46"/>
        <v>2.1208090779925728</v>
      </c>
      <c r="F176" s="3">
        <f t="shared" si="49"/>
        <v>91.775480577783043</v>
      </c>
      <c r="J176" s="3">
        <f>60.581</f>
        <v>60.581000000000003</v>
      </c>
      <c r="K176" s="3"/>
      <c r="L176" s="3"/>
      <c r="T176" s="3">
        <f>($F$38)*($F$39)*($C$27/2)</f>
        <v>44.255362499999997</v>
      </c>
      <c r="U176" s="3">
        <f t="shared" si="45"/>
        <v>1486.98018</v>
      </c>
      <c r="V176" s="3">
        <f t="shared" si="42"/>
        <v>1922.2188260145788</v>
      </c>
      <c r="W176" s="3">
        <f t="shared" si="40"/>
        <v>6.7892419026240942</v>
      </c>
      <c r="X176" s="3">
        <v>250</v>
      </c>
      <c r="AB176" s="3">
        <f>750</f>
        <v>750</v>
      </c>
      <c r="AC176" s="3">
        <v>9</v>
      </c>
      <c r="AD176" s="3" t="s">
        <v>33</v>
      </c>
    </row>
    <row r="177" spans="2:30">
      <c r="B177" s="3">
        <f>($F$38)*($F$39)*($C$12/2)</f>
        <v>7.3758937499999995</v>
      </c>
      <c r="C177" s="3">
        <f t="shared" si="47"/>
        <v>247.83002999999999</v>
      </c>
      <c r="D177" s="3">
        <f t="shared" si="48"/>
        <v>683.06867601457873</v>
      </c>
      <c r="E177" s="3">
        <f t="shared" si="46"/>
        <v>2.412586129532043</v>
      </c>
      <c r="F177" s="3">
        <f t="shared" si="49"/>
        <v>118.76519146693143</v>
      </c>
      <c r="J177" s="3">
        <f>136.308</f>
        <v>136.30799999999999</v>
      </c>
      <c r="K177" s="3"/>
      <c r="L177" s="3"/>
      <c r="T177" s="3">
        <f>($F$38)*($F$39)*($C$28/2)</f>
        <v>46.71399375</v>
      </c>
      <c r="U177" s="3">
        <f t="shared" si="45"/>
        <v>1569.5901900000001</v>
      </c>
      <c r="V177" s="3">
        <f t="shared" si="42"/>
        <v>2004.8288360145789</v>
      </c>
      <c r="W177" s="3">
        <f t="shared" si="40"/>
        <v>7.0810189541635653</v>
      </c>
      <c r="X177" s="3">
        <v>250</v>
      </c>
      <c r="AB177" s="3">
        <f>750</f>
        <v>750</v>
      </c>
      <c r="AC177" s="3">
        <v>9.5</v>
      </c>
      <c r="AD177" s="3" t="s">
        <v>33</v>
      </c>
    </row>
    <row r="178" spans="2:30">
      <c r="B178" s="3">
        <f>($F$38)*($F$39)*($C$13/2)</f>
        <v>9.8345249999999993</v>
      </c>
      <c r="C178" s="3">
        <f t="shared" si="47"/>
        <v>330.44004000000001</v>
      </c>
      <c r="D178" s="3">
        <f t="shared" si="48"/>
        <v>765.67868601457872</v>
      </c>
      <c r="E178" s="3">
        <f t="shared" si="46"/>
        <v>2.7043631810715127</v>
      </c>
      <c r="F178" s="3">
        <f t="shared" si="49"/>
        <v>149.22911005456913</v>
      </c>
      <c r="J178" s="3">
        <f>242.324</f>
        <v>242.32400000000001</v>
      </c>
      <c r="K178" s="3"/>
      <c r="L178" s="3"/>
      <c r="T178" s="3">
        <f>($F$38)*($F$39)*($C$29/2)</f>
        <v>49.172624999999996</v>
      </c>
      <c r="U178" s="3">
        <f t="shared" si="45"/>
        <v>1652.2002</v>
      </c>
      <c r="V178" s="3">
        <f t="shared" si="42"/>
        <v>2087.4388460145788</v>
      </c>
      <c r="W178" s="3">
        <f t="shared" si="40"/>
        <v>7.3727960057030346</v>
      </c>
      <c r="X178" s="3">
        <v>250</v>
      </c>
      <c r="AB178" s="3">
        <f>750</f>
        <v>750</v>
      </c>
      <c r="AC178" s="3">
        <v>10</v>
      </c>
      <c r="AD178" s="3" t="s">
        <v>33</v>
      </c>
    </row>
    <row r="179" spans="2:30">
      <c r="B179" s="3">
        <f>($F$38)*($F$39)*($C$14/2)</f>
        <v>12.293156249999999</v>
      </c>
      <c r="C179" s="3">
        <f t="shared" si="47"/>
        <v>413.05005</v>
      </c>
      <c r="D179" s="3">
        <f t="shared" si="48"/>
        <v>848.2886960145787</v>
      </c>
      <c r="E179" s="3">
        <f t="shared" si="46"/>
        <v>2.9961402326109829</v>
      </c>
      <c r="F179" s="3">
        <f t="shared" si="49"/>
        <v>183.16723634069626</v>
      </c>
      <c r="J179" s="3">
        <f>378.632</f>
        <v>378.63200000000001</v>
      </c>
      <c r="K179" s="3"/>
      <c r="L179" s="3"/>
      <c r="T179" s="3">
        <f>($F$38)*($F$39)*($C$30/2)</f>
        <v>51.631256249999993</v>
      </c>
      <c r="U179" s="3">
        <f t="shared" si="45"/>
        <v>1734.8102099999999</v>
      </c>
      <c r="V179" s="3">
        <f t="shared" si="42"/>
        <v>2170.0488560145786</v>
      </c>
      <c r="W179" s="3">
        <f t="shared" si="40"/>
        <v>7.6645730572425048</v>
      </c>
      <c r="X179" s="3">
        <v>250</v>
      </c>
      <c r="AB179" s="3">
        <f>750</f>
        <v>750</v>
      </c>
      <c r="AC179" s="3">
        <v>10.5</v>
      </c>
      <c r="AD179" s="3" t="s">
        <v>33</v>
      </c>
    </row>
    <row r="180" spans="2:30">
      <c r="B180" s="3">
        <f>($F$38)*($F$39)*($C$15/2)</f>
        <v>14.751787499999999</v>
      </c>
      <c r="C180" s="3">
        <f t="shared" si="47"/>
        <v>495.66005999999999</v>
      </c>
      <c r="D180" s="3">
        <f t="shared" si="48"/>
        <v>930.89870601457869</v>
      </c>
      <c r="E180" s="3">
        <f t="shared" si="46"/>
        <v>3.2879172841504531</v>
      </c>
      <c r="F180" s="3">
        <f t="shared" si="49"/>
        <v>220.5795703253128</v>
      </c>
      <c r="J180" s="3">
        <f>545.23</f>
        <v>545.23</v>
      </c>
      <c r="K180" s="3"/>
      <c r="L180" s="3"/>
      <c r="T180" s="3">
        <f>($F$38)*($F$39)*($C$31/2)</f>
        <v>54.089887499999996</v>
      </c>
      <c r="U180" s="3">
        <f t="shared" si="45"/>
        <v>1817.42022</v>
      </c>
      <c r="V180" s="3">
        <f t="shared" si="42"/>
        <v>2252.6588660145785</v>
      </c>
      <c r="W180" s="3">
        <f t="shared" si="40"/>
        <v>7.9563501087819741</v>
      </c>
      <c r="X180" s="3">
        <v>250</v>
      </c>
      <c r="AB180" s="3">
        <f>750</f>
        <v>750</v>
      </c>
      <c r="AC180" s="3">
        <v>11</v>
      </c>
      <c r="AD180" s="3" t="s">
        <v>33</v>
      </c>
    </row>
    <row r="181" spans="2:30">
      <c r="B181" s="3">
        <f>($F$38)*($F$39)*($C$16/2)</f>
        <v>17.210418749999999</v>
      </c>
      <c r="C181" s="3">
        <f t="shared" si="47"/>
        <v>578.27007000000003</v>
      </c>
      <c r="D181" s="3">
        <f t="shared" si="48"/>
        <v>1013.5087160145788</v>
      </c>
      <c r="E181" s="3">
        <f t="shared" si="46"/>
        <v>3.5796943356899233</v>
      </c>
      <c r="F181" s="3">
        <f t="shared" si="49"/>
        <v>261.46611200841875</v>
      </c>
      <c r="J181" s="3">
        <f>742.119</f>
        <v>742.11900000000003</v>
      </c>
      <c r="K181" s="3"/>
      <c r="L181" s="3"/>
      <c r="T181" s="3">
        <f>($F$38)*($F$39)*($C$32/2)</f>
        <v>56.548518749999999</v>
      </c>
      <c r="U181" s="3">
        <f t="shared" si="45"/>
        <v>1900.0302300000001</v>
      </c>
      <c r="V181" s="3">
        <f t="shared" si="42"/>
        <v>2335.2688760145788</v>
      </c>
      <c r="W181" s="3">
        <f t="shared" si="40"/>
        <v>8.2481271603214452</v>
      </c>
      <c r="X181" s="3">
        <v>250</v>
      </c>
      <c r="AB181" s="3">
        <f>750</f>
        <v>750</v>
      </c>
      <c r="AC181" s="3">
        <v>11.5</v>
      </c>
      <c r="AD181" s="3" t="s">
        <v>33</v>
      </c>
    </row>
    <row r="182" spans="2:30">
      <c r="B182" s="3">
        <f>($F$38)*($F$39)*($C$17/2)</f>
        <v>19.669049999999999</v>
      </c>
      <c r="C182" s="3">
        <f t="shared" si="47"/>
        <v>660.88008000000002</v>
      </c>
      <c r="D182" s="3">
        <f t="shared" si="48"/>
        <v>1096.1187260145787</v>
      </c>
      <c r="E182" s="3">
        <f t="shared" si="46"/>
        <v>3.8714713872293931</v>
      </c>
      <c r="F182" s="3">
        <f t="shared" si="49"/>
        <v>305.82686139001396</v>
      </c>
      <c r="J182" s="3">
        <f>969.298</f>
        <v>969.298</v>
      </c>
      <c r="K182" s="3"/>
      <c r="L182" s="3"/>
      <c r="T182" s="3">
        <f>($F$38)*($F$39)*($C$33/2)</f>
        <v>59.007149999999996</v>
      </c>
      <c r="U182" s="3">
        <f t="shared" si="45"/>
        <v>1982.6402399999999</v>
      </c>
      <c r="V182" s="3">
        <f t="shared" si="42"/>
        <v>2417.8788860145787</v>
      </c>
      <c r="W182" s="3">
        <f t="shared" si="40"/>
        <v>8.5399042118609145</v>
      </c>
      <c r="X182" s="3">
        <v>250</v>
      </c>
      <c r="AB182" s="3">
        <f>750</f>
        <v>750</v>
      </c>
      <c r="AC182" s="3">
        <v>12</v>
      </c>
      <c r="AD182" s="3" t="s">
        <v>33</v>
      </c>
    </row>
    <row r="183" spans="2:30">
      <c r="B183" s="3">
        <f>($F$38)*($F$39)*($C$18/2)</f>
        <v>22.127681249999998</v>
      </c>
      <c r="C183" s="3">
        <f t="shared" si="47"/>
        <v>743.49009000000001</v>
      </c>
      <c r="D183" s="3">
        <f t="shared" si="48"/>
        <v>1178.7287360145788</v>
      </c>
      <c r="E183" s="3">
        <f t="shared" si="46"/>
        <v>4.1632484387688633</v>
      </c>
      <c r="F183" s="3">
        <f t="shared" si="49"/>
        <v>353.66181847009852</v>
      </c>
      <c r="J183" s="3">
        <f>1.227*10^3</f>
        <v>1227</v>
      </c>
      <c r="K183" s="3"/>
      <c r="L183" s="3"/>
      <c r="T183" s="3"/>
      <c r="U183" s="3"/>
      <c r="V183" s="3"/>
      <c r="W183" s="3"/>
      <c r="X183" s="3"/>
      <c r="AB183" s="29"/>
      <c r="AC183" s="4"/>
      <c r="AD183" s="30"/>
    </row>
    <row r="184" spans="2:30">
      <c r="B184" s="3">
        <f>($F$38)*($F$39)*($C$19/2)</f>
        <v>24.586312499999998</v>
      </c>
      <c r="C184" s="3">
        <f t="shared" si="47"/>
        <v>826.1001</v>
      </c>
      <c r="D184" s="3">
        <f t="shared" si="48"/>
        <v>1261.3387460145786</v>
      </c>
      <c r="E184" s="3">
        <f t="shared" si="46"/>
        <v>4.4550254903083335</v>
      </c>
      <c r="F184" s="3">
        <f t="shared" si="49"/>
        <v>404.97098324867267</v>
      </c>
      <c r="J184" s="3">
        <f>1.515*10^3</f>
        <v>1515</v>
      </c>
      <c r="K184" s="3"/>
      <c r="L184" s="3"/>
      <c r="T184" s="29"/>
      <c r="U184" s="4"/>
      <c r="V184" s="4"/>
      <c r="W184" s="4"/>
      <c r="X184" s="30"/>
      <c r="AB184" s="29"/>
      <c r="AC184" s="4"/>
      <c r="AD184" s="30"/>
    </row>
    <row r="185" spans="2:30">
      <c r="B185" s="3">
        <f>($F$38)*($F$39)*($C$20/2)</f>
        <v>27.044943749999998</v>
      </c>
      <c r="C185" s="3">
        <f t="shared" si="47"/>
        <v>908.71010999999999</v>
      </c>
      <c r="D185" s="3">
        <f t="shared" si="48"/>
        <v>1343.9487560145787</v>
      </c>
      <c r="E185" s="3">
        <f t="shared" si="46"/>
        <v>4.7468025418478037</v>
      </c>
      <c r="F185" s="3">
        <f t="shared" si="49"/>
        <v>459.75435572573605</v>
      </c>
      <c r="J185" s="3">
        <f>1.833*10^3</f>
        <v>1833</v>
      </c>
      <c r="K185" s="3">
        <v>5.5</v>
      </c>
      <c r="L185" s="3" t="s">
        <v>33</v>
      </c>
      <c r="T185" s="29" t="s">
        <v>126</v>
      </c>
      <c r="U185" s="4"/>
      <c r="V185" s="4"/>
      <c r="W185" s="4"/>
      <c r="X185" s="30"/>
      <c r="AB185" s="29" t="s">
        <v>127</v>
      </c>
      <c r="AC185" s="4"/>
      <c r="AD185" s="30"/>
    </row>
    <row r="186" spans="2:30">
      <c r="B186" s="3">
        <f>($F$38)*($F$39)*($C$21/2)</f>
        <v>29.503574999999998</v>
      </c>
      <c r="C186" s="3">
        <f t="shared" si="47"/>
        <v>991.32011999999997</v>
      </c>
      <c r="D186" s="3">
        <f t="shared" si="48"/>
        <v>1426.5587660145786</v>
      </c>
      <c r="E186" s="3">
        <f t="shared" si="46"/>
        <v>5.038579593387273</v>
      </c>
      <c r="F186" s="3">
        <f t="shared" si="49"/>
        <v>518.01193590128878</v>
      </c>
      <c r="J186" s="3">
        <f>2.181*10^3</f>
        <v>2181</v>
      </c>
      <c r="K186" s="3"/>
      <c r="L186" s="3"/>
      <c r="T186" s="45" t="s">
        <v>75</v>
      </c>
      <c r="U186" s="45" t="s">
        <v>76</v>
      </c>
      <c r="V186" s="45" t="s">
        <v>77</v>
      </c>
      <c r="W186" s="45" t="s">
        <v>78</v>
      </c>
      <c r="X186" s="45" t="s">
        <v>32</v>
      </c>
      <c r="AB186" s="45" t="s">
        <v>32</v>
      </c>
      <c r="AC186" s="3"/>
      <c r="AD186" s="3"/>
    </row>
    <row r="187" spans="2:30">
      <c r="B187" s="3">
        <f>($F$38)*($F$39)*($C$22/2)</f>
        <v>31.962206249999998</v>
      </c>
      <c r="C187" s="3">
        <f t="shared" si="47"/>
        <v>1073.93013</v>
      </c>
      <c r="D187" s="3">
        <f t="shared" si="48"/>
        <v>1509.1687760145787</v>
      </c>
      <c r="E187" s="3">
        <f t="shared" si="46"/>
        <v>5.3303566449267441</v>
      </c>
      <c r="F187" s="3">
        <f t="shared" si="49"/>
        <v>579.7437237753312</v>
      </c>
      <c r="J187" s="3">
        <f>2.56*10^3</f>
        <v>2560</v>
      </c>
      <c r="K187" s="3"/>
      <c r="L187" s="3"/>
      <c r="T187" s="3">
        <f>($F$38)*($F$39)*($C$9/2)</f>
        <v>0</v>
      </c>
      <c r="U187" s="3">
        <f>$C$46*T187</f>
        <v>0</v>
      </c>
      <c r="V187" s="3">
        <f>U187+($C$50*$C$52)</f>
        <v>435.23864601457871</v>
      </c>
      <c r="W187" s="3">
        <f t="shared" ref="W187:W211" si="50">(V187)/($C$48+((($F$40)*($C$52))*$F$14)-(($C$49+$C$50)*$F$14^2))</f>
        <v>1.4407379941603264</v>
      </c>
      <c r="X187" s="3">
        <f>($F$14*W187)*($F$14*W187*$C$52)/2</f>
        <v>29.412439464086866</v>
      </c>
      <c r="AB187" s="3">
        <v>0</v>
      </c>
      <c r="AC187" s="3">
        <v>0</v>
      </c>
      <c r="AD187" s="3" t="s">
        <v>33</v>
      </c>
    </row>
    <row r="188" spans="2:30">
      <c r="B188" s="3">
        <f>($F$38)*($F$39)*($C$23/2)</f>
        <v>34.420837499999998</v>
      </c>
      <c r="C188" s="3">
        <f>$C$46*B188</f>
        <v>1156.5401400000001</v>
      </c>
      <c r="D188" s="3">
        <f t="shared" si="48"/>
        <v>1591.7787860145788</v>
      </c>
      <c r="E188" s="3">
        <f t="shared" si="46"/>
        <v>5.6221336964662143</v>
      </c>
      <c r="F188" s="3">
        <f t="shared" si="49"/>
        <v>644.94971934786258</v>
      </c>
      <c r="J188" s="3">
        <f>2.968*10^3</f>
        <v>2968</v>
      </c>
      <c r="K188" s="3"/>
      <c r="L188" s="3"/>
      <c r="T188" s="3">
        <f>($F$38)*($F$39)*($C$10/2)</f>
        <v>2.4586312499999998</v>
      </c>
      <c r="U188" s="3">
        <f t="shared" ref="U188:U200" si="51">$C$46*T188</f>
        <v>82.610010000000003</v>
      </c>
      <c r="V188" s="3">
        <f t="shared" ref="V188:V211" si="52">U188+($C$50*$C$52)</f>
        <v>517.84865601457875</v>
      </c>
      <c r="W188" s="3">
        <f t="shared" si="50"/>
        <v>1.7141957424435015</v>
      </c>
      <c r="X188" s="3">
        <f t="shared" ref="X188:X197" si="53">($F$14*W188)*($F$14*W188*$C$52)/2</f>
        <v>41.637232164341022</v>
      </c>
      <c r="AB188" s="3">
        <f>10.356</f>
        <v>10.356</v>
      </c>
      <c r="AC188" s="3">
        <v>0.5</v>
      </c>
      <c r="AD188" s="3" t="s">
        <v>33</v>
      </c>
    </row>
    <row r="189" spans="2:30">
      <c r="B189" s="3">
        <f>($F$38)*($F$39)*($C$24/2)</f>
        <v>36.879468750000001</v>
      </c>
      <c r="C189" s="3">
        <f t="shared" ref="C189:C198" si="54">$C$46*B189</f>
        <v>1239.1501500000002</v>
      </c>
      <c r="D189" s="3">
        <f t="shared" si="48"/>
        <v>1674.3887960145789</v>
      </c>
      <c r="E189" s="3">
        <f t="shared" si="46"/>
        <v>5.9139107480056845</v>
      </c>
      <c r="F189" s="3">
        <f t="shared" si="49"/>
        <v>713.62992261888371</v>
      </c>
      <c r="J189" s="3">
        <f>3.408*10^3</f>
        <v>3408</v>
      </c>
      <c r="K189" s="3"/>
      <c r="L189" s="3"/>
      <c r="T189" s="3">
        <f>($F$38)*($F$39)*($C$11/2)</f>
        <v>4.9172624999999996</v>
      </c>
      <c r="U189" s="3">
        <f t="shared" si="51"/>
        <v>165.22002000000001</v>
      </c>
      <c r="V189" s="3">
        <f t="shared" si="52"/>
        <v>600.45866601457874</v>
      </c>
      <c r="W189" s="3">
        <f t="shared" si="50"/>
        <v>1.9876534907266763</v>
      </c>
      <c r="X189" s="3">
        <f t="shared" si="53"/>
        <v>55.98122264441205</v>
      </c>
      <c r="AB189" s="3">
        <f>41.423</f>
        <v>41.423000000000002</v>
      </c>
      <c r="AC189" s="3">
        <v>1</v>
      </c>
      <c r="AD189" s="3" t="s">
        <v>33</v>
      </c>
    </row>
    <row r="190" spans="2:30">
      <c r="B190" s="3">
        <f>($F$38)*($F$39)*($C$25/2)</f>
        <v>39.338099999999997</v>
      </c>
      <c r="C190" s="3">
        <f t="shared" si="54"/>
        <v>1321.76016</v>
      </c>
      <c r="D190" s="3">
        <f t="shared" si="48"/>
        <v>1756.9988060145788</v>
      </c>
      <c r="E190" s="3">
        <f t="shared" si="46"/>
        <v>6.2056877995451547</v>
      </c>
      <c r="F190" s="3">
        <f t="shared" si="49"/>
        <v>785.78433358839402</v>
      </c>
      <c r="J190" s="3">
        <f>3.877*10^3</f>
        <v>3877</v>
      </c>
      <c r="K190" s="3"/>
      <c r="L190" s="3"/>
      <c r="T190" s="3">
        <f>($F$38)*($F$39)*($C$12/2)</f>
        <v>7.3758937499999995</v>
      </c>
      <c r="U190" s="3">
        <f t="shared" si="51"/>
        <v>247.83002999999999</v>
      </c>
      <c r="V190" s="3">
        <f t="shared" si="52"/>
        <v>683.06867601457873</v>
      </c>
      <c r="W190" s="3">
        <f t="shared" si="50"/>
        <v>2.2611112390098511</v>
      </c>
      <c r="X190" s="3">
        <f t="shared" si="53"/>
        <v>72.444410904299943</v>
      </c>
      <c r="AB190" s="3">
        <f>93.202</f>
        <v>93.201999999999998</v>
      </c>
      <c r="AC190" s="3">
        <v>1.5</v>
      </c>
      <c r="AD190" s="3" t="s">
        <v>33</v>
      </c>
    </row>
    <row r="191" spans="2:30">
      <c r="B191" s="3">
        <f>($F$38)*($F$39)*($C$26/2)</f>
        <v>41.796731249999993</v>
      </c>
      <c r="C191" s="3">
        <f t="shared" si="54"/>
        <v>1404.3701699999999</v>
      </c>
      <c r="D191" s="3">
        <f t="shared" si="48"/>
        <v>1839.6088160145787</v>
      </c>
      <c r="E191" s="3">
        <f t="shared" si="46"/>
        <v>6.497464851084624</v>
      </c>
      <c r="F191" s="3">
        <f t="shared" si="49"/>
        <v>861.4129522563934</v>
      </c>
      <c r="J191" s="3">
        <f>4.377*10^3</f>
        <v>4377</v>
      </c>
      <c r="K191" s="3"/>
      <c r="L191" s="3"/>
      <c r="T191" s="3">
        <f>($F$38)*($F$39)*($C$13/2)</f>
        <v>9.8345249999999993</v>
      </c>
      <c r="U191" s="3">
        <f t="shared" si="51"/>
        <v>330.44004000000001</v>
      </c>
      <c r="V191" s="3">
        <f t="shared" si="52"/>
        <v>765.67868601457872</v>
      </c>
      <c r="W191" s="3">
        <f t="shared" si="50"/>
        <v>2.5345689872930257</v>
      </c>
      <c r="X191" s="3">
        <f t="shared" si="53"/>
        <v>91.026796944004701</v>
      </c>
      <c r="AB191" s="3">
        <f>165.692</f>
        <v>165.69200000000001</v>
      </c>
      <c r="AC191" s="3">
        <v>2</v>
      </c>
      <c r="AD191" s="3" t="s">
        <v>33</v>
      </c>
    </row>
    <row r="192" spans="2:30">
      <c r="B192" s="3">
        <f>($F$38)*($F$39)*($C$27/2)</f>
        <v>44.255362499999997</v>
      </c>
      <c r="C192" s="3">
        <f t="shared" si="54"/>
        <v>1486.98018</v>
      </c>
      <c r="D192" s="3">
        <f t="shared" si="48"/>
        <v>1922.2188260145788</v>
      </c>
      <c r="E192" s="3">
        <f t="shared" si="46"/>
        <v>6.7892419026240942</v>
      </c>
      <c r="F192" s="3">
        <f t="shared" si="49"/>
        <v>940.51577862288252</v>
      </c>
      <c r="J192" s="3">
        <f>4.907*10^3</f>
        <v>4907</v>
      </c>
      <c r="K192" s="3"/>
      <c r="L192" s="3"/>
      <c r="T192" s="3">
        <f>($F$38)*($F$39)*($C$14/2)</f>
        <v>12.293156249999999</v>
      </c>
      <c r="U192" s="3">
        <f t="shared" si="51"/>
        <v>413.05005</v>
      </c>
      <c r="V192" s="3">
        <f t="shared" si="52"/>
        <v>848.2886960145787</v>
      </c>
      <c r="W192" s="3">
        <f t="shared" si="50"/>
        <v>2.8080267355762007</v>
      </c>
      <c r="X192" s="3">
        <f t="shared" si="53"/>
        <v>111.72838076352632</v>
      </c>
      <c r="AB192" s="3">
        <f>258.894</f>
        <v>258.89400000000001</v>
      </c>
      <c r="AC192" s="3">
        <v>2.5</v>
      </c>
      <c r="AD192" s="3" t="s">
        <v>33</v>
      </c>
    </row>
    <row r="193" spans="2:30">
      <c r="B193" s="3">
        <f>($F$38)*($F$39)*($C$28/2)</f>
        <v>46.71399375</v>
      </c>
      <c r="C193" s="3">
        <f t="shared" si="54"/>
        <v>1569.5901900000001</v>
      </c>
      <c r="D193" s="3">
        <f t="shared" si="48"/>
        <v>2004.8288360145789</v>
      </c>
      <c r="E193" s="3">
        <f t="shared" si="46"/>
        <v>7.0810189541635653</v>
      </c>
      <c r="F193" s="3">
        <f t="shared" si="49"/>
        <v>1023.0928126878615</v>
      </c>
      <c r="J193" s="3">
        <f>5.467*10^3</f>
        <v>5467</v>
      </c>
      <c r="K193" s="3"/>
      <c r="L193" s="3"/>
      <c r="T193" s="3">
        <f>($F$38)*($F$39)*($C$15/2)</f>
        <v>14.751787499999999</v>
      </c>
      <c r="U193" s="3">
        <f t="shared" si="51"/>
        <v>495.66005999999999</v>
      </c>
      <c r="V193" s="3">
        <f t="shared" si="52"/>
        <v>930.89870601457869</v>
      </c>
      <c r="W193" s="3">
        <f t="shared" si="50"/>
        <v>3.0814844838593753</v>
      </c>
      <c r="X193" s="3">
        <f t="shared" si="53"/>
        <v>134.54916236286485</v>
      </c>
      <c r="AB193" s="3">
        <f>372.807</f>
        <v>372.80700000000002</v>
      </c>
      <c r="AC193" s="3">
        <v>3</v>
      </c>
      <c r="AD193" s="3" t="s">
        <v>33</v>
      </c>
    </row>
    <row r="194" spans="2:30">
      <c r="B194" s="3">
        <f>($F$38)*($F$39)*($C$29/2)</f>
        <v>49.172624999999996</v>
      </c>
      <c r="C194" s="3">
        <f t="shared" si="54"/>
        <v>1652.2002</v>
      </c>
      <c r="D194" s="3">
        <f t="shared" si="48"/>
        <v>2087.4388460145788</v>
      </c>
      <c r="E194" s="3">
        <f t="shared" si="46"/>
        <v>7.3727960057030346</v>
      </c>
      <c r="F194" s="3">
        <f t="shared" si="49"/>
        <v>1109.1440544513291</v>
      </c>
      <c r="J194" s="3">
        <f>6.058*10^3</f>
        <v>6058</v>
      </c>
      <c r="K194" s="3"/>
      <c r="L194" s="3"/>
      <c r="T194" s="3">
        <f>($F$38)*($F$39)*($C$16/2)</f>
        <v>17.210418749999999</v>
      </c>
      <c r="U194" s="3">
        <f t="shared" si="51"/>
        <v>578.27007000000003</v>
      </c>
      <c r="V194" s="3">
        <f t="shared" si="52"/>
        <v>1013.5087160145788</v>
      </c>
      <c r="W194" s="3">
        <f t="shared" si="50"/>
        <v>3.3549422321425508</v>
      </c>
      <c r="X194" s="3">
        <f t="shared" si="53"/>
        <v>159.48914174202028</v>
      </c>
      <c r="AB194" s="3">
        <f>507.431</f>
        <v>507.43099999999998</v>
      </c>
      <c r="AC194" s="3">
        <v>3.5</v>
      </c>
      <c r="AD194" s="3" t="s">
        <v>33</v>
      </c>
    </row>
    <row r="195" spans="2:30">
      <c r="B195" s="3">
        <f>($F$38)*($F$39)*($C$30/2)</f>
        <v>51.631256249999993</v>
      </c>
      <c r="C195" s="3">
        <f t="shared" si="54"/>
        <v>1734.8102099999999</v>
      </c>
      <c r="D195" s="3">
        <f t="shared" si="48"/>
        <v>2170.0488560145786</v>
      </c>
      <c r="E195" s="3">
        <f t="shared" si="46"/>
        <v>7.6645730572425048</v>
      </c>
      <c r="F195" s="3">
        <f t="shared" si="49"/>
        <v>1198.6695039132865</v>
      </c>
      <c r="J195" s="3">
        <f>6.679*10^3</f>
        <v>6679</v>
      </c>
      <c r="K195" s="3"/>
      <c r="L195" s="3"/>
      <c r="T195" s="3">
        <f>($F$38)*($F$39)*($C$17/2)</f>
        <v>19.669049999999999</v>
      </c>
      <c r="U195" s="3">
        <f t="shared" si="51"/>
        <v>660.88008000000002</v>
      </c>
      <c r="V195" s="3">
        <f t="shared" si="52"/>
        <v>1096.1187260145787</v>
      </c>
      <c r="W195" s="3">
        <f t="shared" si="50"/>
        <v>3.628399980425725</v>
      </c>
      <c r="X195" s="3">
        <f t="shared" si="53"/>
        <v>186.54831890099243</v>
      </c>
      <c r="AB195" s="3">
        <f>662.768</f>
        <v>662.76800000000003</v>
      </c>
      <c r="AC195" s="3">
        <v>4</v>
      </c>
      <c r="AD195" s="3" t="s">
        <v>33</v>
      </c>
    </row>
    <row r="196" spans="2:30">
      <c r="B196" s="3">
        <f>($F$38)*($F$39)*($C$31/2)</f>
        <v>54.089887499999996</v>
      </c>
      <c r="C196" s="3">
        <f t="shared" si="54"/>
        <v>1817.42022</v>
      </c>
      <c r="D196" s="3">
        <f t="shared" si="48"/>
        <v>2252.6588660145785</v>
      </c>
      <c r="E196" s="3">
        <f t="shared" si="46"/>
        <v>7.9563501087819741</v>
      </c>
      <c r="F196" s="3">
        <f t="shared" si="49"/>
        <v>1291.6691610737328</v>
      </c>
      <c r="J196" s="3">
        <f>7.33*10^3</f>
        <v>7330</v>
      </c>
      <c r="K196" s="3"/>
      <c r="L196" s="3"/>
      <c r="T196" s="3">
        <f>($F$38)*($F$39)*($C$18/2)</f>
        <v>22.127681249999998</v>
      </c>
      <c r="U196" s="3">
        <f t="shared" si="51"/>
        <v>743.49009000000001</v>
      </c>
      <c r="V196" s="3">
        <f t="shared" si="52"/>
        <v>1178.7287360145788</v>
      </c>
      <c r="W196" s="3">
        <f t="shared" si="50"/>
        <v>3.9018577287089005</v>
      </c>
      <c r="X196" s="3">
        <f t="shared" si="53"/>
        <v>215.7266938397816</v>
      </c>
      <c r="AB196" s="3">
        <f>750</f>
        <v>750</v>
      </c>
      <c r="AC196" s="3">
        <v>4.5</v>
      </c>
      <c r="AD196" s="3" t="s">
        <v>33</v>
      </c>
    </row>
    <row r="197" spans="2:30">
      <c r="B197" s="3">
        <f>($F$38)*($F$39)*($C$32/2)</f>
        <v>56.548518749999999</v>
      </c>
      <c r="C197" s="3">
        <f t="shared" si="54"/>
        <v>1900.0302300000001</v>
      </c>
      <c r="D197" s="3">
        <f t="shared" si="48"/>
        <v>2335.2688760145788</v>
      </c>
      <c r="E197" s="3">
        <f t="shared" si="46"/>
        <v>8.2481271603214452</v>
      </c>
      <c r="F197" s="3">
        <f t="shared" si="49"/>
        <v>1388.1430259326689</v>
      </c>
      <c r="J197" s="3">
        <f>8.012*10^3</f>
        <v>8012</v>
      </c>
      <c r="K197" s="3"/>
      <c r="L197" s="3"/>
      <c r="T197" s="3">
        <f>($F$38)*($F$39)*($C$19/2)</f>
        <v>24.586312499999998</v>
      </c>
      <c r="U197" s="3">
        <f t="shared" si="51"/>
        <v>826.1001</v>
      </c>
      <c r="V197" s="3">
        <f t="shared" si="52"/>
        <v>1261.3387460145786</v>
      </c>
      <c r="W197" s="3">
        <f t="shared" si="50"/>
        <v>4.1753154769920746</v>
      </c>
      <c r="X197" s="3">
        <f t="shared" si="53"/>
        <v>247.02426655838755</v>
      </c>
      <c r="AB197" s="3">
        <f>750</f>
        <v>750</v>
      </c>
      <c r="AC197" s="3">
        <v>5</v>
      </c>
      <c r="AD197" s="3" t="s">
        <v>33</v>
      </c>
    </row>
    <row r="198" spans="2:30">
      <c r="B198" s="3">
        <f>($F$38)*($F$39)*($C$33/2)</f>
        <v>59.007149999999996</v>
      </c>
      <c r="C198" s="3">
        <f t="shared" si="54"/>
        <v>1982.6402399999999</v>
      </c>
      <c r="D198" s="3">
        <f t="shared" si="48"/>
        <v>2417.8788860145787</v>
      </c>
      <c r="E198" s="3">
        <f t="shared" si="46"/>
        <v>8.5399042118609145</v>
      </c>
      <c r="F198" s="3">
        <f t="shared" si="49"/>
        <v>1488.0910984900941</v>
      </c>
      <c r="J198" s="3">
        <f>8.724*10^3</f>
        <v>8724</v>
      </c>
      <c r="K198" s="3"/>
      <c r="L198" s="3"/>
      <c r="T198" s="3">
        <f>($F$38)*($F$39)*($C$20/2)</f>
        <v>27.044943749999998</v>
      </c>
      <c r="U198" s="3">
        <f t="shared" si="51"/>
        <v>908.71010999999999</v>
      </c>
      <c r="V198" s="3">
        <f t="shared" si="52"/>
        <v>1343.9487560145787</v>
      </c>
      <c r="W198" s="3">
        <f t="shared" si="50"/>
        <v>4.4487732252752501</v>
      </c>
      <c r="X198" s="3">
        <v>250</v>
      </c>
      <c r="AB198" s="3">
        <f>750</f>
        <v>750</v>
      </c>
      <c r="AC198" s="3">
        <v>5.5</v>
      </c>
      <c r="AD198" s="3" t="s">
        <v>33</v>
      </c>
    </row>
    <row r="199" spans="2:30">
      <c r="B199" s="3">
        <f>($F$38)*($F$39)*($C$34/2)</f>
        <v>0</v>
      </c>
      <c r="C199" s="3">
        <f>$C$46*B199</f>
        <v>0</v>
      </c>
      <c r="D199" s="3">
        <f t="shared" si="48"/>
        <v>435.23864601457871</v>
      </c>
      <c r="E199" s="3">
        <f t="shared" si="46"/>
        <v>1.5372549749136324</v>
      </c>
      <c r="F199" s="3">
        <f t="shared" si="49"/>
        <v>48.218681894954429</v>
      </c>
      <c r="J199" s="29"/>
      <c r="K199" s="4"/>
      <c r="L199" s="30"/>
      <c r="T199" s="3">
        <f>($F$38)*($F$39)*($C$21/2)</f>
        <v>29.503574999999998</v>
      </c>
      <c r="U199" s="3">
        <f t="shared" si="51"/>
        <v>991.32011999999997</v>
      </c>
      <c r="V199" s="3">
        <f t="shared" si="52"/>
        <v>1426.5587660145786</v>
      </c>
      <c r="W199" s="3">
        <f t="shared" si="50"/>
        <v>4.7222309735584247</v>
      </c>
      <c r="X199" s="3">
        <v>250</v>
      </c>
      <c r="AB199" s="3">
        <f>750</f>
        <v>750</v>
      </c>
      <c r="AC199" s="3">
        <v>6</v>
      </c>
      <c r="AD199" s="3" t="s">
        <v>33</v>
      </c>
    </row>
    <row r="200" spans="2:30">
      <c r="B200" s="29"/>
      <c r="C200" s="4"/>
      <c r="D200" s="4"/>
      <c r="E200" s="4"/>
      <c r="F200" s="30"/>
      <c r="J200" s="29"/>
      <c r="K200" s="4"/>
      <c r="L200" s="30"/>
      <c r="T200" s="3">
        <f>($F$38)*($F$39)*($C$22/2)</f>
        <v>31.962206249999998</v>
      </c>
      <c r="U200" s="3">
        <f t="shared" si="51"/>
        <v>1073.93013</v>
      </c>
      <c r="V200" s="3">
        <f t="shared" si="52"/>
        <v>1509.1687760145787</v>
      </c>
      <c r="W200" s="3">
        <f t="shared" si="50"/>
        <v>4.9956887218415993</v>
      </c>
      <c r="X200" s="3">
        <v>250</v>
      </c>
      <c r="AB200" s="3">
        <f>750</f>
        <v>750</v>
      </c>
      <c r="AC200" s="3">
        <v>6.5</v>
      </c>
      <c r="AD200" s="3" t="s">
        <v>33</v>
      </c>
    </row>
    <row r="201" spans="2:30">
      <c r="B201" s="29" t="s">
        <v>126</v>
      </c>
      <c r="C201" s="4"/>
      <c r="D201" s="4"/>
      <c r="E201" s="4"/>
      <c r="F201" s="30"/>
      <c r="J201" s="29" t="s">
        <v>127</v>
      </c>
      <c r="K201" s="4"/>
      <c r="L201" s="30"/>
      <c r="T201" s="3">
        <f>($F$38)*($F$39)*($C$23/2)</f>
        <v>34.420837499999998</v>
      </c>
      <c r="U201" s="3">
        <f>$C$46*T201</f>
        <v>1156.5401400000001</v>
      </c>
      <c r="V201" s="3">
        <f t="shared" si="52"/>
        <v>1591.7787860145788</v>
      </c>
      <c r="W201" s="3">
        <f t="shared" si="50"/>
        <v>5.2691464701247748</v>
      </c>
      <c r="X201" s="3">
        <v>250</v>
      </c>
      <c r="AB201" s="3">
        <f>750</f>
        <v>750</v>
      </c>
      <c r="AC201" s="3">
        <v>7</v>
      </c>
      <c r="AD201" s="3" t="s">
        <v>33</v>
      </c>
    </row>
    <row r="202" spans="2:30">
      <c r="B202" s="45" t="s">
        <v>75</v>
      </c>
      <c r="C202" s="45" t="s">
        <v>76</v>
      </c>
      <c r="D202" s="45" t="s">
        <v>77</v>
      </c>
      <c r="E202" s="45" t="s">
        <v>78</v>
      </c>
      <c r="F202" s="45" t="s">
        <v>32</v>
      </c>
      <c r="J202" s="45" t="s">
        <v>32</v>
      </c>
      <c r="K202" s="3"/>
      <c r="L202" s="3"/>
      <c r="T202" s="3">
        <f>($F$38)*($F$39)*($C$24/2)</f>
        <v>36.879468750000001</v>
      </c>
      <c r="U202" s="3">
        <f t="shared" ref="U202:U211" si="55">$C$46*T202</f>
        <v>1239.1501500000002</v>
      </c>
      <c r="V202" s="3">
        <f t="shared" si="52"/>
        <v>1674.3887960145789</v>
      </c>
      <c r="W202" s="3">
        <f t="shared" si="50"/>
        <v>5.5426042184079503</v>
      </c>
      <c r="X202" s="3">
        <v>250</v>
      </c>
      <c r="AB202" s="3">
        <f>750</f>
        <v>750</v>
      </c>
      <c r="AC202" s="3">
        <v>7.5</v>
      </c>
      <c r="AD202" s="3" t="s">
        <v>33</v>
      </c>
    </row>
    <row r="203" spans="2:30">
      <c r="B203" s="3">
        <f>($F$38)*($F$39)*($C$9/2)</f>
        <v>0</v>
      </c>
      <c r="C203" s="3">
        <f>$C$46*B203</f>
        <v>0</v>
      </c>
      <c r="D203" s="3">
        <f>C203+($C$50*$C$52)</f>
        <v>435.23864601457871</v>
      </c>
      <c r="E203" s="3">
        <f t="shared" ref="E203:E228" si="56">(D203)/($C$48+((($F$40)*($C$52))*$F$14)-(($C$49+$C$50)*$F$14^2))</f>
        <v>1.4407379941603264</v>
      </c>
      <c r="F203" s="3">
        <f>($F$14*E203)*($F$14*E203*$C$52)/2</f>
        <v>29.412439464086866</v>
      </c>
      <c r="J203" s="3">
        <v>0</v>
      </c>
      <c r="K203" s="3"/>
      <c r="L203" s="3"/>
      <c r="T203" s="3">
        <f>($F$38)*($F$39)*($C$25/2)</f>
        <v>39.338099999999997</v>
      </c>
      <c r="U203" s="3">
        <f t="shared" si="55"/>
        <v>1321.76016</v>
      </c>
      <c r="V203" s="3">
        <f t="shared" si="52"/>
        <v>1756.9988060145788</v>
      </c>
      <c r="W203" s="3">
        <f t="shared" si="50"/>
        <v>5.816061966691124</v>
      </c>
      <c r="X203" s="3">
        <v>250</v>
      </c>
      <c r="AB203" s="3">
        <f>750</f>
        <v>750</v>
      </c>
      <c r="AC203" s="3">
        <v>8</v>
      </c>
      <c r="AD203" s="3" t="s">
        <v>33</v>
      </c>
    </row>
    <row r="204" spans="2:30">
      <c r="B204" s="3">
        <f>($F$38)*($F$39)*($C$10/2)</f>
        <v>2.4586312499999998</v>
      </c>
      <c r="C204" s="3">
        <f t="shared" ref="C204:C216" si="57">$C$46*B204</f>
        <v>82.610010000000003</v>
      </c>
      <c r="D204" s="3">
        <f t="shared" ref="D204:D228" si="58">C204+($C$50*$C$52)</f>
        <v>517.84865601457875</v>
      </c>
      <c r="E204" s="3">
        <f t="shared" si="56"/>
        <v>1.7141957424435015</v>
      </c>
      <c r="F204" s="3">
        <f t="shared" ref="F204:F228" si="59">($F$14*E204)*($F$14*E204*$C$52)/2</f>
        <v>41.637232164341022</v>
      </c>
      <c r="J204" s="3">
        <f>10.356</f>
        <v>10.356</v>
      </c>
      <c r="K204" s="3"/>
      <c r="L204" s="3"/>
      <c r="T204" s="3">
        <f>($F$38)*($F$39)*($C$26/2)</f>
        <v>41.796731249999993</v>
      </c>
      <c r="U204" s="3">
        <f t="shared" si="55"/>
        <v>1404.3701699999999</v>
      </c>
      <c r="V204" s="3">
        <f t="shared" si="52"/>
        <v>1839.6088160145787</v>
      </c>
      <c r="W204" s="3">
        <f t="shared" si="50"/>
        <v>6.0895197149742986</v>
      </c>
      <c r="X204" s="3">
        <v>250</v>
      </c>
      <c r="AB204" s="3">
        <f>750</f>
        <v>750</v>
      </c>
      <c r="AC204" s="3">
        <v>8.5</v>
      </c>
      <c r="AD204" s="3" t="s">
        <v>33</v>
      </c>
    </row>
    <row r="205" spans="2:30">
      <c r="B205" s="3">
        <f>($F$38)*($F$39)*($C$11/2)</f>
        <v>4.9172624999999996</v>
      </c>
      <c r="C205" s="3">
        <f t="shared" si="57"/>
        <v>165.22002000000001</v>
      </c>
      <c r="D205" s="3">
        <f t="shared" si="58"/>
        <v>600.45866601457874</v>
      </c>
      <c r="E205" s="3">
        <f t="shared" si="56"/>
        <v>1.9876534907266763</v>
      </c>
      <c r="F205" s="3">
        <f t="shared" si="59"/>
        <v>55.98122264441205</v>
      </c>
      <c r="J205" s="3">
        <f>41.423</f>
        <v>41.423000000000002</v>
      </c>
      <c r="K205" s="3"/>
      <c r="L205" s="3"/>
      <c r="T205" s="3">
        <f>($F$38)*($F$39)*($C$27/2)</f>
        <v>44.255362499999997</v>
      </c>
      <c r="U205" s="3">
        <f t="shared" si="55"/>
        <v>1486.98018</v>
      </c>
      <c r="V205" s="3">
        <f t="shared" si="52"/>
        <v>1922.2188260145788</v>
      </c>
      <c r="W205" s="3">
        <f t="shared" si="50"/>
        <v>6.362977463257474</v>
      </c>
      <c r="X205" s="3">
        <v>250</v>
      </c>
      <c r="AB205" s="3">
        <f>750</f>
        <v>750</v>
      </c>
      <c r="AC205" s="3">
        <v>9</v>
      </c>
      <c r="AD205" s="3" t="s">
        <v>33</v>
      </c>
    </row>
    <row r="206" spans="2:30">
      <c r="B206" s="3">
        <f>($F$38)*($F$39)*($C$12/2)</f>
        <v>7.3758937499999995</v>
      </c>
      <c r="C206" s="3">
        <f t="shared" si="57"/>
        <v>247.83002999999999</v>
      </c>
      <c r="D206" s="3">
        <f t="shared" si="58"/>
        <v>683.06867601457873</v>
      </c>
      <c r="E206" s="3">
        <f t="shared" si="56"/>
        <v>2.2611112390098511</v>
      </c>
      <c r="F206" s="3">
        <f t="shared" si="59"/>
        <v>72.444410904299943</v>
      </c>
      <c r="J206" s="3">
        <f>93.202</f>
        <v>93.201999999999998</v>
      </c>
      <c r="K206" s="3"/>
      <c r="L206" s="3"/>
      <c r="T206" s="3">
        <f>($F$38)*($F$39)*($C$28/2)</f>
        <v>46.71399375</v>
      </c>
      <c r="U206" s="3">
        <f t="shared" si="55"/>
        <v>1569.5901900000001</v>
      </c>
      <c r="V206" s="3">
        <f t="shared" si="52"/>
        <v>2004.8288360145789</v>
      </c>
      <c r="W206" s="3">
        <f t="shared" si="50"/>
        <v>6.6364352115406495</v>
      </c>
      <c r="X206" s="3">
        <v>250</v>
      </c>
      <c r="AB206" s="3">
        <f>750</f>
        <v>750</v>
      </c>
      <c r="AC206" s="3">
        <v>9.5</v>
      </c>
      <c r="AD206" s="3" t="s">
        <v>33</v>
      </c>
    </row>
    <row r="207" spans="2:30">
      <c r="B207" s="3">
        <f>($F$38)*($F$39)*($C$13/2)</f>
        <v>9.8345249999999993</v>
      </c>
      <c r="C207" s="3">
        <f t="shared" si="57"/>
        <v>330.44004000000001</v>
      </c>
      <c r="D207" s="3">
        <f t="shared" si="58"/>
        <v>765.67868601457872</v>
      </c>
      <c r="E207" s="3">
        <f t="shared" si="56"/>
        <v>2.5345689872930257</v>
      </c>
      <c r="F207" s="3">
        <f t="shared" si="59"/>
        <v>91.026796944004701</v>
      </c>
      <c r="J207" s="3">
        <f>165.692</f>
        <v>165.69200000000001</v>
      </c>
      <c r="K207" s="3"/>
      <c r="L207" s="3"/>
      <c r="T207" s="3">
        <f>($F$38)*($F$39)*($C$29/2)</f>
        <v>49.172624999999996</v>
      </c>
      <c r="U207" s="3">
        <f t="shared" si="55"/>
        <v>1652.2002</v>
      </c>
      <c r="V207" s="3">
        <f t="shared" si="52"/>
        <v>2087.4388460145788</v>
      </c>
      <c r="W207" s="3">
        <f t="shared" si="50"/>
        <v>6.9098929598238232</v>
      </c>
      <c r="X207" s="3">
        <v>250</v>
      </c>
      <c r="AB207" s="3">
        <f>750</f>
        <v>750</v>
      </c>
      <c r="AC207" s="3">
        <v>10</v>
      </c>
      <c r="AD207" s="3" t="s">
        <v>33</v>
      </c>
    </row>
    <row r="208" spans="2:30">
      <c r="B208" s="3">
        <f>($F$38)*($F$39)*($C$14/2)</f>
        <v>12.293156249999999</v>
      </c>
      <c r="C208" s="3">
        <f t="shared" si="57"/>
        <v>413.05005</v>
      </c>
      <c r="D208" s="3">
        <f t="shared" si="58"/>
        <v>848.2886960145787</v>
      </c>
      <c r="E208" s="3">
        <f t="shared" si="56"/>
        <v>2.8080267355762007</v>
      </c>
      <c r="F208" s="3">
        <f t="shared" si="59"/>
        <v>111.72838076352632</v>
      </c>
      <c r="J208" s="3">
        <f>258.894</f>
        <v>258.89400000000001</v>
      </c>
      <c r="K208" s="3"/>
      <c r="L208" s="3"/>
      <c r="T208" s="3">
        <f>($F$38)*($F$39)*($C$30/2)</f>
        <v>51.631256249999993</v>
      </c>
      <c r="U208" s="3">
        <f t="shared" si="55"/>
        <v>1734.8102099999999</v>
      </c>
      <c r="V208" s="3">
        <f t="shared" si="52"/>
        <v>2170.0488560145786</v>
      </c>
      <c r="W208" s="3">
        <f t="shared" si="50"/>
        <v>7.1833507081069978</v>
      </c>
      <c r="X208" s="3">
        <v>250</v>
      </c>
      <c r="AB208" s="3">
        <f>750</f>
        <v>750</v>
      </c>
      <c r="AC208" s="3">
        <v>10.5</v>
      </c>
      <c r="AD208" s="3" t="s">
        <v>33</v>
      </c>
    </row>
    <row r="209" spans="2:30">
      <c r="B209" s="3">
        <f>($F$38)*($F$39)*($C$15/2)</f>
        <v>14.751787499999999</v>
      </c>
      <c r="C209" s="3">
        <f t="shared" si="57"/>
        <v>495.66005999999999</v>
      </c>
      <c r="D209" s="3">
        <f t="shared" si="58"/>
        <v>930.89870601457869</v>
      </c>
      <c r="E209" s="3">
        <f t="shared" si="56"/>
        <v>3.0814844838593753</v>
      </c>
      <c r="F209" s="3">
        <f t="shared" si="59"/>
        <v>134.54916236286485</v>
      </c>
      <c r="J209" s="3">
        <f>372.807</f>
        <v>372.80700000000002</v>
      </c>
      <c r="K209" s="3"/>
      <c r="L209" s="3"/>
      <c r="T209" s="3">
        <f>($F$38)*($F$39)*($C$31/2)</f>
        <v>54.089887499999996</v>
      </c>
      <c r="U209" s="3">
        <f t="shared" si="55"/>
        <v>1817.42022</v>
      </c>
      <c r="V209" s="3">
        <f t="shared" si="52"/>
        <v>2252.6588660145785</v>
      </c>
      <c r="W209" s="3">
        <f t="shared" si="50"/>
        <v>7.4568084563901724</v>
      </c>
      <c r="X209" s="3">
        <v>250</v>
      </c>
      <c r="AB209" s="3">
        <f>750</f>
        <v>750</v>
      </c>
      <c r="AC209" s="3">
        <v>11</v>
      </c>
      <c r="AD209" s="3" t="s">
        <v>33</v>
      </c>
    </row>
    <row r="210" spans="2:30">
      <c r="B210" s="3">
        <f>($F$38)*($F$39)*($C$16/2)</f>
        <v>17.210418749999999</v>
      </c>
      <c r="C210" s="3">
        <f t="shared" si="57"/>
        <v>578.27007000000003</v>
      </c>
      <c r="D210" s="3">
        <f t="shared" si="58"/>
        <v>1013.5087160145788</v>
      </c>
      <c r="E210" s="3">
        <f t="shared" si="56"/>
        <v>3.3549422321425508</v>
      </c>
      <c r="F210" s="3">
        <f t="shared" si="59"/>
        <v>159.48914174202028</v>
      </c>
      <c r="J210" s="3">
        <f>507.431</f>
        <v>507.43099999999998</v>
      </c>
      <c r="K210" s="3"/>
      <c r="L210" s="3"/>
      <c r="T210" s="3">
        <f>($F$38)*($F$39)*($C$32/2)</f>
        <v>56.548518749999999</v>
      </c>
      <c r="U210" s="3">
        <f t="shared" si="55"/>
        <v>1900.0302300000001</v>
      </c>
      <c r="V210" s="3">
        <f t="shared" si="52"/>
        <v>2335.2688760145788</v>
      </c>
      <c r="W210" s="3">
        <f t="shared" si="50"/>
        <v>7.7302662046733479</v>
      </c>
      <c r="X210" s="3">
        <v>250</v>
      </c>
      <c r="AB210" s="3">
        <f>750</f>
        <v>750</v>
      </c>
      <c r="AC210" s="3">
        <v>11.5</v>
      </c>
      <c r="AD210" s="3" t="s">
        <v>33</v>
      </c>
    </row>
    <row r="211" spans="2:30">
      <c r="B211" s="3">
        <f>($F$38)*($F$39)*($C$17/2)</f>
        <v>19.669049999999999</v>
      </c>
      <c r="C211" s="3">
        <f t="shared" si="57"/>
        <v>660.88008000000002</v>
      </c>
      <c r="D211" s="3">
        <f t="shared" si="58"/>
        <v>1096.1187260145787</v>
      </c>
      <c r="E211" s="3">
        <f t="shared" si="56"/>
        <v>3.628399980425725</v>
      </c>
      <c r="F211" s="3">
        <f t="shared" si="59"/>
        <v>186.54831890099243</v>
      </c>
      <c r="J211" s="3">
        <f>662.768</f>
        <v>662.76800000000003</v>
      </c>
      <c r="K211" s="3"/>
      <c r="L211" s="3"/>
      <c r="T211" s="3">
        <f>($F$38)*($F$39)*($C$33/2)</f>
        <v>59.007149999999996</v>
      </c>
      <c r="U211" s="3">
        <f t="shared" si="55"/>
        <v>1982.6402399999999</v>
      </c>
      <c r="V211" s="3">
        <f t="shared" si="52"/>
        <v>2417.8788860145787</v>
      </c>
      <c r="W211" s="3">
        <f t="shared" si="50"/>
        <v>8.0037239529565234</v>
      </c>
      <c r="X211" s="3">
        <v>250</v>
      </c>
      <c r="AB211" s="3">
        <f>750</f>
        <v>750</v>
      </c>
      <c r="AC211" s="3">
        <v>12</v>
      </c>
      <c r="AD211" s="3" t="s">
        <v>33</v>
      </c>
    </row>
    <row r="212" spans="2:30">
      <c r="B212" s="3">
        <f>($F$38)*($F$39)*($C$18/2)</f>
        <v>22.127681249999998</v>
      </c>
      <c r="C212" s="3">
        <f t="shared" si="57"/>
        <v>743.49009000000001</v>
      </c>
      <c r="D212" s="3">
        <f t="shared" si="58"/>
        <v>1178.7287360145788</v>
      </c>
      <c r="E212" s="3">
        <f t="shared" si="56"/>
        <v>3.9018577287089005</v>
      </c>
      <c r="F212" s="3">
        <f t="shared" si="59"/>
        <v>215.7266938397816</v>
      </c>
      <c r="J212" s="3">
        <f>838.815</f>
        <v>838.81500000000005</v>
      </c>
      <c r="K212" s="3"/>
      <c r="L212" s="3"/>
      <c r="T212" s="3"/>
      <c r="U212" s="3"/>
      <c r="V212" s="3"/>
      <c r="W212" s="3"/>
      <c r="X212" s="3"/>
      <c r="AB212" s="29"/>
      <c r="AC212" s="4"/>
      <c r="AD212" s="30"/>
    </row>
    <row r="213" spans="2:30">
      <c r="B213" s="3">
        <f>($F$38)*($F$39)*($C$19/2)</f>
        <v>24.586312499999998</v>
      </c>
      <c r="C213" s="3">
        <f t="shared" si="57"/>
        <v>826.1001</v>
      </c>
      <c r="D213" s="3">
        <f t="shared" si="58"/>
        <v>1261.3387460145786</v>
      </c>
      <c r="E213" s="3">
        <f t="shared" si="56"/>
        <v>4.1753154769920746</v>
      </c>
      <c r="F213" s="3">
        <f t="shared" si="59"/>
        <v>247.02426655838755</v>
      </c>
      <c r="J213" s="3">
        <f>1.036*10^3</f>
        <v>1036</v>
      </c>
      <c r="K213" s="3"/>
      <c r="L213" s="3"/>
      <c r="T213" s="29"/>
      <c r="U213" s="4"/>
      <c r="V213" s="4"/>
      <c r="W213" s="4"/>
      <c r="X213" s="30"/>
      <c r="AB213" s="29"/>
      <c r="AC213" s="4"/>
      <c r="AD213" s="30"/>
    </row>
    <row r="214" spans="2:30">
      <c r="B214" s="3">
        <f>($F$38)*($F$39)*($C$20/2)</f>
        <v>27.044943749999998</v>
      </c>
      <c r="C214" s="3">
        <f t="shared" si="57"/>
        <v>908.71010999999999</v>
      </c>
      <c r="D214" s="3">
        <f t="shared" si="58"/>
        <v>1343.9487560145787</v>
      </c>
      <c r="E214" s="3">
        <f t="shared" si="56"/>
        <v>4.4487732252752501</v>
      </c>
      <c r="F214" s="3">
        <f t="shared" si="59"/>
        <v>280.44103705681056</v>
      </c>
      <c r="J214" s="3">
        <f>1.253*10^3</f>
        <v>1253</v>
      </c>
      <c r="K214" s="3">
        <v>5.5</v>
      </c>
      <c r="L214" s="3" t="s">
        <v>33</v>
      </c>
      <c r="T214" s="29" t="s">
        <v>128</v>
      </c>
      <c r="U214" s="4"/>
      <c r="V214" s="4"/>
      <c r="W214" s="4"/>
      <c r="X214" s="30"/>
      <c r="AB214" s="29" t="s">
        <v>129</v>
      </c>
      <c r="AC214" s="4"/>
      <c r="AD214" s="30"/>
    </row>
    <row r="215" spans="2:30">
      <c r="B215" s="3">
        <f>($F$38)*($F$39)*($C$21/2)</f>
        <v>29.503574999999998</v>
      </c>
      <c r="C215" s="3">
        <f t="shared" si="57"/>
        <v>991.32011999999997</v>
      </c>
      <c r="D215" s="3">
        <f t="shared" si="58"/>
        <v>1426.5587660145786</v>
      </c>
      <c r="E215" s="3">
        <f t="shared" si="56"/>
        <v>4.7222309735584247</v>
      </c>
      <c r="F215" s="3">
        <f t="shared" si="59"/>
        <v>315.97700533505025</v>
      </c>
      <c r="J215" s="3">
        <f>1.491*10^3</f>
        <v>1491</v>
      </c>
      <c r="K215" s="3"/>
      <c r="L215" s="3"/>
      <c r="T215" s="45" t="s">
        <v>75</v>
      </c>
      <c r="U215" s="45" t="s">
        <v>76</v>
      </c>
      <c r="V215" s="45" t="s">
        <v>77</v>
      </c>
      <c r="W215" s="45" t="s">
        <v>78</v>
      </c>
      <c r="X215" s="45" t="s">
        <v>32</v>
      </c>
      <c r="AB215" s="45" t="s">
        <v>32</v>
      </c>
      <c r="AC215" s="3"/>
      <c r="AD215" s="3"/>
    </row>
    <row r="216" spans="2:30">
      <c r="B216" s="3">
        <f>($F$38)*($F$39)*($C$22/2)</f>
        <v>31.962206249999998</v>
      </c>
      <c r="C216" s="3">
        <f t="shared" si="57"/>
        <v>1073.93013</v>
      </c>
      <c r="D216" s="3">
        <f t="shared" si="58"/>
        <v>1509.1687760145787</v>
      </c>
      <c r="E216" s="3">
        <f t="shared" si="56"/>
        <v>4.9956887218415993</v>
      </c>
      <c r="F216" s="3">
        <f t="shared" si="59"/>
        <v>353.63217139310677</v>
      </c>
      <c r="J216" s="3">
        <f>1.75*10^3</f>
        <v>1750</v>
      </c>
      <c r="K216" s="3"/>
      <c r="L216" s="3"/>
      <c r="T216" s="3">
        <f>($F$38)*($F$39)*($C$9/2)</f>
        <v>0</v>
      </c>
      <c r="U216" s="3">
        <f>$C$46*T216</f>
        <v>0</v>
      </c>
      <c r="V216" s="3">
        <f>U216+($C$50*$C$52)</f>
        <v>435.23864601457871</v>
      </c>
      <c r="W216" s="3">
        <f t="shared" ref="W216:W240" si="60">(V216)/($C$48+((($F$40)*($C$52))*$F$15)-(($C$49+$C$50)*$F$15^2))</f>
        <v>1.3908574757177841</v>
      </c>
      <c r="X216" s="3">
        <f>($F$15*W216)*($F$15*W216*$C$52)/2</f>
        <v>20.138759098733853</v>
      </c>
      <c r="AB216" s="3">
        <v>0</v>
      </c>
      <c r="AC216" s="3">
        <v>0</v>
      </c>
      <c r="AD216" s="3" t="s">
        <v>33</v>
      </c>
    </row>
    <row r="217" spans="2:30">
      <c r="B217" s="3">
        <f>($F$38)*($F$39)*($C$23/2)</f>
        <v>34.420837499999998</v>
      </c>
      <c r="C217" s="3">
        <f>$C$46*B217</f>
        <v>1156.5401400000001</v>
      </c>
      <c r="D217" s="3">
        <f t="shared" si="58"/>
        <v>1591.7787860145788</v>
      </c>
      <c r="E217" s="3">
        <f t="shared" si="56"/>
        <v>5.2691464701247748</v>
      </c>
      <c r="F217" s="3">
        <f t="shared" si="59"/>
        <v>393.40653523098047</v>
      </c>
      <c r="J217" s="3">
        <f>2.03*10^3</f>
        <v>2029.9999999999998</v>
      </c>
      <c r="K217" s="3"/>
      <c r="L217" s="3"/>
      <c r="T217" s="3">
        <f>($F$38)*($F$39)*($C$10/2)</f>
        <v>2.4586312499999998</v>
      </c>
      <c r="U217" s="3">
        <f t="shared" ref="U217:U229" si="61">$C$46*T217</f>
        <v>82.610010000000003</v>
      </c>
      <c r="V217" s="3">
        <f t="shared" ref="V217:V240" si="62">U217+($C$50*$C$52)</f>
        <v>517.84865601457875</v>
      </c>
      <c r="W217" s="3">
        <f t="shared" si="60"/>
        <v>1.6548477050545702</v>
      </c>
      <c r="X217" s="3">
        <f t="shared" ref="X217:X229" si="63">($F$15*W217)*($F$15*W217*$C$52)/2</f>
        <v>28.509100345776062</v>
      </c>
      <c r="AB217" s="3">
        <f>4.061</f>
        <v>4.0609999999999999</v>
      </c>
      <c r="AC217" s="3">
        <v>0.5</v>
      </c>
      <c r="AD217" s="3" t="s">
        <v>33</v>
      </c>
    </row>
    <row r="218" spans="2:30">
      <c r="B218" s="3">
        <f>($F$38)*($F$39)*($C$24/2)</f>
        <v>36.879468750000001</v>
      </c>
      <c r="C218" s="3">
        <f t="shared" ref="C218:C227" si="64">$C$46*B218</f>
        <v>1239.1501500000002</v>
      </c>
      <c r="D218" s="3">
        <f t="shared" si="58"/>
        <v>1674.3887960145789</v>
      </c>
      <c r="E218" s="3">
        <f t="shared" si="56"/>
        <v>5.5426042184079503</v>
      </c>
      <c r="F218" s="3">
        <f t="shared" si="59"/>
        <v>435.30009684867088</v>
      </c>
      <c r="J218" s="3">
        <f>2.33*10^3</f>
        <v>2330</v>
      </c>
      <c r="K218" s="3"/>
      <c r="L218" s="3"/>
      <c r="T218" s="3">
        <f>($F$38)*($F$39)*($C$11/2)</f>
        <v>4.9172624999999996</v>
      </c>
      <c r="U218" s="3">
        <f t="shared" si="61"/>
        <v>165.22002000000001</v>
      </c>
      <c r="V218" s="3">
        <f t="shared" si="62"/>
        <v>600.45866601457874</v>
      </c>
      <c r="W218" s="3">
        <f t="shared" si="60"/>
        <v>1.9188379343913564</v>
      </c>
      <c r="X218" s="3">
        <f t="shared" si="63"/>
        <v>38.330460765247494</v>
      </c>
      <c r="AB218" s="3">
        <f>16.242</f>
        <v>16.242000000000001</v>
      </c>
      <c r="AC218" s="3">
        <v>1</v>
      </c>
      <c r="AD218" s="3" t="s">
        <v>33</v>
      </c>
    </row>
    <row r="219" spans="2:30">
      <c r="B219" s="3">
        <f>($F$38)*($F$39)*($C$25/2)</f>
        <v>39.338099999999997</v>
      </c>
      <c r="C219" s="3">
        <f t="shared" si="64"/>
        <v>1321.76016</v>
      </c>
      <c r="D219" s="3">
        <f t="shared" si="58"/>
        <v>1756.9988060145788</v>
      </c>
      <c r="E219" s="3">
        <f t="shared" si="56"/>
        <v>5.816061966691124</v>
      </c>
      <c r="F219" s="3">
        <f t="shared" si="59"/>
        <v>479.31285624617794</v>
      </c>
      <c r="J219" s="3">
        <f>2.651*10^3</f>
        <v>2651</v>
      </c>
      <c r="K219" s="3"/>
      <c r="L219" s="3"/>
      <c r="T219" s="3">
        <f>($F$38)*($F$39)*($C$12/2)</f>
        <v>7.3758937499999995</v>
      </c>
      <c r="U219" s="3">
        <f t="shared" si="61"/>
        <v>247.83002999999999</v>
      </c>
      <c r="V219" s="3">
        <f t="shared" si="62"/>
        <v>683.06867601457873</v>
      </c>
      <c r="W219" s="3">
        <f t="shared" si="60"/>
        <v>2.1828281637281424</v>
      </c>
      <c r="X219" s="3">
        <f t="shared" si="63"/>
        <v>49.602840357148111</v>
      </c>
      <c r="AB219" s="3">
        <f>36.545</f>
        <v>36.545000000000002</v>
      </c>
      <c r="AC219" s="3">
        <v>1.5</v>
      </c>
      <c r="AD219" s="3" t="s">
        <v>33</v>
      </c>
    </row>
    <row r="220" spans="2:30">
      <c r="B220" s="3">
        <f>($F$38)*($F$39)*($C$26/2)</f>
        <v>41.796731249999993</v>
      </c>
      <c r="C220" s="3">
        <f t="shared" si="64"/>
        <v>1404.3701699999999</v>
      </c>
      <c r="D220" s="3">
        <f t="shared" si="58"/>
        <v>1839.6088160145787</v>
      </c>
      <c r="E220" s="3">
        <f t="shared" si="56"/>
        <v>6.0895197149742986</v>
      </c>
      <c r="F220" s="3">
        <f t="shared" si="59"/>
        <v>525.44481342350207</v>
      </c>
      <c r="J220" s="3">
        <f>2.993*10^3</f>
        <v>2993</v>
      </c>
      <c r="K220" s="3"/>
      <c r="L220" s="3"/>
      <c r="T220" s="3">
        <f>($F$38)*($F$39)*($C$13/2)</f>
        <v>9.8345249999999993</v>
      </c>
      <c r="U220" s="3">
        <f t="shared" si="61"/>
        <v>330.44004000000001</v>
      </c>
      <c r="V220" s="3">
        <f t="shared" si="62"/>
        <v>765.67868601457872</v>
      </c>
      <c r="W220" s="3">
        <f t="shared" si="60"/>
        <v>2.4468183930649285</v>
      </c>
      <c r="X220" s="3">
        <f t="shared" si="63"/>
        <v>62.326239121477954</v>
      </c>
      <c r="AB220" s="3">
        <f>64.968</f>
        <v>64.968000000000004</v>
      </c>
      <c r="AC220" s="3">
        <v>2</v>
      </c>
      <c r="AD220" s="3" t="s">
        <v>33</v>
      </c>
    </row>
    <row r="221" spans="2:30">
      <c r="B221" s="3">
        <f>($F$38)*($F$39)*($C$27/2)</f>
        <v>44.255362499999997</v>
      </c>
      <c r="C221" s="3">
        <f t="shared" si="64"/>
        <v>1486.98018</v>
      </c>
      <c r="D221" s="3">
        <f t="shared" si="58"/>
        <v>1922.2188260145788</v>
      </c>
      <c r="E221" s="3">
        <f t="shared" si="56"/>
        <v>6.362977463257474</v>
      </c>
      <c r="F221" s="3">
        <f t="shared" si="59"/>
        <v>573.69596838064308</v>
      </c>
      <c r="J221" s="3">
        <f>3.355*10^3</f>
        <v>3355</v>
      </c>
      <c r="K221" s="3"/>
      <c r="L221" s="3"/>
      <c r="T221" s="3">
        <f>($F$38)*($F$39)*($C$14/2)</f>
        <v>12.293156249999999</v>
      </c>
      <c r="U221" s="3">
        <f t="shared" si="61"/>
        <v>413.05005</v>
      </c>
      <c r="V221" s="3">
        <f t="shared" si="62"/>
        <v>848.2886960145787</v>
      </c>
      <c r="W221" s="3">
        <f t="shared" si="60"/>
        <v>2.7108086224017147</v>
      </c>
      <c r="X221" s="3">
        <f t="shared" si="63"/>
        <v>76.500657058237024</v>
      </c>
      <c r="AB221" s="3">
        <f>101.513</f>
        <v>101.51300000000001</v>
      </c>
      <c r="AC221" s="3">
        <v>2.5</v>
      </c>
      <c r="AD221" s="3" t="s">
        <v>33</v>
      </c>
    </row>
    <row r="222" spans="2:30">
      <c r="B222" s="3">
        <f>($F$38)*($F$39)*($C$28/2)</f>
        <v>46.71399375</v>
      </c>
      <c r="C222" s="3">
        <f t="shared" si="64"/>
        <v>1569.5901900000001</v>
      </c>
      <c r="D222" s="3">
        <f t="shared" si="58"/>
        <v>2004.8288360145789</v>
      </c>
      <c r="E222" s="3">
        <f t="shared" si="56"/>
        <v>6.6364352115406495</v>
      </c>
      <c r="F222" s="3">
        <f t="shared" si="59"/>
        <v>624.06632111760109</v>
      </c>
      <c r="J222" s="3">
        <f>3.738*10^3</f>
        <v>3738</v>
      </c>
      <c r="K222" s="3"/>
      <c r="L222" s="3"/>
      <c r="T222" s="3">
        <f>($F$38)*($F$39)*($C$15/2)</f>
        <v>14.751787499999999</v>
      </c>
      <c r="U222" s="3">
        <f t="shared" si="61"/>
        <v>495.66005999999999</v>
      </c>
      <c r="V222" s="3">
        <f t="shared" si="62"/>
        <v>930.89870601457869</v>
      </c>
      <c r="W222" s="3">
        <f t="shared" si="60"/>
        <v>2.9747988517385009</v>
      </c>
      <c r="X222" s="3">
        <f t="shared" si="63"/>
        <v>92.126094167425308</v>
      </c>
      <c r="AB222" s="3">
        <f>146.178</f>
        <v>146.178</v>
      </c>
      <c r="AC222" s="3">
        <v>3</v>
      </c>
      <c r="AD222" s="3" t="s">
        <v>33</v>
      </c>
    </row>
    <row r="223" spans="2:30">
      <c r="B223" s="3">
        <f>($F$38)*($F$39)*($C$29/2)</f>
        <v>49.172624999999996</v>
      </c>
      <c r="C223" s="3">
        <f t="shared" si="64"/>
        <v>1652.2002</v>
      </c>
      <c r="D223" s="3">
        <f t="shared" si="58"/>
        <v>2087.4388460145788</v>
      </c>
      <c r="E223" s="3">
        <f t="shared" si="56"/>
        <v>6.9098929598238232</v>
      </c>
      <c r="F223" s="3">
        <f t="shared" si="59"/>
        <v>676.55587163437576</v>
      </c>
      <c r="J223" s="3">
        <f>4.142*10^3</f>
        <v>4142</v>
      </c>
      <c r="K223" s="3"/>
      <c r="L223" s="3"/>
      <c r="T223" s="3">
        <f>($F$38)*($F$39)*($C$16/2)</f>
        <v>17.210418749999999</v>
      </c>
      <c r="U223" s="3">
        <f t="shared" si="61"/>
        <v>578.27007000000003</v>
      </c>
      <c r="V223" s="3">
        <f t="shared" si="62"/>
        <v>1013.5087160145788</v>
      </c>
      <c r="W223" s="3">
        <f t="shared" si="60"/>
        <v>3.2387890810752871</v>
      </c>
      <c r="X223" s="3">
        <f t="shared" si="63"/>
        <v>109.20255044904276</v>
      </c>
      <c r="AB223" s="3">
        <f>198.965</f>
        <v>198.965</v>
      </c>
      <c r="AC223" s="3">
        <v>3.5</v>
      </c>
      <c r="AD223" s="3" t="s">
        <v>33</v>
      </c>
    </row>
    <row r="224" spans="2:30">
      <c r="B224" s="3">
        <f>($F$38)*($F$39)*($C$30/2)</f>
        <v>51.631256249999993</v>
      </c>
      <c r="C224" s="3">
        <f t="shared" si="64"/>
        <v>1734.8102099999999</v>
      </c>
      <c r="D224" s="3">
        <f t="shared" si="58"/>
        <v>2170.0488560145786</v>
      </c>
      <c r="E224" s="3">
        <f t="shared" si="56"/>
        <v>7.1833507081069978</v>
      </c>
      <c r="F224" s="3">
        <f t="shared" si="59"/>
        <v>731.16461993096721</v>
      </c>
      <c r="J224" s="3">
        <f>4.567*10^3</f>
        <v>4567</v>
      </c>
      <c r="K224" s="3"/>
      <c r="L224" s="3"/>
      <c r="T224" s="3">
        <f>($F$38)*($F$39)*($C$17/2)</f>
        <v>19.669049999999999</v>
      </c>
      <c r="U224" s="3">
        <f t="shared" si="61"/>
        <v>660.88008000000002</v>
      </c>
      <c r="V224" s="3">
        <f t="shared" si="62"/>
        <v>1096.1187260145787</v>
      </c>
      <c r="W224" s="3">
        <f t="shared" si="60"/>
        <v>3.5027793104120728</v>
      </c>
      <c r="X224" s="3">
        <f t="shared" si="63"/>
        <v>127.73002590308944</v>
      </c>
      <c r="AB224" s="3">
        <f>259.872</f>
        <v>259.87200000000001</v>
      </c>
      <c r="AC224" s="3">
        <v>4</v>
      </c>
      <c r="AD224" s="3" t="s">
        <v>33</v>
      </c>
    </row>
    <row r="225" spans="2:30">
      <c r="B225" s="3">
        <f>($F$38)*($F$39)*($C$31/2)</f>
        <v>54.089887499999996</v>
      </c>
      <c r="C225" s="3">
        <f t="shared" si="64"/>
        <v>1817.42022</v>
      </c>
      <c r="D225" s="3">
        <f t="shared" si="58"/>
        <v>2252.6588660145785</v>
      </c>
      <c r="E225" s="3">
        <f t="shared" si="56"/>
        <v>7.4568084563901724</v>
      </c>
      <c r="F225" s="3">
        <f t="shared" si="59"/>
        <v>787.89256600737554</v>
      </c>
      <c r="J225" s="3">
        <f>5.012*10^3</f>
        <v>5012</v>
      </c>
      <c r="K225" s="3"/>
      <c r="L225" s="3"/>
      <c r="T225" s="3">
        <f>($F$38)*($F$39)*($C$18/2)</f>
        <v>22.127681249999998</v>
      </c>
      <c r="U225" s="3">
        <f t="shared" si="61"/>
        <v>743.49009000000001</v>
      </c>
      <c r="V225" s="3">
        <f t="shared" si="62"/>
        <v>1178.7287360145788</v>
      </c>
      <c r="W225" s="3">
        <f t="shared" si="60"/>
        <v>3.7667695397488594</v>
      </c>
      <c r="X225" s="3">
        <f t="shared" si="63"/>
        <v>147.70852052956539</v>
      </c>
      <c r="AB225" s="3">
        <f>328.901</f>
        <v>328.90100000000001</v>
      </c>
      <c r="AC225" s="3">
        <v>4.5</v>
      </c>
      <c r="AD225" s="3" t="s">
        <v>33</v>
      </c>
    </row>
    <row r="226" spans="2:30">
      <c r="B226" s="3">
        <f>($F$38)*($F$39)*($C$32/2)</f>
        <v>56.548518749999999</v>
      </c>
      <c r="C226" s="3">
        <f t="shared" si="64"/>
        <v>1900.0302300000001</v>
      </c>
      <c r="D226" s="3">
        <f t="shared" si="58"/>
        <v>2335.2688760145788</v>
      </c>
      <c r="E226" s="3">
        <f t="shared" si="56"/>
        <v>7.7302662046733479</v>
      </c>
      <c r="F226" s="3">
        <f t="shared" si="59"/>
        <v>846.73970986360121</v>
      </c>
      <c r="J226" s="3">
        <f>5.478*10^3</f>
        <v>5478</v>
      </c>
      <c r="K226" s="3"/>
      <c r="L226" s="3"/>
      <c r="T226" s="3">
        <f>($F$38)*($F$39)*($C$19/2)</f>
        <v>24.586312499999998</v>
      </c>
      <c r="U226" s="3">
        <f t="shared" si="61"/>
        <v>826.1001</v>
      </c>
      <c r="V226" s="3">
        <f t="shared" si="62"/>
        <v>1261.3387460145786</v>
      </c>
      <c r="W226" s="3">
        <f t="shared" si="60"/>
        <v>4.0307597690856447</v>
      </c>
      <c r="X226" s="3">
        <f t="shared" si="63"/>
        <v>169.13803432847047</v>
      </c>
      <c r="AB226" s="3">
        <f>406.051</f>
        <v>406.05099999999999</v>
      </c>
      <c r="AC226" s="3">
        <v>5</v>
      </c>
      <c r="AD226" s="3" t="s">
        <v>33</v>
      </c>
    </row>
    <row r="227" spans="2:30">
      <c r="B227" s="3">
        <f>($F$38)*($F$39)*($C$33/2)</f>
        <v>59.007149999999996</v>
      </c>
      <c r="C227" s="3">
        <f t="shared" si="64"/>
        <v>1982.6402399999999</v>
      </c>
      <c r="D227" s="3">
        <f t="shared" si="58"/>
        <v>2417.8788860145787</v>
      </c>
      <c r="E227" s="3">
        <f t="shared" si="56"/>
        <v>8.0037239529565234</v>
      </c>
      <c r="F227" s="3">
        <f t="shared" si="59"/>
        <v>907.70605149964342</v>
      </c>
      <c r="J227" s="3">
        <f>5.965*10^3</f>
        <v>5965</v>
      </c>
      <c r="K227" s="3"/>
      <c r="L227" s="3"/>
      <c r="T227" s="3">
        <f>($F$38)*($F$39)*($C$20/2)</f>
        <v>27.044943749999998</v>
      </c>
      <c r="U227" s="3">
        <f t="shared" si="61"/>
        <v>908.71010999999999</v>
      </c>
      <c r="V227" s="3">
        <f t="shared" si="62"/>
        <v>1343.9487560145787</v>
      </c>
      <c r="W227" s="3">
        <f t="shared" si="60"/>
        <v>4.2947499984224313</v>
      </c>
      <c r="X227" s="3">
        <f t="shared" si="63"/>
        <v>192.01856729980486</v>
      </c>
      <c r="AB227" s="3">
        <f>491.321</f>
        <v>491.32100000000003</v>
      </c>
      <c r="AC227" s="3">
        <v>5.5</v>
      </c>
      <c r="AD227" s="3" t="s">
        <v>33</v>
      </c>
    </row>
    <row r="228" spans="2:30">
      <c r="B228" s="3">
        <f>($F$38)*($F$39)*($C$34/2)</f>
        <v>0</v>
      </c>
      <c r="C228" s="3">
        <f>$C$46*B228</f>
        <v>0</v>
      </c>
      <c r="D228" s="3">
        <f t="shared" si="58"/>
        <v>435.23864601457871</v>
      </c>
      <c r="E228" s="3">
        <f t="shared" si="56"/>
        <v>1.4407379941603264</v>
      </c>
      <c r="F228" s="3">
        <f t="shared" si="59"/>
        <v>29.412439464086866</v>
      </c>
      <c r="J228" s="29"/>
      <c r="K228" s="4"/>
      <c r="L228" s="30"/>
      <c r="T228" s="3">
        <f>($F$38)*($F$39)*($C$21/2)</f>
        <v>29.503574999999998</v>
      </c>
      <c r="U228" s="3">
        <f t="shared" si="61"/>
        <v>991.32011999999997</v>
      </c>
      <c r="V228" s="3">
        <f t="shared" si="62"/>
        <v>1426.5587660145786</v>
      </c>
      <c r="W228" s="3">
        <f t="shared" si="60"/>
        <v>4.5587402277592171</v>
      </c>
      <c r="X228" s="3">
        <f t="shared" si="63"/>
        <v>216.35011944356833</v>
      </c>
      <c r="AB228" s="3">
        <f>584.713</f>
        <v>584.71299999999997</v>
      </c>
      <c r="AC228" s="3">
        <v>6</v>
      </c>
      <c r="AD228" s="3" t="s">
        <v>33</v>
      </c>
    </row>
    <row r="229" spans="2:30">
      <c r="B229" s="29"/>
      <c r="C229" s="4"/>
      <c r="D229" s="4"/>
      <c r="E229" s="4"/>
      <c r="F229" s="30"/>
      <c r="J229" s="29"/>
      <c r="K229" s="4"/>
      <c r="L229" s="30"/>
      <c r="T229" s="3">
        <f>($F$38)*($F$39)*($C$22/2)</f>
        <v>31.962206249999998</v>
      </c>
      <c r="U229" s="3">
        <f t="shared" si="61"/>
        <v>1073.93013</v>
      </c>
      <c r="V229" s="3">
        <f t="shared" si="62"/>
        <v>1509.1687760145787</v>
      </c>
      <c r="W229" s="3">
        <f t="shared" si="60"/>
        <v>4.8227304570960037</v>
      </c>
      <c r="X229" s="3">
        <f t="shared" si="63"/>
        <v>242.13269075976115</v>
      </c>
      <c r="AB229" s="3">
        <f>686.226</f>
        <v>686.226</v>
      </c>
      <c r="AC229" s="3">
        <v>6.5</v>
      </c>
      <c r="AD229" s="3" t="s">
        <v>33</v>
      </c>
    </row>
    <row r="230" spans="2:30">
      <c r="B230" s="29" t="s">
        <v>128</v>
      </c>
      <c r="C230" s="4"/>
      <c r="D230" s="4"/>
      <c r="E230" s="4"/>
      <c r="F230" s="30"/>
      <c r="J230" s="29" t="s">
        <v>129</v>
      </c>
      <c r="K230" s="4"/>
      <c r="L230" s="30"/>
      <c r="T230" s="3">
        <f>($F$38)*($F$39)*($C$23/2)</f>
        <v>34.420837499999998</v>
      </c>
      <c r="U230" s="3">
        <f>$C$46*T230</f>
        <v>1156.5401400000001</v>
      </c>
      <c r="V230" s="3">
        <f t="shared" si="62"/>
        <v>1591.7787860145788</v>
      </c>
      <c r="W230" s="3">
        <f t="shared" si="60"/>
        <v>5.0867206864327903</v>
      </c>
      <c r="X230" s="3">
        <v>250</v>
      </c>
      <c r="AB230" s="3">
        <v>750</v>
      </c>
      <c r="AC230" s="3">
        <v>7</v>
      </c>
      <c r="AD230" s="3" t="s">
        <v>33</v>
      </c>
    </row>
    <row r="231" spans="2:30">
      <c r="B231" s="45" t="s">
        <v>75</v>
      </c>
      <c r="C231" s="45" t="s">
        <v>76</v>
      </c>
      <c r="D231" s="45" t="s">
        <v>77</v>
      </c>
      <c r="E231" s="45" t="s">
        <v>78</v>
      </c>
      <c r="F231" s="45" t="s">
        <v>32</v>
      </c>
      <c r="J231" s="45" t="s">
        <v>32</v>
      </c>
      <c r="K231" s="3"/>
      <c r="L231" s="3"/>
      <c r="T231" s="3">
        <f>($F$38)*($F$39)*($C$24/2)</f>
        <v>36.879468750000001</v>
      </c>
      <c r="U231" s="3">
        <f t="shared" ref="U231:U240" si="65">$C$46*T231</f>
        <v>1239.1501500000002</v>
      </c>
      <c r="V231" s="3">
        <f t="shared" si="62"/>
        <v>1674.3887960145789</v>
      </c>
      <c r="W231" s="3">
        <f t="shared" si="60"/>
        <v>5.350710915769576</v>
      </c>
      <c r="X231" s="3">
        <v>250</v>
      </c>
      <c r="AB231" s="3">
        <v>750</v>
      </c>
      <c r="AC231" s="3">
        <v>7.5</v>
      </c>
      <c r="AD231" s="3" t="s">
        <v>33</v>
      </c>
    </row>
    <row r="232" spans="2:30">
      <c r="B232" s="3">
        <f>($F$38)*($F$39)*($C$9/2)</f>
        <v>0</v>
      </c>
      <c r="C232" s="3">
        <f>$C$46*B232</f>
        <v>0</v>
      </c>
      <c r="D232" s="3">
        <f>C232+($C$50*$C$52)</f>
        <v>435.23864601457871</v>
      </c>
      <c r="E232" s="3">
        <f t="shared" ref="E232:E257" si="66">(D232)/($C$48+((($F$40)*($C$52))*$F$15)-(($C$49+$C$50)*$F$15^2))</f>
        <v>1.3908574757177841</v>
      </c>
      <c r="F232" s="3">
        <f>($F$15*E232)*($F$15*E232*$C$52)/2</f>
        <v>20.138759098733853</v>
      </c>
      <c r="J232" s="3">
        <v>0</v>
      </c>
      <c r="K232" s="3"/>
      <c r="L232" s="3"/>
      <c r="T232" s="3">
        <f>($F$38)*($F$39)*($C$25/2)</f>
        <v>39.338099999999997</v>
      </c>
      <c r="U232" s="3">
        <f t="shared" si="65"/>
        <v>1321.76016</v>
      </c>
      <c r="V232" s="3">
        <f t="shared" si="62"/>
        <v>1756.9988060145788</v>
      </c>
      <c r="W232" s="3">
        <f t="shared" si="60"/>
        <v>5.6147011451063618</v>
      </c>
      <c r="X232" s="3">
        <v>250</v>
      </c>
      <c r="AB232" s="3">
        <v>750</v>
      </c>
      <c r="AC232" s="3">
        <v>8</v>
      </c>
      <c r="AD232" s="3" t="s">
        <v>33</v>
      </c>
    </row>
    <row r="233" spans="2:30">
      <c r="B233" s="3">
        <f>($F$38)*($F$39)*($C$10/2)</f>
        <v>2.4586312499999998</v>
      </c>
      <c r="C233" s="3">
        <f t="shared" ref="C233:C245" si="67">$C$46*B233</f>
        <v>82.610010000000003</v>
      </c>
      <c r="D233" s="3">
        <f t="shared" ref="D233:D257" si="68">C233+($C$50*$C$52)</f>
        <v>517.84865601457875</v>
      </c>
      <c r="E233" s="3">
        <f t="shared" si="66"/>
        <v>1.6548477050545702</v>
      </c>
      <c r="F233" s="3">
        <f t="shared" ref="F233:F257" si="69">($F$15*E233)*($F$15*E233*$C$52)/2</f>
        <v>28.509100345776062</v>
      </c>
      <c r="J233" s="3">
        <f>4.061</f>
        <v>4.0609999999999999</v>
      </c>
      <c r="K233" s="3"/>
      <c r="L233" s="3"/>
      <c r="T233" s="3">
        <f>($F$38)*($F$39)*($C$26/2)</f>
        <v>41.796731249999993</v>
      </c>
      <c r="U233" s="3">
        <f t="shared" si="65"/>
        <v>1404.3701699999999</v>
      </c>
      <c r="V233" s="3">
        <f t="shared" si="62"/>
        <v>1839.6088160145787</v>
      </c>
      <c r="W233" s="3">
        <f t="shared" si="60"/>
        <v>5.8786913744431475</v>
      </c>
      <c r="X233" s="3">
        <v>250</v>
      </c>
      <c r="AB233" s="3">
        <v>750</v>
      </c>
      <c r="AC233" s="3">
        <v>8.5</v>
      </c>
      <c r="AD233" s="3" t="s">
        <v>33</v>
      </c>
    </row>
    <row r="234" spans="2:30">
      <c r="B234" s="3">
        <f>($F$38)*($F$39)*($C$11/2)</f>
        <v>4.9172624999999996</v>
      </c>
      <c r="C234" s="3">
        <f t="shared" si="67"/>
        <v>165.22002000000001</v>
      </c>
      <c r="D234" s="3">
        <f t="shared" si="68"/>
        <v>600.45866601457874</v>
      </c>
      <c r="E234" s="3">
        <f t="shared" si="66"/>
        <v>1.9188379343913564</v>
      </c>
      <c r="F234" s="3">
        <f t="shared" si="69"/>
        <v>38.330460765247494</v>
      </c>
      <c r="J234" s="3">
        <f>16.242</f>
        <v>16.242000000000001</v>
      </c>
      <c r="K234" s="3"/>
      <c r="L234" s="3"/>
      <c r="T234" s="3">
        <f>($F$38)*($F$39)*($C$27/2)</f>
        <v>44.255362499999997</v>
      </c>
      <c r="U234" s="3">
        <f t="shared" si="65"/>
        <v>1486.98018</v>
      </c>
      <c r="V234" s="3">
        <f t="shared" si="62"/>
        <v>1922.2188260145788</v>
      </c>
      <c r="W234" s="3">
        <f t="shared" si="60"/>
        <v>6.1426816037799341</v>
      </c>
      <c r="X234" s="3">
        <v>250</v>
      </c>
      <c r="AB234" s="3">
        <v>750</v>
      </c>
      <c r="AC234" s="3">
        <v>9</v>
      </c>
      <c r="AD234" s="3" t="s">
        <v>33</v>
      </c>
    </row>
    <row r="235" spans="2:30">
      <c r="B235" s="3">
        <f>($F$38)*($F$39)*($C$12/2)</f>
        <v>7.3758937499999995</v>
      </c>
      <c r="C235" s="3">
        <f t="shared" si="67"/>
        <v>247.83002999999999</v>
      </c>
      <c r="D235" s="3">
        <f t="shared" si="68"/>
        <v>683.06867601457873</v>
      </c>
      <c r="E235" s="3">
        <f t="shared" si="66"/>
        <v>2.1828281637281424</v>
      </c>
      <c r="F235" s="3">
        <f t="shared" si="69"/>
        <v>49.602840357148111</v>
      </c>
      <c r="J235" s="3">
        <f>36.545</f>
        <v>36.545000000000002</v>
      </c>
      <c r="K235" s="3"/>
      <c r="L235" s="3"/>
      <c r="T235" s="3">
        <f>($F$38)*($F$39)*($C$28/2)</f>
        <v>46.71399375</v>
      </c>
      <c r="U235" s="3">
        <f t="shared" si="65"/>
        <v>1569.5901900000001</v>
      </c>
      <c r="V235" s="3">
        <f t="shared" si="62"/>
        <v>2004.8288360145789</v>
      </c>
      <c r="W235" s="3">
        <f t="shared" si="60"/>
        <v>6.4066718331167207</v>
      </c>
      <c r="X235" s="3">
        <v>250</v>
      </c>
      <c r="AB235" s="3">
        <v>750</v>
      </c>
      <c r="AC235" s="3">
        <v>9.5</v>
      </c>
      <c r="AD235" s="3" t="s">
        <v>33</v>
      </c>
    </row>
    <row r="236" spans="2:30">
      <c r="B236" s="3">
        <f>($F$38)*($F$39)*($C$13/2)</f>
        <v>9.8345249999999993</v>
      </c>
      <c r="C236" s="3">
        <f t="shared" si="67"/>
        <v>330.44004000000001</v>
      </c>
      <c r="D236" s="3">
        <f t="shared" si="68"/>
        <v>765.67868601457872</v>
      </c>
      <c r="E236" s="3">
        <f t="shared" si="66"/>
        <v>2.4468183930649285</v>
      </c>
      <c r="F236" s="3">
        <f t="shared" si="69"/>
        <v>62.326239121477954</v>
      </c>
      <c r="J236" s="3">
        <f>64.968</f>
        <v>64.968000000000004</v>
      </c>
      <c r="K236" s="3"/>
      <c r="L236" s="3"/>
      <c r="T236" s="3">
        <f>($F$38)*($F$39)*($C$29/2)</f>
        <v>49.172624999999996</v>
      </c>
      <c r="U236" s="3">
        <f t="shared" si="65"/>
        <v>1652.2002</v>
      </c>
      <c r="V236" s="3">
        <f t="shared" si="62"/>
        <v>2087.4388460145788</v>
      </c>
      <c r="W236" s="3">
        <f t="shared" si="60"/>
        <v>6.6706620624535065</v>
      </c>
      <c r="X236" s="3">
        <v>250</v>
      </c>
      <c r="AB236" s="3">
        <v>750</v>
      </c>
      <c r="AC236" s="3">
        <v>10</v>
      </c>
      <c r="AD236" s="3" t="s">
        <v>33</v>
      </c>
    </row>
    <row r="237" spans="2:30">
      <c r="B237" s="3">
        <f>($F$38)*($F$39)*($C$14/2)</f>
        <v>12.293156249999999</v>
      </c>
      <c r="C237" s="3">
        <f t="shared" si="67"/>
        <v>413.05005</v>
      </c>
      <c r="D237" s="3">
        <f t="shared" si="68"/>
        <v>848.2886960145787</v>
      </c>
      <c r="E237" s="3">
        <f t="shared" si="66"/>
        <v>2.7108086224017147</v>
      </c>
      <c r="F237" s="3">
        <f t="shared" si="69"/>
        <v>76.500657058237024</v>
      </c>
      <c r="J237" s="3">
        <f>101.513</f>
        <v>101.51300000000001</v>
      </c>
      <c r="K237" s="3"/>
      <c r="L237" s="3"/>
      <c r="T237" s="3">
        <f>($F$38)*($F$39)*($C$30/2)</f>
        <v>51.631256249999993</v>
      </c>
      <c r="U237" s="3">
        <f t="shared" si="65"/>
        <v>1734.8102099999999</v>
      </c>
      <c r="V237" s="3">
        <f t="shared" si="62"/>
        <v>2170.0488560145786</v>
      </c>
      <c r="W237" s="3">
        <f t="shared" si="60"/>
        <v>6.9346522917902922</v>
      </c>
      <c r="X237" s="3">
        <v>250</v>
      </c>
      <c r="AB237" s="3">
        <v>750</v>
      </c>
      <c r="AC237" s="3">
        <v>10.5</v>
      </c>
      <c r="AD237" s="3" t="s">
        <v>33</v>
      </c>
    </row>
    <row r="238" spans="2:30">
      <c r="B238" s="3">
        <f>($F$38)*($F$39)*($C$15/2)</f>
        <v>14.751787499999999</v>
      </c>
      <c r="C238" s="3">
        <f t="shared" si="67"/>
        <v>495.66005999999999</v>
      </c>
      <c r="D238" s="3">
        <f t="shared" si="68"/>
        <v>930.89870601457869</v>
      </c>
      <c r="E238" s="3">
        <f t="shared" si="66"/>
        <v>2.9747988517385009</v>
      </c>
      <c r="F238" s="3">
        <f t="shared" si="69"/>
        <v>92.126094167425308</v>
      </c>
      <c r="J238" s="3">
        <f>146.178</f>
        <v>146.178</v>
      </c>
      <c r="K238" s="3"/>
      <c r="L238" s="3"/>
      <c r="T238" s="3">
        <f>($F$38)*($F$39)*($C$31/2)</f>
        <v>54.089887499999996</v>
      </c>
      <c r="U238" s="3">
        <f t="shared" si="65"/>
        <v>1817.42022</v>
      </c>
      <c r="V238" s="3">
        <f t="shared" si="62"/>
        <v>2252.6588660145785</v>
      </c>
      <c r="W238" s="3">
        <f t="shared" si="60"/>
        <v>7.1986425211270779</v>
      </c>
      <c r="X238" s="3">
        <v>250</v>
      </c>
      <c r="AB238" s="3">
        <v>750</v>
      </c>
      <c r="AC238" s="3">
        <v>11</v>
      </c>
      <c r="AD238" s="3" t="s">
        <v>33</v>
      </c>
    </row>
    <row r="239" spans="2:30">
      <c r="B239" s="3">
        <f>($F$38)*($F$39)*($C$16/2)</f>
        <v>17.210418749999999</v>
      </c>
      <c r="C239" s="3">
        <f t="shared" si="67"/>
        <v>578.27007000000003</v>
      </c>
      <c r="D239" s="3">
        <f t="shared" si="68"/>
        <v>1013.5087160145788</v>
      </c>
      <c r="E239" s="3">
        <f t="shared" si="66"/>
        <v>3.2387890810752871</v>
      </c>
      <c r="F239" s="3">
        <f t="shared" si="69"/>
        <v>109.20255044904276</v>
      </c>
      <c r="J239" s="3">
        <f>198.965</f>
        <v>198.965</v>
      </c>
      <c r="K239" s="3"/>
      <c r="L239" s="3"/>
      <c r="T239" s="3">
        <f>($F$38)*($F$39)*($C$32/2)</f>
        <v>56.548518749999999</v>
      </c>
      <c r="U239" s="3">
        <f t="shared" si="65"/>
        <v>1900.0302300000001</v>
      </c>
      <c r="V239" s="3">
        <f t="shared" si="62"/>
        <v>2335.2688760145788</v>
      </c>
      <c r="W239" s="3">
        <f t="shared" si="60"/>
        <v>7.4626327504638654</v>
      </c>
      <c r="X239" s="3">
        <v>250</v>
      </c>
      <c r="AB239" s="3">
        <v>750</v>
      </c>
      <c r="AC239" s="3">
        <v>11.5</v>
      </c>
      <c r="AD239" s="3" t="s">
        <v>33</v>
      </c>
    </row>
    <row r="240" spans="2:30">
      <c r="B240" s="3">
        <f>($F$38)*($F$39)*($C$17/2)</f>
        <v>19.669049999999999</v>
      </c>
      <c r="C240" s="3">
        <f t="shared" si="67"/>
        <v>660.88008000000002</v>
      </c>
      <c r="D240" s="3">
        <f t="shared" si="68"/>
        <v>1096.1187260145787</v>
      </c>
      <c r="E240" s="3">
        <f t="shared" si="66"/>
        <v>3.5027793104120728</v>
      </c>
      <c r="F240" s="3">
        <f t="shared" si="69"/>
        <v>127.73002590308944</v>
      </c>
      <c r="J240" s="3">
        <f>259.872</f>
        <v>259.87200000000001</v>
      </c>
      <c r="K240" s="3"/>
      <c r="L240" s="3"/>
      <c r="T240" s="3">
        <f>($F$38)*($F$39)*($C$33/2)</f>
        <v>59.007149999999996</v>
      </c>
      <c r="U240" s="3">
        <f t="shared" si="65"/>
        <v>1982.6402399999999</v>
      </c>
      <c r="V240" s="3">
        <f t="shared" si="62"/>
        <v>2417.8788860145787</v>
      </c>
      <c r="W240" s="3">
        <f t="shared" si="60"/>
        <v>7.7266229798006512</v>
      </c>
      <c r="X240" s="3">
        <v>250</v>
      </c>
      <c r="AB240" s="3">
        <v>750</v>
      </c>
      <c r="AC240" s="3">
        <v>12</v>
      </c>
      <c r="AD240" s="3" t="s">
        <v>33</v>
      </c>
    </row>
    <row r="241" spans="2:30">
      <c r="B241" s="3">
        <f>($F$38)*($F$39)*($C$18/2)</f>
        <v>22.127681249999998</v>
      </c>
      <c r="C241" s="3">
        <f t="shared" si="67"/>
        <v>743.49009000000001</v>
      </c>
      <c r="D241" s="3">
        <f t="shared" si="68"/>
        <v>1178.7287360145788</v>
      </c>
      <c r="E241" s="3">
        <f t="shared" si="66"/>
        <v>3.7667695397488594</v>
      </c>
      <c r="F241" s="3">
        <f t="shared" si="69"/>
        <v>147.70852052956539</v>
      </c>
      <c r="J241" s="3">
        <f>328.901</f>
        <v>328.90100000000001</v>
      </c>
      <c r="K241" s="3"/>
      <c r="L241" s="3"/>
      <c r="T241" s="3"/>
      <c r="U241" s="3"/>
      <c r="V241" s="3"/>
      <c r="W241" s="3"/>
      <c r="X241" s="3"/>
      <c r="AB241" s="29"/>
      <c r="AC241" s="4"/>
      <c r="AD241" s="30"/>
    </row>
    <row r="242" spans="2:30">
      <c r="B242" s="3">
        <f>($F$38)*($F$39)*($C$19/2)</f>
        <v>24.586312499999998</v>
      </c>
      <c r="C242" s="3">
        <f t="shared" si="67"/>
        <v>826.1001</v>
      </c>
      <c r="D242" s="3">
        <f t="shared" si="68"/>
        <v>1261.3387460145786</v>
      </c>
      <c r="E242" s="3">
        <f t="shared" si="66"/>
        <v>4.0307597690856447</v>
      </c>
      <c r="F242" s="3">
        <f t="shared" si="69"/>
        <v>169.13803432847047</v>
      </c>
      <c r="J242" s="3">
        <f>406.051</f>
        <v>406.05099999999999</v>
      </c>
      <c r="K242" s="3"/>
      <c r="L242" s="3"/>
      <c r="T242" s="29"/>
      <c r="U242" s="4"/>
      <c r="V242" s="4"/>
      <c r="W242" s="4"/>
      <c r="X242" s="30"/>
      <c r="AB242" s="29"/>
      <c r="AC242" s="4"/>
      <c r="AD242" s="30"/>
    </row>
    <row r="243" spans="2:30">
      <c r="B243" s="3">
        <f>($F$38)*($F$39)*($C$20/2)</f>
        <v>27.044943749999998</v>
      </c>
      <c r="C243" s="3">
        <f t="shared" si="67"/>
        <v>908.71010999999999</v>
      </c>
      <c r="D243" s="3">
        <f t="shared" si="68"/>
        <v>1343.9487560145787</v>
      </c>
      <c r="E243" s="3">
        <f t="shared" si="66"/>
        <v>4.2947499984224313</v>
      </c>
      <c r="F243" s="3">
        <f t="shared" si="69"/>
        <v>192.01856729980486</v>
      </c>
      <c r="J243" s="3">
        <f>491.321</f>
        <v>491.32100000000003</v>
      </c>
      <c r="K243" s="3">
        <v>5.5</v>
      </c>
      <c r="L243" s="3" t="s">
        <v>33</v>
      </c>
      <c r="T243" s="29" t="s">
        <v>130</v>
      </c>
      <c r="U243" s="4"/>
      <c r="V243" s="4"/>
      <c r="W243" s="4"/>
      <c r="X243" s="30"/>
      <c r="AB243" s="29" t="s">
        <v>131</v>
      </c>
      <c r="AC243" s="4"/>
      <c r="AD243" s="30"/>
    </row>
    <row r="244" spans="2:30">
      <c r="B244" s="3">
        <f>($F$38)*($F$39)*($C$21/2)</f>
        <v>29.503574999999998</v>
      </c>
      <c r="C244" s="3">
        <f t="shared" si="67"/>
        <v>991.32011999999997</v>
      </c>
      <c r="D244" s="3">
        <f t="shared" si="68"/>
        <v>1426.5587660145786</v>
      </c>
      <c r="E244" s="3">
        <f t="shared" si="66"/>
        <v>4.5587402277592171</v>
      </c>
      <c r="F244" s="3">
        <f t="shared" si="69"/>
        <v>216.35011944356833</v>
      </c>
      <c r="J244" s="3">
        <f>584.713</f>
        <v>584.71299999999997</v>
      </c>
      <c r="K244" s="3"/>
      <c r="L244" s="3"/>
      <c r="T244" s="45" t="s">
        <v>75</v>
      </c>
      <c r="U244" s="45" t="s">
        <v>76</v>
      </c>
      <c r="V244" s="45" t="s">
        <v>77</v>
      </c>
      <c r="W244" s="45" t="s">
        <v>78</v>
      </c>
      <c r="X244" s="45" t="s">
        <v>32</v>
      </c>
      <c r="AB244" s="45" t="s">
        <v>32</v>
      </c>
      <c r="AC244" s="3"/>
      <c r="AD244" s="3"/>
    </row>
    <row r="245" spans="2:30">
      <c r="B245" s="3">
        <f>($F$38)*($F$39)*($C$22/2)</f>
        <v>31.962206249999998</v>
      </c>
      <c r="C245" s="3">
        <f t="shared" si="67"/>
        <v>1073.93013</v>
      </c>
      <c r="D245" s="3">
        <f t="shared" si="68"/>
        <v>1509.1687760145787</v>
      </c>
      <c r="E245" s="3">
        <f t="shared" si="66"/>
        <v>4.8227304570960037</v>
      </c>
      <c r="F245" s="3">
        <f t="shared" si="69"/>
        <v>242.13269075976115</v>
      </c>
      <c r="J245" s="3">
        <f>686.226</f>
        <v>686.226</v>
      </c>
      <c r="K245" s="3"/>
      <c r="L245" s="3"/>
      <c r="T245" s="3">
        <f>($F$38)*($F$39)*($C$9/2)</f>
        <v>0</v>
      </c>
      <c r="U245" s="3">
        <f>$C$46*T245</f>
        <v>0</v>
      </c>
      <c r="V245" s="3">
        <f>U245+($C$50*$C$52)</f>
        <v>435.23864601457871</v>
      </c>
      <c r="W245" s="3">
        <f t="shared" ref="W245:W269" si="70">(V245)/($C$48+((($F$40)*($C$52))*$F$16)-(($C$49+$C$50)*$F$16^2))</f>
        <v>1.3619522516251636</v>
      </c>
      <c r="X245" s="3">
        <f>($F$16*W245)*($F$16*W245*$C$52)/2</f>
        <v>14.784523048157514</v>
      </c>
      <c r="AB245" s="3">
        <v>0</v>
      </c>
      <c r="AC245" s="3">
        <v>0</v>
      </c>
      <c r="AD245" s="3" t="s">
        <v>33</v>
      </c>
    </row>
    <row r="246" spans="2:30">
      <c r="B246" s="3">
        <f>($F$38)*($F$39)*($C$23/2)</f>
        <v>34.420837499999998</v>
      </c>
      <c r="C246" s="3">
        <f>$C$46*B246</f>
        <v>1156.5401400000001</v>
      </c>
      <c r="D246" s="3">
        <f t="shared" si="68"/>
        <v>1591.7787860145788</v>
      </c>
      <c r="E246" s="3">
        <f t="shared" si="66"/>
        <v>5.0867206864327903</v>
      </c>
      <c r="F246" s="3">
        <f t="shared" si="69"/>
        <v>269.36628124838319</v>
      </c>
      <c r="J246" s="3">
        <f>795.859</f>
        <v>795.85900000000004</v>
      </c>
      <c r="K246" s="3"/>
      <c r="L246" s="3"/>
      <c r="T246" s="3">
        <f>($F$38)*($F$39)*($C$10/2)</f>
        <v>2.4586312499999998</v>
      </c>
      <c r="U246" s="3">
        <f t="shared" ref="U246:U258" si="71">$C$46*T246</f>
        <v>82.610010000000003</v>
      </c>
      <c r="V246" s="3">
        <f t="shared" ref="V246:V269" si="72">U246+($C$50*$C$52)</f>
        <v>517.84865601457875</v>
      </c>
      <c r="W246" s="3">
        <f t="shared" si="70"/>
        <v>1.6204561555328805</v>
      </c>
      <c r="X246" s="3">
        <f t="shared" ref="X246:X261" si="73">($F$16*W246)*($F$16*W246*$C$52)/2</f>
        <v>20.929464873079564</v>
      </c>
      <c r="AB246" s="3">
        <f>1.417</f>
        <v>1.417</v>
      </c>
      <c r="AC246" s="3">
        <v>0.5</v>
      </c>
      <c r="AD246" s="3" t="s">
        <v>33</v>
      </c>
    </row>
    <row r="247" spans="2:30">
      <c r="B247" s="3">
        <f>($F$38)*($F$39)*($C$24/2)</f>
        <v>36.879468750000001</v>
      </c>
      <c r="C247" s="3">
        <f t="shared" ref="C247:C256" si="74">$C$46*B247</f>
        <v>1239.1501500000002</v>
      </c>
      <c r="D247" s="3">
        <f t="shared" si="68"/>
        <v>1674.3887960145789</v>
      </c>
      <c r="E247" s="3">
        <f t="shared" si="66"/>
        <v>5.350710915769576</v>
      </c>
      <c r="F247" s="3">
        <f t="shared" si="69"/>
        <v>298.05089090943432</v>
      </c>
      <c r="J247" s="3">
        <f>913.614</f>
        <v>913.61400000000003</v>
      </c>
      <c r="K247" s="3"/>
      <c r="L247" s="3"/>
      <c r="T247" s="3">
        <f>($F$38)*($F$39)*($C$11/2)</f>
        <v>4.9172624999999996</v>
      </c>
      <c r="U247" s="3">
        <f t="shared" si="71"/>
        <v>165.22002000000001</v>
      </c>
      <c r="V247" s="3">
        <f t="shared" si="72"/>
        <v>600.45866601457874</v>
      </c>
      <c r="W247" s="3">
        <f t="shared" si="70"/>
        <v>1.8789600594405969</v>
      </c>
      <c r="X247" s="3">
        <f t="shared" si="73"/>
        <v>28.139647425740733</v>
      </c>
      <c r="AB247" s="3">
        <f>5.669</f>
        <v>5.6689999999999996</v>
      </c>
      <c r="AC247" s="3">
        <v>1</v>
      </c>
      <c r="AD247" s="3" t="s">
        <v>33</v>
      </c>
    </row>
    <row r="248" spans="2:30">
      <c r="B248" s="3">
        <f>($F$38)*($F$39)*($C$25/2)</f>
        <v>39.338099999999997</v>
      </c>
      <c r="C248" s="3">
        <f t="shared" si="74"/>
        <v>1321.76016</v>
      </c>
      <c r="D248" s="3">
        <f t="shared" si="68"/>
        <v>1756.9988060145788</v>
      </c>
      <c r="E248" s="3">
        <f t="shared" si="66"/>
        <v>5.6147011451063618</v>
      </c>
      <c r="F248" s="3">
        <f t="shared" si="69"/>
        <v>328.1865197429147</v>
      </c>
      <c r="J248" s="3">
        <f>1039</f>
        <v>1039</v>
      </c>
      <c r="K248" s="3"/>
      <c r="L248" s="3"/>
      <c r="T248" s="3">
        <f>($F$38)*($F$39)*($C$12/2)</f>
        <v>7.3758937499999995</v>
      </c>
      <c r="U248" s="3">
        <f t="shared" si="71"/>
        <v>247.83002999999999</v>
      </c>
      <c r="V248" s="3">
        <f t="shared" si="72"/>
        <v>683.06867601457873</v>
      </c>
      <c r="W248" s="3">
        <f t="shared" si="70"/>
        <v>2.1374639633483135</v>
      </c>
      <c r="X248" s="3">
        <f t="shared" si="73"/>
        <v>36.415070706141023</v>
      </c>
      <c r="AB248" s="3">
        <f>12.755</f>
        <v>12.755000000000001</v>
      </c>
      <c r="AC248" s="3">
        <v>1.5</v>
      </c>
      <c r="AD248" s="3" t="s">
        <v>33</v>
      </c>
    </row>
    <row r="249" spans="2:30">
      <c r="B249" s="3">
        <f>($F$38)*($F$39)*($C$26/2)</f>
        <v>41.796731249999993</v>
      </c>
      <c r="C249" s="3">
        <f t="shared" si="74"/>
        <v>1404.3701699999999</v>
      </c>
      <c r="D249" s="3">
        <f t="shared" si="68"/>
        <v>1839.6088160145787</v>
      </c>
      <c r="E249" s="3">
        <f t="shared" si="66"/>
        <v>5.8786913744431475</v>
      </c>
      <c r="F249" s="3">
        <f t="shared" si="69"/>
        <v>359.77316774882422</v>
      </c>
      <c r="J249" s="3">
        <f>1173</f>
        <v>1173</v>
      </c>
      <c r="K249" s="3"/>
      <c r="L249" s="3"/>
      <c r="T249" s="3">
        <f>($F$38)*($F$39)*($C$13/2)</f>
        <v>9.8345249999999993</v>
      </c>
      <c r="U249" s="3">
        <f t="shared" si="71"/>
        <v>330.44004000000001</v>
      </c>
      <c r="V249" s="3">
        <f t="shared" si="72"/>
        <v>765.67868601457872</v>
      </c>
      <c r="W249" s="3">
        <f t="shared" si="70"/>
        <v>2.3959678672560298</v>
      </c>
      <c r="X249" s="3">
        <f t="shared" si="73"/>
        <v>45.755734714280436</v>
      </c>
      <c r="AB249" s="3">
        <f>22.676</f>
        <v>22.675999999999998</v>
      </c>
      <c r="AC249" s="3">
        <v>2</v>
      </c>
      <c r="AD249" s="3" t="s">
        <v>33</v>
      </c>
    </row>
    <row r="250" spans="2:30">
      <c r="B250" s="3">
        <f>($F$38)*($F$39)*($C$27/2)</f>
        <v>44.255362499999997</v>
      </c>
      <c r="C250" s="3">
        <f t="shared" si="74"/>
        <v>1486.98018</v>
      </c>
      <c r="D250" s="3">
        <f t="shared" si="68"/>
        <v>1922.2188260145788</v>
      </c>
      <c r="E250" s="3">
        <f t="shared" si="66"/>
        <v>6.1426816037799341</v>
      </c>
      <c r="F250" s="3">
        <f t="shared" si="69"/>
        <v>392.810834927163</v>
      </c>
      <c r="J250" s="3">
        <f>1316</f>
        <v>1316</v>
      </c>
      <c r="K250" s="3"/>
      <c r="L250" s="3"/>
      <c r="T250" s="3">
        <f>($F$38)*($F$39)*($C$14/2)</f>
        <v>12.293156249999999</v>
      </c>
      <c r="U250" s="3">
        <f t="shared" si="71"/>
        <v>413.05005</v>
      </c>
      <c r="V250" s="3">
        <f t="shared" si="72"/>
        <v>848.2886960145787</v>
      </c>
      <c r="W250" s="3">
        <f t="shared" si="70"/>
        <v>2.6544717711637462</v>
      </c>
      <c r="X250" s="3">
        <f t="shared" si="73"/>
        <v>56.161639450158972</v>
      </c>
      <c r="AB250" s="3">
        <f>35.431</f>
        <v>35.430999999999997</v>
      </c>
      <c r="AC250" s="3">
        <v>2.5</v>
      </c>
      <c r="AD250" s="3" t="s">
        <v>33</v>
      </c>
    </row>
    <row r="251" spans="2:30">
      <c r="B251" s="3">
        <f>($F$38)*($F$39)*($C$28/2)</f>
        <v>46.71399375</v>
      </c>
      <c r="C251" s="3">
        <f t="shared" si="74"/>
        <v>1569.5901900000001</v>
      </c>
      <c r="D251" s="3">
        <f t="shared" si="68"/>
        <v>2004.8288360145789</v>
      </c>
      <c r="E251" s="3">
        <f t="shared" si="66"/>
        <v>6.4066718331167207</v>
      </c>
      <c r="F251" s="3">
        <f t="shared" si="69"/>
        <v>427.29952127793115</v>
      </c>
      <c r="J251" s="3">
        <f>1466</f>
        <v>1466</v>
      </c>
      <c r="K251" s="3"/>
      <c r="L251" s="3"/>
      <c r="T251" s="3">
        <f>($F$38)*($F$39)*($C$15/2)</f>
        <v>14.751787499999999</v>
      </c>
      <c r="U251" s="3">
        <f t="shared" si="71"/>
        <v>495.66005999999999</v>
      </c>
      <c r="V251" s="3">
        <f t="shared" si="72"/>
        <v>930.89870601457869</v>
      </c>
      <c r="W251" s="3">
        <f t="shared" si="70"/>
        <v>2.9129756750714626</v>
      </c>
      <c r="X251" s="3">
        <f t="shared" si="73"/>
        <v>67.632784913776632</v>
      </c>
      <c r="AB251" s="3">
        <f>51.021</f>
        <v>51.021000000000001</v>
      </c>
      <c r="AC251" s="3">
        <v>3</v>
      </c>
      <c r="AD251" s="3" t="s">
        <v>33</v>
      </c>
    </row>
    <row r="252" spans="2:30">
      <c r="B252" s="3">
        <f>($F$38)*($F$39)*($C$29/2)</f>
        <v>49.172624999999996</v>
      </c>
      <c r="C252" s="3">
        <f t="shared" si="74"/>
        <v>1652.2002</v>
      </c>
      <c r="D252" s="3">
        <f t="shared" si="68"/>
        <v>2087.4388460145788</v>
      </c>
      <c r="E252" s="3">
        <f t="shared" si="66"/>
        <v>6.6706620624535065</v>
      </c>
      <c r="F252" s="3">
        <f t="shared" si="69"/>
        <v>463.23922680112838</v>
      </c>
      <c r="J252" s="3">
        <f>1624</f>
        <v>1624</v>
      </c>
      <c r="K252" s="3"/>
      <c r="L252" s="3"/>
      <c r="T252" s="3">
        <f>($F$38)*($F$39)*($C$16/2)</f>
        <v>17.210418749999999</v>
      </c>
      <c r="U252" s="3">
        <f t="shared" si="71"/>
        <v>578.27007000000003</v>
      </c>
      <c r="V252" s="3">
        <f t="shared" si="72"/>
        <v>1013.5087160145788</v>
      </c>
      <c r="W252" s="3">
        <f t="shared" si="70"/>
        <v>3.1714795789791794</v>
      </c>
      <c r="X252" s="3">
        <f t="shared" si="73"/>
        <v>80.169171105133415</v>
      </c>
      <c r="AB252" s="3">
        <f>69.445</f>
        <v>69.444999999999993</v>
      </c>
      <c r="AC252" s="3">
        <v>3.5</v>
      </c>
      <c r="AD252" s="3" t="s">
        <v>33</v>
      </c>
    </row>
    <row r="253" spans="2:30">
      <c r="B253" s="3">
        <f>($F$38)*($F$39)*($C$30/2)</f>
        <v>51.631256249999993</v>
      </c>
      <c r="C253" s="3">
        <f t="shared" si="74"/>
        <v>1734.8102099999999</v>
      </c>
      <c r="D253" s="3">
        <f t="shared" si="68"/>
        <v>2170.0488560145786</v>
      </c>
      <c r="E253" s="3">
        <f t="shared" si="66"/>
        <v>6.9346522917902922</v>
      </c>
      <c r="F253" s="3">
        <f t="shared" si="69"/>
        <v>500.62995149675476</v>
      </c>
      <c r="J253" s="3">
        <f>1791</f>
        <v>1791</v>
      </c>
      <c r="K253" s="3"/>
      <c r="L253" s="3"/>
      <c r="T253" s="3">
        <f>($F$38)*($F$39)*($C$17/2)</f>
        <v>19.669049999999999</v>
      </c>
      <c r="U253" s="3">
        <f t="shared" si="71"/>
        <v>660.88008000000002</v>
      </c>
      <c r="V253" s="3">
        <f t="shared" si="72"/>
        <v>1096.1187260145787</v>
      </c>
      <c r="W253" s="3">
        <f t="shared" si="70"/>
        <v>3.4299834828868958</v>
      </c>
      <c r="X253" s="3">
        <f t="shared" si="73"/>
        <v>93.770798024229322</v>
      </c>
      <c r="AB253" s="3">
        <f>90.704</f>
        <v>90.703999999999994</v>
      </c>
      <c r="AC253" s="3">
        <v>4</v>
      </c>
      <c r="AD253" s="3" t="s">
        <v>33</v>
      </c>
    </row>
    <row r="254" spans="2:30">
      <c r="B254" s="3">
        <f>($F$38)*($F$39)*($C$31/2)</f>
        <v>54.089887499999996</v>
      </c>
      <c r="C254" s="3">
        <f t="shared" si="74"/>
        <v>1817.42022</v>
      </c>
      <c r="D254" s="3">
        <f t="shared" si="68"/>
        <v>2252.6588660145785</v>
      </c>
      <c r="E254" s="3">
        <f t="shared" si="66"/>
        <v>7.1986425211270779</v>
      </c>
      <c r="F254" s="3">
        <f t="shared" si="69"/>
        <v>539.47169536481033</v>
      </c>
      <c r="J254" s="3">
        <f>1965</f>
        <v>1965</v>
      </c>
      <c r="K254" s="3"/>
      <c r="L254" s="3"/>
      <c r="T254" s="3">
        <f>($F$38)*($F$39)*($C$18/2)</f>
        <v>22.127681249999998</v>
      </c>
      <c r="U254" s="3">
        <f t="shared" si="71"/>
        <v>743.49009000000001</v>
      </c>
      <c r="V254" s="3">
        <f t="shared" si="72"/>
        <v>1178.7287360145788</v>
      </c>
      <c r="W254" s="3">
        <f t="shared" si="70"/>
        <v>3.6884873867946126</v>
      </c>
      <c r="X254" s="3">
        <f t="shared" si="73"/>
        <v>108.43766567106438</v>
      </c>
      <c r="AB254" s="3">
        <f>124.797</f>
        <v>124.797</v>
      </c>
      <c r="AC254" s="3">
        <v>4.5</v>
      </c>
      <c r="AD254" s="3" t="s">
        <v>33</v>
      </c>
    </row>
    <row r="255" spans="2:30">
      <c r="B255" s="3">
        <f>($F$38)*($F$39)*($C$32/2)</f>
        <v>56.548518749999999</v>
      </c>
      <c r="C255" s="3">
        <f t="shared" si="74"/>
        <v>1900.0302300000001</v>
      </c>
      <c r="D255" s="3">
        <f t="shared" si="68"/>
        <v>2335.2688760145788</v>
      </c>
      <c r="E255" s="3">
        <f t="shared" si="66"/>
        <v>7.4626327504638654</v>
      </c>
      <c r="F255" s="3">
        <f t="shared" si="69"/>
        <v>579.76445840529561</v>
      </c>
      <c r="J255" s="3">
        <f>2148</f>
        <v>2148</v>
      </c>
      <c r="K255" s="3"/>
      <c r="L255" s="3"/>
      <c r="T255" s="3">
        <f>($F$38)*($F$39)*($C$19/2)</f>
        <v>24.586312499999998</v>
      </c>
      <c r="U255" s="3">
        <f t="shared" si="71"/>
        <v>826.1001</v>
      </c>
      <c r="V255" s="3">
        <f t="shared" si="72"/>
        <v>1261.3387460145786</v>
      </c>
      <c r="W255" s="3">
        <f t="shared" si="70"/>
        <v>3.9469912907023286</v>
      </c>
      <c r="X255" s="3">
        <f t="shared" si="73"/>
        <v>124.16977404563849</v>
      </c>
      <c r="AB255" s="3">
        <f>141.724</f>
        <v>141.72399999999999</v>
      </c>
      <c r="AC255" s="3">
        <v>5</v>
      </c>
      <c r="AD255" s="3" t="s">
        <v>33</v>
      </c>
    </row>
    <row r="256" spans="2:30">
      <c r="B256" s="3">
        <f>($F$38)*($F$39)*($C$33/2)</f>
        <v>59.007149999999996</v>
      </c>
      <c r="C256" s="3">
        <f t="shared" si="74"/>
        <v>1982.6402399999999</v>
      </c>
      <c r="D256" s="3">
        <f t="shared" si="68"/>
        <v>2417.8788860145787</v>
      </c>
      <c r="E256" s="3">
        <f t="shared" si="66"/>
        <v>7.7266229798006512</v>
      </c>
      <c r="F256" s="3">
        <f t="shared" si="69"/>
        <v>621.50824061820958</v>
      </c>
      <c r="J256" s="3">
        <f>2339</f>
        <v>2339</v>
      </c>
      <c r="K256" s="3"/>
      <c r="L256" s="3"/>
      <c r="T256" s="3">
        <f>($F$38)*($F$39)*($C$20/2)</f>
        <v>27.044943749999998</v>
      </c>
      <c r="U256" s="3">
        <f t="shared" si="71"/>
        <v>908.71010999999999</v>
      </c>
      <c r="V256" s="3">
        <f t="shared" si="72"/>
        <v>1343.9487560145787</v>
      </c>
      <c r="W256" s="3">
        <f t="shared" si="70"/>
        <v>4.2054951946100454</v>
      </c>
      <c r="X256" s="3">
        <f t="shared" si="73"/>
        <v>140.96712314795181</v>
      </c>
      <c r="AB256" s="3">
        <f>171.486</f>
        <v>171.48599999999999</v>
      </c>
      <c r="AC256" s="3">
        <v>5.5</v>
      </c>
      <c r="AD256" s="3" t="s">
        <v>33</v>
      </c>
    </row>
    <row r="257" spans="2:30">
      <c r="B257" s="3">
        <f>($F$38)*($F$39)*($C$34/2)</f>
        <v>0</v>
      </c>
      <c r="C257" s="3">
        <f>$C$46*B257</f>
        <v>0</v>
      </c>
      <c r="D257" s="3">
        <f t="shared" si="68"/>
        <v>435.23864601457871</v>
      </c>
      <c r="E257" s="3">
        <f t="shared" si="66"/>
        <v>1.3908574757177841</v>
      </c>
      <c r="F257" s="3">
        <f t="shared" si="69"/>
        <v>20.138759098733853</v>
      </c>
      <c r="J257" s="29"/>
      <c r="K257" s="4"/>
      <c r="L257" s="30"/>
      <c r="T257" s="3">
        <f>($F$38)*($F$39)*($C$21/2)</f>
        <v>29.503574999999998</v>
      </c>
      <c r="U257" s="3">
        <f t="shared" si="71"/>
        <v>991.32011999999997</v>
      </c>
      <c r="V257" s="3">
        <f t="shared" si="72"/>
        <v>1426.5587660145786</v>
      </c>
      <c r="W257" s="3">
        <f t="shared" si="70"/>
        <v>4.4639990985177613</v>
      </c>
      <c r="X257" s="3">
        <f t="shared" si="73"/>
        <v>158.82971297800415</v>
      </c>
      <c r="AB257" s="3">
        <f>204.083</f>
        <v>204.083</v>
      </c>
      <c r="AC257" s="3">
        <v>6</v>
      </c>
      <c r="AD257" s="3" t="s">
        <v>33</v>
      </c>
    </row>
    <row r="258" spans="2:30">
      <c r="B258" s="29"/>
      <c r="C258" s="4"/>
      <c r="D258" s="4"/>
      <c r="E258" s="4"/>
      <c r="F258" s="30"/>
      <c r="J258" s="29"/>
      <c r="K258" s="4"/>
      <c r="L258" s="30"/>
      <c r="T258" s="3">
        <f>($F$38)*($F$39)*($C$22/2)</f>
        <v>31.962206249999998</v>
      </c>
      <c r="U258" s="3">
        <f t="shared" si="71"/>
        <v>1073.93013</v>
      </c>
      <c r="V258" s="3">
        <f t="shared" si="72"/>
        <v>1509.1687760145787</v>
      </c>
      <c r="W258" s="3">
        <f t="shared" si="70"/>
        <v>4.7225030024254782</v>
      </c>
      <c r="X258" s="3">
        <f t="shared" si="73"/>
        <v>177.75754353579566</v>
      </c>
      <c r="AB258" s="3">
        <f>239.514</f>
        <v>239.51400000000001</v>
      </c>
      <c r="AC258" s="3">
        <v>6.5</v>
      </c>
      <c r="AD258" s="3" t="s">
        <v>33</v>
      </c>
    </row>
    <row r="259" spans="2:30">
      <c r="B259" s="29" t="s">
        <v>130</v>
      </c>
      <c r="C259" s="4"/>
      <c r="D259" s="4"/>
      <c r="E259" s="4"/>
      <c r="F259" s="30"/>
      <c r="J259" s="29" t="s">
        <v>131</v>
      </c>
      <c r="K259" s="4"/>
      <c r="L259" s="30"/>
      <c r="T259" s="3">
        <f>($F$38)*($F$39)*($C$23/2)</f>
        <v>34.420837499999998</v>
      </c>
      <c r="U259" s="3">
        <f>$C$46*T259</f>
        <v>1156.5401400000001</v>
      </c>
      <c r="V259" s="3">
        <f t="shared" si="72"/>
        <v>1591.7787860145788</v>
      </c>
      <c r="W259" s="3">
        <f t="shared" si="70"/>
        <v>4.981006906333195</v>
      </c>
      <c r="X259" s="3">
        <f t="shared" si="73"/>
        <v>197.75061482132634</v>
      </c>
      <c r="AB259" s="3">
        <f>277.78</f>
        <v>277.77999999999997</v>
      </c>
      <c r="AC259" s="3">
        <v>7</v>
      </c>
      <c r="AD259" s="3" t="s">
        <v>33</v>
      </c>
    </row>
    <row r="260" spans="2:30">
      <c r="B260" s="45" t="s">
        <v>75</v>
      </c>
      <c r="C260" s="45" t="s">
        <v>76</v>
      </c>
      <c r="D260" s="45" t="s">
        <v>77</v>
      </c>
      <c r="E260" s="45" t="s">
        <v>78</v>
      </c>
      <c r="F260" s="45" t="s">
        <v>32</v>
      </c>
      <c r="J260" s="45" t="s">
        <v>32</v>
      </c>
      <c r="K260" s="3"/>
      <c r="L260" s="3"/>
      <c r="T260" s="3">
        <f>($F$38)*($F$39)*($C$24/2)</f>
        <v>36.879468750000001</v>
      </c>
      <c r="U260" s="3">
        <f t="shared" ref="U260:U269" si="75">$C$46*T260</f>
        <v>1239.1501500000002</v>
      </c>
      <c r="V260" s="3">
        <f t="shared" si="72"/>
        <v>1674.3887960145789</v>
      </c>
      <c r="W260" s="3">
        <f t="shared" si="70"/>
        <v>5.2395108102409118</v>
      </c>
      <c r="X260" s="3">
        <f t="shared" si="73"/>
        <v>218.80892683459615</v>
      </c>
      <c r="AB260" s="3">
        <f>318.88</f>
        <v>318.88</v>
      </c>
      <c r="AC260" s="3">
        <v>7.5</v>
      </c>
      <c r="AD260" s="3" t="s">
        <v>33</v>
      </c>
    </row>
    <row r="261" spans="2:30">
      <c r="B261" s="3">
        <f>($F$38)*($F$39)*($C$9/2)</f>
        <v>0</v>
      </c>
      <c r="C261" s="3">
        <f>$C$46*B261</f>
        <v>0</v>
      </c>
      <c r="D261" s="3">
        <f>C261+($C$50*$C$52)</f>
        <v>435.23864601457871</v>
      </c>
      <c r="E261" s="3">
        <f t="shared" ref="E261:E286" si="76">(D261)/($C$48+((($F$40)*($C$52))*$F$16)-(($C$49+$C$50)*$F$16^2))</f>
        <v>1.3619522516251636</v>
      </c>
      <c r="F261" s="3">
        <f>($F$16*E261)*($F$16*E261*$C$52)/2</f>
        <v>14.784523048157514</v>
      </c>
      <c r="J261" s="3">
        <v>0</v>
      </c>
      <c r="K261" s="3"/>
      <c r="L261" s="3"/>
      <c r="T261" s="3">
        <f>($F$38)*($F$39)*($C$25/2)</f>
        <v>39.338099999999997</v>
      </c>
      <c r="U261" s="3">
        <f t="shared" si="75"/>
        <v>1321.76016</v>
      </c>
      <c r="V261" s="3">
        <f t="shared" si="72"/>
        <v>1756.9988060145788</v>
      </c>
      <c r="W261" s="3">
        <f t="shared" si="70"/>
        <v>5.4980147141486277</v>
      </c>
      <c r="X261" s="3">
        <f t="shared" si="73"/>
        <v>240.93247957560496</v>
      </c>
      <c r="AB261" s="3">
        <f>362.814</f>
        <v>362.81400000000002</v>
      </c>
      <c r="AC261" s="3">
        <v>8</v>
      </c>
      <c r="AD261" s="3" t="s">
        <v>33</v>
      </c>
    </row>
    <row r="262" spans="2:30">
      <c r="B262" s="3">
        <f>($F$38)*($F$39)*($C$10/2)</f>
        <v>2.4586312499999998</v>
      </c>
      <c r="C262" s="3">
        <f t="shared" ref="C262:C274" si="77">$C$46*B262</f>
        <v>82.610010000000003</v>
      </c>
      <c r="D262" s="3">
        <f t="shared" ref="D262:D286" si="78">C262+($C$50*$C$52)</f>
        <v>517.84865601457875</v>
      </c>
      <c r="E262" s="3">
        <f t="shared" si="76"/>
        <v>1.6204561555328805</v>
      </c>
      <c r="F262" s="3">
        <f t="shared" ref="F262:F286" si="79">($F$16*E262)*($F$16*E262*$C$52)/2</f>
        <v>20.929464873079564</v>
      </c>
      <c r="J262" s="3">
        <f>1.417</f>
        <v>1.417</v>
      </c>
      <c r="K262" s="3"/>
      <c r="L262" s="3"/>
      <c r="T262" s="3">
        <f>($F$38)*($F$39)*($C$26/2)</f>
        <v>41.796731249999993</v>
      </c>
      <c r="U262" s="3">
        <f t="shared" si="75"/>
        <v>1404.3701699999999</v>
      </c>
      <c r="V262" s="3">
        <f t="shared" si="72"/>
        <v>1839.6088160145787</v>
      </c>
      <c r="W262" s="3">
        <f t="shared" si="70"/>
        <v>5.7565186180563446</v>
      </c>
      <c r="X262" s="3">
        <v>250</v>
      </c>
      <c r="AB262" s="3">
        <f>409.583</f>
        <v>409.58300000000003</v>
      </c>
      <c r="AC262" s="3">
        <v>8.5</v>
      </c>
      <c r="AD262" s="3" t="s">
        <v>33</v>
      </c>
    </row>
    <row r="263" spans="2:30">
      <c r="B263" s="3">
        <f>($F$38)*($F$39)*($C$11/2)</f>
        <v>4.9172624999999996</v>
      </c>
      <c r="C263" s="3">
        <f t="shared" si="77"/>
        <v>165.22002000000001</v>
      </c>
      <c r="D263" s="3">
        <f t="shared" si="78"/>
        <v>600.45866601457874</v>
      </c>
      <c r="E263" s="3">
        <f t="shared" si="76"/>
        <v>1.8789600594405969</v>
      </c>
      <c r="F263" s="3">
        <f t="shared" si="79"/>
        <v>28.139647425740733</v>
      </c>
      <c r="J263" s="3">
        <f>5.669</f>
        <v>5.6689999999999996</v>
      </c>
      <c r="K263" s="3"/>
      <c r="L263" s="3"/>
      <c r="T263" s="3">
        <f>($F$38)*($F$39)*($C$27/2)</f>
        <v>44.255362499999997</v>
      </c>
      <c r="U263" s="3">
        <f t="shared" si="75"/>
        <v>1486.98018</v>
      </c>
      <c r="V263" s="3">
        <f t="shared" si="72"/>
        <v>1922.2188260145788</v>
      </c>
      <c r="W263" s="3">
        <f t="shared" si="70"/>
        <v>6.0150225219640614</v>
      </c>
      <c r="X263" s="3">
        <v>250</v>
      </c>
      <c r="AB263" s="3">
        <f>459.187</f>
        <v>459.18700000000001</v>
      </c>
      <c r="AC263" s="3">
        <v>9</v>
      </c>
      <c r="AD263" s="3" t="s">
        <v>33</v>
      </c>
    </row>
    <row r="264" spans="2:30">
      <c r="B264" s="3">
        <f>($F$38)*($F$39)*($C$12/2)</f>
        <v>7.3758937499999995</v>
      </c>
      <c r="C264" s="3">
        <f t="shared" si="77"/>
        <v>247.83002999999999</v>
      </c>
      <c r="D264" s="3">
        <f t="shared" si="78"/>
        <v>683.06867601457873</v>
      </c>
      <c r="E264" s="3">
        <f t="shared" si="76"/>
        <v>2.1374639633483135</v>
      </c>
      <c r="F264" s="3">
        <f t="shared" si="79"/>
        <v>36.415070706141023</v>
      </c>
      <c r="J264" s="3">
        <f>12.755</f>
        <v>12.755000000000001</v>
      </c>
      <c r="K264" s="3"/>
      <c r="L264" s="3"/>
      <c r="T264" s="3">
        <f>($F$38)*($F$39)*($C$28/2)</f>
        <v>46.71399375</v>
      </c>
      <c r="U264" s="3">
        <f t="shared" si="75"/>
        <v>1569.5901900000001</v>
      </c>
      <c r="V264" s="3">
        <f t="shared" si="72"/>
        <v>2004.8288360145789</v>
      </c>
      <c r="W264" s="3">
        <f t="shared" si="70"/>
        <v>6.2735264258717782</v>
      </c>
      <c r="X264" s="3">
        <v>250</v>
      </c>
      <c r="AB264" s="3">
        <f>511.625</f>
        <v>511.625</v>
      </c>
      <c r="AC264" s="3">
        <v>9.5</v>
      </c>
      <c r="AD264" s="3" t="s">
        <v>33</v>
      </c>
    </row>
    <row r="265" spans="2:30">
      <c r="B265" s="3">
        <f>($F$38)*($F$39)*($C$13/2)</f>
        <v>9.8345249999999993</v>
      </c>
      <c r="C265" s="3">
        <f t="shared" si="77"/>
        <v>330.44004000000001</v>
      </c>
      <c r="D265" s="3">
        <f t="shared" si="78"/>
        <v>765.67868601457872</v>
      </c>
      <c r="E265" s="3">
        <f t="shared" si="76"/>
        <v>2.3959678672560298</v>
      </c>
      <c r="F265" s="3">
        <f t="shared" si="79"/>
        <v>45.755734714280436</v>
      </c>
      <c r="J265" s="3">
        <f>22.676</f>
        <v>22.675999999999998</v>
      </c>
      <c r="K265" s="3"/>
      <c r="L265" s="3"/>
      <c r="T265" s="3">
        <f>($F$38)*($F$39)*($C$29/2)</f>
        <v>49.172624999999996</v>
      </c>
      <c r="U265" s="3">
        <f t="shared" si="75"/>
        <v>1652.2002</v>
      </c>
      <c r="V265" s="3">
        <f t="shared" si="72"/>
        <v>2087.4388460145788</v>
      </c>
      <c r="W265" s="3">
        <f t="shared" si="70"/>
        <v>6.5320303297794942</v>
      </c>
      <c r="X265" s="3">
        <v>250</v>
      </c>
      <c r="AB265" s="3">
        <f>566.897</f>
        <v>566.89700000000005</v>
      </c>
      <c r="AC265" s="3">
        <v>10</v>
      </c>
      <c r="AD265" s="3" t="s">
        <v>33</v>
      </c>
    </row>
    <row r="266" spans="2:30">
      <c r="B266" s="3">
        <f>($F$38)*($F$39)*($C$14/2)</f>
        <v>12.293156249999999</v>
      </c>
      <c r="C266" s="3">
        <f t="shared" si="77"/>
        <v>413.05005</v>
      </c>
      <c r="D266" s="3">
        <f t="shared" si="78"/>
        <v>848.2886960145787</v>
      </c>
      <c r="E266" s="3">
        <f t="shared" si="76"/>
        <v>2.6544717711637462</v>
      </c>
      <c r="F266" s="3">
        <f t="shared" si="79"/>
        <v>56.161639450158972</v>
      </c>
      <c r="J266" s="3">
        <f>35.431</f>
        <v>35.430999999999997</v>
      </c>
      <c r="K266" s="3"/>
      <c r="L266" s="3"/>
      <c r="T266" s="3">
        <f>($F$38)*($F$39)*($C$30/2)</f>
        <v>51.631256249999993</v>
      </c>
      <c r="U266" s="3">
        <f t="shared" si="75"/>
        <v>1734.8102099999999</v>
      </c>
      <c r="V266" s="3">
        <f t="shared" si="72"/>
        <v>2170.0488560145786</v>
      </c>
      <c r="W266" s="3">
        <f t="shared" si="70"/>
        <v>6.7905342336872101</v>
      </c>
      <c r="X266" s="3">
        <v>250</v>
      </c>
      <c r="AB266" s="3">
        <f>625.004</f>
        <v>625.00400000000002</v>
      </c>
      <c r="AC266" s="3">
        <v>10.5</v>
      </c>
      <c r="AD266" s="3" t="s">
        <v>33</v>
      </c>
    </row>
    <row r="267" spans="2:30">
      <c r="B267" s="3">
        <f>($F$38)*($F$39)*($C$15/2)</f>
        <v>14.751787499999999</v>
      </c>
      <c r="C267" s="3">
        <f t="shared" si="77"/>
        <v>495.66005999999999</v>
      </c>
      <c r="D267" s="3">
        <f t="shared" si="78"/>
        <v>930.89870601457869</v>
      </c>
      <c r="E267" s="3">
        <f t="shared" si="76"/>
        <v>2.9129756750714626</v>
      </c>
      <c r="F267" s="3">
        <f t="shared" si="79"/>
        <v>67.632784913776632</v>
      </c>
      <c r="J267" s="3">
        <f>51.021</f>
        <v>51.021000000000001</v>
      </c>
      <c r="K267" s="3"/>
      <c r="L267" s="3"/>
      <c r="T267" s="3">
        <f>($F$38)*($F$39)*($C$31/2)</f>
        <v>54.089887499999996</v>
      </c>
      <c r="U267" s="3">
        <f t="shared" si="75"/>
        <v>1817.42022</v>
      </c>
      <c r="V267" s="3">
        <f t="shared" si="72"/>
        <v>2252.6588660145785</v>
      </c>
      <c r="W267" s="3">
        <f t="shared" si="70"/>
        <v>7.049038137594926</v>
      </c>
      <c r="X267" s="3">
        <v>250</v>
      </c>
      <c r="AB267" s="3">
        <f>685.946</f>
        <v>685.94600000000003</v>
      </c>
      <c r="AC267" s="3">
        <v>11</v>
      </c>
      <c r="AD267" s="3" t="s">
        <v>33</v>
      </c>
    </row>
    <row r="268" spans="2:30">
      <c r="B268" s="3">
        <f>($F$38)*($F$39)*($C$16/2)</f>
        <v>17.210418749999999</v>
      </c>
      <c r="C268" s="3">
        <f t="shared" si="77"/>
        <v>578.27007000000003</v>
      </c>
      <c r="D268" s="3">
        <f t="shared" si="78"/>
        <v>1013.5087160145788</v>
      </c>
      <c r="E268" s="3">
        <f t="shared" si="76"/>
        <v>3.1714795789791794</v>
      </c>
      <c r="F268" s="3">
        <f t="shared" si="79"/>
        <v>80.169171105133415</v>
      </c>
      <c r="J268" s="3">
        <f>69.445</f>
        <v>69.444999999999993</v>
      </c>
      <c r="K268" s="3"/>
      <c r="L268" s="3"/>
      <c r="T268" s="3">
        <f>($F$38)*($F$39)*($C$32/2)</f>
        <v>56.548518749999999</v>
      </c>
      <c r="U268" s="3">
        <f t="shared" si="75"/>
        <v>1900.0302300000001</v>
      </c>
      <c r="V268" s="3">
        <f t="shared" si="72"/>
        <v>2335.2688760145788</v>
      </c>
      <c r="W268" s="3">
        <f t="shared" si="70"/>
        <v>7.3075420415026437</v>
      </c>
      <c r="X268" s="3">
        <v>250</v>
      </c>
      <c r="AB268" s="3">
        <f>749.722</f>
        <v>749.72199999999998</v>
      </c>
      <c r="AC268" s="3">
        <v>11.5</v>
      </c>
      <c r="AD268" s="3" t="s">
        <v>33</v>
      </c>
    </row>
    <row r="269" spans="2:30">
      <c r="B269" s="3">
        <f>($F$38)*($F$39)*($C$17/2)</f>
        <v>19.669049999999999</v>
      </c>
      <c r="C269" s="3">
        <f t="shared" si="77"/>
        <v>660.88008000000002</v>
      </c>
      <c r="D269" s="3">
        <f t="shared" si="78"/>
        <v>1096.1187260145787</v>
      </c>
      <c r="E269" s="3">
        <f t="shared" si="76"/>
        <v>3.4299834828868958</v>
      </c>
      <c r="F269" s="3">
        <f t="shared" si="79"/>
        <v>93.770798024229322</v>
      </c>
      <c r="J269" s="3">
        <f>90.704</f>
        <v>90.703999999999994</v>
      </c>
      <c r="K269" s="3"/>
      <c r="L269" s="3"/>
      <c r="T269" s="3">
        <f>($F$38)*($F$39)*($C$33/2)</f>
        <v>59.007149999999996</v>
      </c>
      <c r="U269" s="3">
        <f t="shared" si="75"/>
        <v>1982.6402399999999</v>
      </c>
      <c r="V269" s="3">
        <f t="shared" si="72"/>
        <v>2417.8788860145787</v>
      </c>
      <c r="W269" s="3">
        <f t="shared" si="70"/>
        <v>7.5660459454103597</v>
      </c>
      <c r="X269" s="3">
        <v>250</v>
      </c>
      <c r="AB269" s="3">
        <v>750</v>
      </c>
      <c r="AC269" s="3">
        <v>12</v>
      </c>
      <c r="AD269" s="3" t="s">
        <v>33</v>
      </c>
    </row>
    <row r="270" spans="2:30">
      <c r="B270" s="3">
        <f>($F$38)*($F$39)*($C$18/2)</f>
        <v>22.127681249999998</v>
      </c>
      <c r="C270" s="3">
        <f t="shared" si="77"/>
        <v>743.49009000000001</v>
      </c>
      <c r="D270" s="3">
        <f t="shared" si="78"/>
        <v>1178.7287360145788</v>
      </c>
      <c r="E270" s="3">
        <f t="shared" si="76"/>
        <v>3.6884873867946126</v>
      </c>
      <c r="F270" s="3">
        <f t="shared" si="79"/>
        <v>108.43766567106438</v>
      </c>
      <c r="J270" s="3">
        <f>124.797</f>
        <v>124.797</v>
      </c>
      <c r="K270" s="3"/>
      <c r="L270" s="3"/>
      <c r="T270" s="3"/>
      <c r="U270" s="3"/>
      <c r="V270" s="3"/>
      <c r="W270" s="3"/>
      <c r="X270" s="3"/>
      <c r="AB270" s="29"/>
      <c r="AC270" s="4"/>
      <c r="AD270" s="30"/>
    </row>
    <row r="271" spans="2:30">
      <c r="B271" s="3">
        <f>($F$38)*($F$39)*($C$19/2)</f>
        <v>24.586312499999998</v>
      </c>
      <c r="C271" s="3">
        <f t="shared" si="77"/>
        <v>826.1001</v>
      </c>
      <c r="D271" s="3">
        <f t="shared" si="78"/>
        <v>1261.3387460145786</v>
      </c>
      <c r="E271" s="3">
        <f t="shared" si="76"/>
        <v>3.9469912907023286</v>
      </c>
      <c r="F271" s="3">
        <f t="shared" si="79"/>
        <v>124.16977404563849</v>
      </c>
      <c r="J271" s="3">
        <f>141.724</f>
        <v>141.72399999999999</v>
      </c>
      <c r="K271" s="3"/>
      <c r="L271" s="3"/>
      <c r="T271" s="29"/>
      <c r="U271" s="4"/>
      <c r="V271" s="4"/>
      <c r="W271" s="4"/>
      <c r="X271" s="30"/>
      <c r="AB271" s="29"/>
      <c r="AC271" s="4"/>
      <c r="AD271" s="30"/>
    </row>
    <row r="272" spans="2:30">
      <c r="B272" s="3">
        <f>($F$38)*($F$39)*($C$20/2)</f>
        <v>27.044943749999998</v>
      </c>
      <c r="C272" s="3">
        <f t="shared" si="77"/>
        <v>908.71010999999999</v>
      </c>
      <c r="D272" s="3">
        <f t="shared" si="78"/>
        <v>1343.9487560145787</v>
      </c>
      <c r="E272" s="3">
        <f t="shared" si="76"/>
        <v>4.2054951946100454</v>
      </c>
      <c r="F272" s="3">
        <f t="shared" si="79"/>
        <v>140.96712314795181</v>
      </c>
      <c r="J272" s="3">
        <f>171.486</f>
        <v>171.48599999999999</v>
      </c>
      <c r="K272" s="3">
        <v>5.5</v>
      </c>
      <c r="L272" s="3" t="s">
        <v>33</v>
      </c>
      <c r="T272" s="29" t="s">
        <v>132</v>
      </c>
      <c r="U272" s="4"/>
      <c r="V272" s="4"/>
      <c r="W272" s="4"/>
      <c r="X272" s="30"/>
      <c r="AB272" s="29" t="s">
        <v>133</v>
      </c>
      <c r="AC272" s="4"/>
      <c r="AD272" s="30"/>
    </row>
    <row r="273" spans="2:30">
      <c r="B273" s="3">
        <f>($F$38)*($F$39)*($C$21/2)</f>
        <v>29.503574999999998</v>
      </c>
      <c r="C273" s="3">
        <f t="shared" si="77"/>
        <v>991.32011999999997</v>
      </c>
      <c r="D273" s="3">
        <f t="shared" si="78"/>
        <v>1426.5587660145786</v>
      </c>
      <c r="E273" s="3">
        <f t="shared" si="76"/>
        <v>4.4639990985177613</v>
      </c>
      <c r="F273" s="3">
        <f t="shared" si="79"/>
        <v>158.82971297800415</v>
      </c>
      <c r="J273" s="3">
        <f>204.083</f>
        <v>204.083</v>
      </c>
      <c r="K273" s="3"/>
      <c r="L273" s="3"/>
      <c r="T273" s="45" t="s">
        <v>75</v>
      </c>
      <c r="U273" s="45" t="s">
        <v>76</v>
      </c>
      <c r="V273" s="45" t="s">
        <v>77</v>
      </c>
      <c r="W273" s="45" t="s">
        <v>78</v>
      </c>
      <c r="X273" s="45" t="s">
        <v>32</v>
      </c>
      <c r="AB273" s="45" t="s">
        <v>32</v>
      </c>
      <c r="AC273" s="3"/>
      <c r="AD273" s="3"/>
    </row>
    <row r="274" spans="2:30">
      <c r="B274" s="3">
        <f>($F$38)*($F$39)*($C$22/2)</f>
        <v>31.962206249999998</v>
      </c>
      <c r="C274" s="3">
        <f t="shared" si="77"/>
        <v>1073.93013</v>
      </c>
      <c r="D274" s="3">
        <f t="shared" si="78"/>
        <v>1509.1687760145787</v>
      </c>
      <c r="E274" s="3">
        <f t="shared" si="76"/>
        <v>4.7225030024254782</v>
      </c>
      <c r="F274" s="3">
        <f t="shared" si="79"/>
        <v>177.75754353579566</v>
      </c>
      <c r="J274" s="3">
        <f>239.514</f>
        <v>239.51400000000001</v>
      </c>
      <c r="K274" s="3"/>
      <c r="L274" s="3"/>
      <c r="T274" s="3">
        <f>($F$38)*($F$39)*($C$9/2)</f>
        <v>0</v>
      </c>
      <c r="U274" s="3">
        <f>$C$46*T274</f>
        <v>0</v>
      </c>
      <c r="V274" s="3">
        <f>U274+($C$50*$C$52)</f>
        <v>435.23864601457871</v>
      </c>
      <c r="W274" s="3">
        <f t="shared" ref="W274:W298" si="80">(V274)/($C$48+((($F$40)*($C$52))*$F$17)-(($C$49+$C$50)*$F$17^2))</f>
        <v>1.3439276242427232</v>
      </c>
      <c r="X274" s="3">
        <f>($F$17*W274)*($F$17*W274*$C$52)/2</f>
        <v>11.374446478756429</v>
      </c>
      <c r="AB274" s="3">
        <v>0</v>
      </c>
      <c r="AC274" s="3">
        <v>0</v>
      </c>
      <c r="AD274" s="3" t="s">
        <v>33</v>
      </c>
    </row>
    <row r="275" spans="2:30">
      <c r="B275" s="3">
        <f>($F$38)*($F$39)*($C$23/2)</f>
        <v>34.420837499999998</v>
      </c>
      <c r="C275" s="3">
        <f>$C$46*B275</f>
        <v>1156.5401400000001</v>
      </c>
      <c r="D275" s="3">
        <f t="shared" si="78"/>
        <v>1591.7787860145788</v>
      </c>
      <c r="E275" s="3">
        <f t="shared" si="76"/>
        <v>4.981006906333195</v>
      </c>
      <c r="F275" s="3">
        <f t="shared" si="79"/>
        <v>197.75061482132634</v>
      </c>
      <c r="J275" s="3">
        <f>277.78</f>
        <v>277.77999999999997</v>
      </c>
      <c r="K275" s="3"/>
      <c r="L275" s="3"/>
      <c r="T275" s="3">
        <f>($F$38)*($F$39)*($C$10/2)</f>
        <v>2.4586312499999998</v>
      </c>
      <c r="U275" s="3">
        <f t="shared" ref="U275:U287" si="81">$C$46*T275</f>
        <v>82.610010000000003</v>
      </c>
      <c r="V275" s="3">
        <f t="shared" ref="V275:V298" si="82">U275+($C$50*$C$52)</f>
        <v>517.84865601457875</v>
      </c>
      <c r="W275" s="3">
        <f t="shared" si="80"/>
        <v>1.5990103828501674</v>
      </c>
      <c r="X275" s="3">
        <f t="shared" ref="X275:X293" si="83">($F$17*W275)*($F$17*W275*$C$52)/2</f>
        <v>16.102046528820825</v>
      </c>
      <c r="AB275" s="3">
        <f>0.503</f>
        <v>0.503</v>
      </c>
      <c r="AC275" s="3">
        <v>0.5</v>
      </c>
      <c r="AD275" s="3" t="s">
        <v>33</v>
      </c>
    </row>
    <row r="276" spans="2:30">
      <c r="B276" s="3">
        <f>($F$38)*($F$39)*($C$24/2)</f>
        <v>36.879468750000001</v>
      </c>
      <c r="C276" s="3">
        <f t="shared" ref="C276:C285" si="84">$C$46*B276</f>
        <v>1239.1501500000002</v>
      </c>
      <c r="D276" s="3">
        <f t="shared" si="78"/>
        <v>1674.3887960145789</v>
      </c>
      <c r="E276" s="3">
        <f t="shared" si="76"/>
        <v>5.2395108102409118</v>
      </c>
      <c r="F276" s="3">
        <f t="shared" si="79"/>
        <v>218.80892683459615</v>
      </c>
      <c r="J276" s="3">
        <f>318.88</f>
        <v>318.88</v>
      </c>
      <c r="K276" s="3"/>
      <c r="L276" s="3"/>
      <c r="T276" s="3">
        <f>($F$38)*($F$39)*($C$11/2)</f>
        <v>4.9172624999999996</v>
      </c>
      <c r="U276" s="3">
        <f t="shared" si="81"/>
        <v>165.22002000000001</v>
      </c>
      <c r="V276" s="3">
        <f t="shared" si="82"/>
        <v>600.45866601457874</v>
      </c>
      <c r="W276" s="3">
        <f t="shared" si="80"/>
        <v>1.8540931414576116</v>
      </c>
      <c r="X276" s="3">
        <f t="shared" si="83"/>
        <v>21.64918763578596</v>
      </c>
      <c r="AB276" s="3">
        <f>2.011</f>
        <v>2.0110000000000001</v>
      </c>
      <c r="AC276" s="3">
        <v>1</v>
      </c>
      <c r="AD276" s="3" t="s">
        <v>33</v>
      </c>
    </row>
    <row r="277" spans="2:30">
      <c r="B277" s="3">
        <f>($F$38)*($F$39)*($C$25/2)</f>
        <v>39.338099999999997</v>
      </c>
      <c r="C277" s="3">
        <f t="shared" si="84"/>
        <v>1321.76016</v>
      </c>
      <c r="D277" s="3">
        <f t="shared" si="78"/>
        <v>1756.9988060145788</v>
      </c>
      <c r="E277" s="3">
        <f t="shared" si="76"/>
        <v>5.4980147141486277</v>
      </c>
      <c r="F277" s="3">
        <f t="shared" si="79"/>
        <v>240.93247957560496</v>
      </c>
      <c r="J277" s="3">
        <f>362.814</f>
        <v>362.81400000000002</v>
      </c>
      <c r="K277" s="3"/>
      <c r="L277" s="3"/>
      <c r="T277" s="3">
        <f>($F$38)*($F$39)*($C$12/2)</f>
        <v>7.3758937499999995</v>
      </c>
      <c r="U277" s="3">
        <f t="shared" si="81"/>
        <v>247.83002999999999</v>
      </c>
      <c r="V277" s="3">
        <f t="shared" si="82"/>
        <v>683.06867601457873</v>
      </c>
      <c r="W277" s="3">
        <f t="shared" si="80"/>
        <v>2.1091759000650558</v>
      </c>
      <c r="X277" s="3">
        <f t="shared" si="83"/>
        <v>28.015869799651814</v>
      </c>
      <c r="AB277" s="3">
        <f>4.526</f>
        <v>4.5259999999999998</v>
      </c>
      <c r="AC277" s="3">
        <v>1.5</v>
      </c>
      <c r="AD277" s="3" t="s">
        <v>33</v>
      </c>
    </row>
    <row r="278" spans="2:30">
      <c r="B278" s="3">
        <f>($F$38)*($F$39)*($C$26/2)</f>
        <v>41.796731249999993</v>
      </c>
      <c r="C278" s="3">
        <f t="shared" si="84"/>
        <v>1404.3701699999999</v>
      </c>
      <c r="D278" s="3">
        <f t="shared" si="78"/>
        <v>1839.6088160145787</v>
      </c>
      <c r="E278" s="3">
        <f t="shared" si="76"/>
        <v>5.7565186180563446</v>
      </c>
      <c r="F278" s="3">
        <f t="shared" si="79"/>
        <v>264.12127304435302</v>
      </c>
      <c r="J278" s="3">
        <f>409.583</f>
        <v>409.58300000000003</v>
      </c>
      <c r="K278" s="3"/>
      <c r="L278" s="3"/>
      <c r="T278" s="3">
        <f>($F$38)*($F$39)*($C$13/2)</f>
        <v>9.8345249999999993</v>
      </c>
      <c r="U278" s="3">
        <f t="shared" si="81"/>
        <v>330.44004000000001</v>
      </c>
      <c r="V278" s="3">
        <f t="shared" si="82"/>
        <v>765.67868601457872</v>
      </c>
      <c r="W278" s="3">
        <f t="shared" si="80"/>
        <v>2.3642586586724996</v>
      </c>
      <c r="X278" s="3">
        <f t="shared" si="83"/>
        <v>35.202093020418388</v>
      </c>
      <c r="AB278" s="3">
        <f>8.045</f>
        <v>8.0449999999999999</v>
      </c>
      <c r="AC278" s="3">
        <v>2</v>
      </c>
      <c r="AD278" s="3" t="s">
        <v>33</v>
      </c>
    </row>
    <row r="279" spans="2:30">
      <c r="B279" s="3">
        <f>($F$38)*($F$39)*($C$27/2)</f>
        <v>44.255362499999997</v>
      </c>
      <c r="C279" s="3">
        <f t="shared" si="84"/>
        <v>1486.98018</v>
      </c>
      <c r="D279" s="3">
        <f t="shared" si="78"/>
        <v>1922.2188260145788</v>
      </c>
      <c r="E279" s="3">
        <f t="shared" si="76"/>
        <v>6.0150225219640614</v>
      </c>
      <c r="F279" s="3">
        <f t="shared" si="79"/>
        <v>288.37530724084024</v>
      </c>
      <c r="J279" s="3">
        <f>459.187</f>
        <v>459.18700000000001</v>
      </c>
      <c r="K279" s="3"/>
      <c r="L279" s="3"/>
      <c r="T279" s="3">
        <f>($F$38)*($F$39)*($C$14/2)</f>
        <v>12.293156249999999</v>
      </c>
      <c r="U279" s="3">
        <f t="shared" si="81"/>
        <v>413.05005</v>
      </c>
      <c r="V279" s="3">
        <f t="shared" si="82"/>
        <v>848.2886960145787</v>
      </c>
      <c r="W279" s="3">
        <f t="shared" si="80"/>
        <v>2.6193414172799439</v>
      </c>
      <c r="X279" s="3">
        <f t="shared" si="83"/>
        <v>43.207857298085699</v>
      </c>
      <c r="AB279" s="3">
        <f>12.571</f>
        <v>12.571</v>
      </c>
      <c r="AC279" s="3">
        <v>2.5</v>
      </c>
      <c r="AD279" s="3" t="s">
        <v>33</v>
      </c>
    </row>
    <row r="280" spans="2:30">
      <c r="B280" s="3">
        <f>($F$38)*($F$39)*($C$28/2)</f>
        <v>46.71399375</v>
      </c>
      <c r="C280" s="3">
        <f t="shared" si="84"/>
        <v>1569.5901900000001</v>
      </c>
      <c r="D280" s="3">
        <f t="shared" si="78"/>
        <v>2004.8288360145789</v>
      </c>
      <c r="E280" s="3">
        <f t="shared" si="76"/>
        <v>6.2735264258717782</v>
      </c>
      <c r="F280" s="3">
        <f t="shared" si="79"/>
        <v>313.69458216506655</v>
      </c>
      <c r="J280" s="3">
        <f>511.625</f>
        <v>511.625</v>
      </c>
      <c r="K280" s="3"/>
      <c r="L280" s="3"/>
      <c r="T280" s="3">
        <f>($F$38)*($F$39)*($C$15/2)</f>
        <v>14.751787499999999</v>
      </c>
      <c r="U280" s="3">
        <f t="shared" si="81"/>
        <v>495.66005999999999</v>
      </c>
      <c r="V280" s="3">
        <f t="shared" si="82"/>
        <v>930.89870601457869</v>
      </c>
      <c r="W280" s="3">
        <f t="shared" si="80"/>
        <v>2.8744241758873881</v>
      </c>
      <c r="X280" s="3">
        <f t="shared" si="83"/>
        <v>52.033162632653749</v>
      </c>
      <c r="AB280" s="3">
        <f>18.102</f>
        <v>18.102</v>
      </c>
      <c r="AC280" s="3">
        <v>3</v>
      </c>
      <c r="AD280" s="3" t="s">
        <v>33</v>
      </c>
    </row>
    <row r="281" spans="2:30">
      <c r="B281" s="3">
        <f>($F$38)*($F$39)*($C$29/2)</f>
        <v>49.172624999999996</v>
      </c>
      <c r="C281" s="3">
        <f t="shared" si="84"/>
        <v>1652.2002</v>
      </c>
      <c r="D281" s="3">
        <f t="shared" si="78"/>
        <v>2087.4388460145788</v>
      </c>
      <c r="E281" s="3">
        <f t="shared" si="76"/>
        <v>6.5320303297794942</v>
      </c>
      <c r="F281" s="3">
        <f t="shared" si="79"/>
        <v>340.07909781703188</v>
      </c>
      <c r="J281" s="3">
        <f>566.897</f>
        <v>566.89700000000005</v>
      </c>
      <c r="K281" s="3"/>
      <c r="L281" s="3"/>
      <c r="T281" s="3">
        <f>($F$38)*($F$39)*($C$16/2)</f>
        <v>17.210418749999999</v>
      </c>
      <c r="U281" s="3">
        <f t="shared" si="81"/>
        <v>578.27007000000003</v>
      </c>
      <c r="V281" s="3">
        <f t="shared" si="82"/>
        <v>1013.5087160145788</v>
      </c>
      <c r="W281" s="3">
        <f t="shared" si="80"/>
        <v>3.1295069344948323</v>
      </c>
      <c r="X281" s="3">
        <f t="shared" si="83"/>
        <v>61.678009024122531</v>
      </c>
      <c r="AB281" s="3">
        <f>24.639</f>
        <v>24.638999999999999</v>
      </c>
      <c r="AC281" s="3">
        <v>3.5</v>
      </c>
      <c r="AD281" s="3" t="s">
        <v>33</v>
      </c>
    </row>
    <row r="282" spans="2:30">
      <c r="B282" s="3">
        <f>($F$38)*($F$39)*($C$30/2)</f>
        <v>51.631256249999993</v>
      </c>
      <c r="C282" s="3">
        <f t="shared" si="84"/>
        <v>1734.8102099999999</v>
      </c>
      <c r="D282" s="3">
        <f t="shared" si="78"/>
        <v>2170.0488560145786</v>
      </c>
      <c r="E282" s="3">
        <f t="shared" si="76"/>
        <v>6.7905342336872101</v>
      </c>
      <c r="F282" s="3">
        <f t="shared" si="79"/>
        <v>367.52885419673629</v>
      </c>
      <c r="J282" s="3">
        <f>625.004</f>
        <v>625.00400000000002</v>
      </c>
      <c r="K282" s="3"/>
      <c r="L282" s="3"/>
      <c r="T282" s="3">
        <f>($F$38)*($F$39)*($C$17/2)</f>
        <v>19.669049999999999</v>
      </c>
      <c r="U282" s="3">
        <f t="shared" si="81"/>
        <v>660.88008000000002</v>
      </c>
      <c r="V282" s="3">
        <f t="shared" si="82"/>
        <v>1096.1187260145787</v>
      </c>
      <c r="W282" s="3">
        <f t="shared" si="80"/>
        <v>3.3845896931022761</v>
      </c>
      <c r="X282" s="3">
        <f t="shared" si="83"/>
        <v>72.142396472492024</v>
      </c>
      <c r="AB282" s="3">
        <f>32.182</f>
        <v>32.182000000000002</v>
      </c>
      <c r="AC282" s="3">
        <v>4</v>
      </c>
      <c r="AD282" s="3" t="s">
        <v>33</v>
      </c>
    </row>
    <row r="283" spans="2:30">
      <c r="B283" s="3">
        <f>($F$38)*($F$39)*($C$31/2)</f>
        <v>54.089887499999996</v>
      </c>
      <c r="C283" s="3">
        <f t="shared" si="84"/>
        <v>1817.42022</v>
      </c>
      <c r="D283" s="3">
        <f t="shared" si="78"/>
        <v>2252.6588660145785</v>
      </c>
      <c r="E283" s="3">
        <f t="shared" si="76"/>
        <v>7.049038137594926</v>
      </c>
      <c r="F283" s="3">
        <f t="shared" si="79"/>
        <v>396.04385130417984</v>
      </c>
      <c r="J283" s="3">
        <f>685.946</f>
        <v>685.94600000000003</v>
      </c>
      <c r="K283" s="3"/>
      <c r="L283" s="3"/>
      <c r="T283" s="3">
        <f>($F$38)*($F$39)*($C$18/2)</f>
        <v>22.127681249999998</v>
      </c>
      <c r="U283" s="3">
        <f t="shared" si="81"/>
        <v>743.49009000000001</v>
      </c>
      <c r="V283" s="3">
        <f t="shared" si="82"/>
        <v>1178.7287360145788</v>
      </c>
      <c r="W283" s="3">
        <f t="shared" si="80"/>
        <v>3.6396724517097208</v>
      </c>
      <c r="X283" s="3">
        <f t="shared" si="83"/>
        <v>83.426324977762263</v>
      </c>
      <c r="AB283" s="3">
        <f>40.73</f>
        <v>40.729999999999997</v>
      </c>
      <c r="AC283" s="3">
        <v>4.5</v>
      </c>
      <c r="AD283" s="3" t="s">
        <v>33</v>
      </c>
    </row>
    <row r="284" spans="2:30">
      <c r="B284" s="3">
        <f>($F$38)*($F$39)*($C$32/2)</f>
        <v>56.548518749999999</v>
      </c>
      <c r="C284" s="3">
        <f t="shared" si="84"/>
        <v>1900.0302300000001</v>
      </c>
      <c r="D284" s="3">
        <f t="shared" si="78"/>
        <v>2335.2688760145788</v>
      </c>
      <c r="E284" s="3">
        <f t="shared" si="76"/>
        <v>7.3075420415026437</v>
      </c>
      <c r="F284" s="3">
        <f t="shared" si="79"/>
        <v>425.6240891393627</v>
      </c>
      <c r="J284" s="3">
        <f>749.722</f>
        <v>749.72199999999998</v>
      </c>
      <c r="K284" s="3"/>
      <c r="L284" s="3"/>
      <c r="T284" s="3">
        <f>($F$38)*($F$39)*($C$19/2)</f>
        <v>24.586312499999998</v>
      </c>
      <c r="U284" s="3">
        <f t="shared" si="81"/>
        <v>826.1001</v>
      </c>
      <c r="V284" s="3">
        <f t="shared" si="82"/>
        <v>1261.3387460145786</v>
      </c>
      <c r="W284" s="3">
        <f t="shared" si="80"/>
        <v>3.8947552103171645</v>
      </c>
      <c r="X284" s="3">
        <f t="shared" si="83"/>
        <v>95.529794539933221</v>
      </c>
      <c r="AB284" s="3">
        <f>50.284</f>
        <v>50.283999999999999</v>
      </c>
      <c r="AC284" s="3">
        <v>5</v>
      </c>
      <c r="AD284" s="3" t="s">
        <v>33</v>
      </c>
    </row>
    <row r="285" spans="2:30">
      <c r="B285" s="3">
        <f>($F$38)*($F$39)*($C$33/2)</f>
        <v>59.007149999999996</v>
      </c>
      <c r="C285" s="3">
        <f t="shared" si="84"/>
        <v>1982.6402399999999</v>
      </c>
      <c r="D285" s="3">
        <f t="shared" si="78"/>
        <v>2417.8788860145787</v>
      </c>
      <c r="E285" s="3">
        <f t="shared" si="76"/>
        <v>7.5660459454103597</v>
      </c>
      <c r="F285" s="3">
        <f t="shared" si="79"/>
        <v>456.26956770228446</v>
      </c>
      <c r="J285" s="3">
        <f>816.332</f>
        <v>816.33199999999999</v>
      </c>
      <c r="K285" s="3"/>
      <c r="L285" s="3"/>
      <c r="T285" s="3">
        <f>($F$38)*($F$39)*($C$20/2)</f>
        <v>27.044943749999998</v>
      </c>
      <c r="U285" s="3">
        <f t="shared" si="81"/>
        <v>908.71010999999999</v>
      </c>
      <c r="V285" s="3">
        <f t="shared" si="82"/>
        <v>1343.9487560145787</v>
      </c>
      <c r="W285" s="3">
        <f t="shared" si="80"/>
        <v>4.1498379689246088</v>
      </c>
      <c r="X285" s="3">
        <f t="shared" si="83"/>
        <v>108.45280515900491</v>
      </c>
      <c r="AB285" s="3">
        <f>60.844</f>
        <v>60.844000000000001</v>
      </c>
      <c r="AC285" s="3">
        <v>5.5</v>
      </c>
      <c r="AD285" s="3" t="s">
        <v>33</v>
      </c>
    </row>
    <row r="286" spans="2:30">
      <c r="B286" s="3">
        <f>($F$38)*($F$39)*($C$34/2)</f>
        <v>0</v>
      </c>
      <c r="C286" s="3">
        <f>$C$46*B286</f>
        <v>0</v>
      </c>
      <c r="D286" s="3">
        <f t="shared" si="78"/>
        <v>435.23864601457871</v>
      </c>
      <c r="E286" s="3">
        <f t="shared" si="76"/>
        <v>1.3619522516251636</v>
      </c>
      <c r="F286" s="3">
        <f t="shared" si="79"/>
        <v>14.784523048157514</v>
      </c>
      <c r="J286" s="29"/>
      <c r="K286" s="4"/>
      <c r="L286" s="30"/>
      <c r="T286" s="3">
        <f>($F$38)*($F$39)*($C$21/2)</f>
        <v>29.503574999999998</v>
      </c>
      <c r="U286" s="3">
        <f t="shared" si="81"/>
        <v>991.32011999999997</v>
      </c>
      <c r="V286" s="3">
        <f t="shared" si="82"/>
        <v>1426.5587660145786</v>
      </c>
      <c r="W286" s="3">
        <f t="shared" si="80"/>
        <v>4.404920727532053</v>
      </c>
      <c r="X286" s="3">
        <f t="shared" si="83"/>
        <v>122.19535683497732</v>
      </c>
      <c r="AB286" s="3">
        <f>72.409</f>
        <v>72.409000000000006</v>
      </c>
      <c r="AC286" s="3">
        <v>6</v>
      </c>
      <c r="AD286" s="3" t="s">
        <v>33</v>
      </c>
    </row>
    <row r="287" spans="2:30">
      <c r="B287" s="29"/>
      <c r="C287" s="4"/>
      <c r="D287" s="4"/>
      <c r="E287" s="4"/>
      <c r="F287" s="30"/>
      <c r="J287" s="29"/>
      <c r="K287" s="4"/>
      <c r="L287" s="30"/>
      <c r="T287" s="3">
        <f>($F$38)*($F$39)*($C$22/2)</f>
        <v>31.962206249999998</v>
      </c>
      <c r="U287" s="3">
        <f t="shared" si="81"/>
        <v>1073.93013</v>
      </c>
      <c r="V287" s="3">
        <f t="shared" si="82"/>
        <v>1509.1687760145787</v>
      </c>
      <c r="W287" s="3">
        <f t="shared" si="80"/>
        <v>4.6600034861394972</v>
      </c>
      <c r="X287" s="3">
        <f t="shared" si="83"/>
        <v>136.7574495678505</v>
      </c>
      <c r="AB287" s="3">
        <f>84.981</f>
        <v>84.980999999999995</v>
      </c>
      <c r="AC287" s="3">
        <v>6.5</v>
      </c>
      <c r="AD287" s="3" t="s">
        <v>33</v>
      </c>
    </row>
    <row r="288" spans="2:30">
      <c r="B288" s="29" t="s">
        <v>132</v>
      </c>
      <c r="C288" s="4"/>
      <c r="D288" s="4"/>
      <c r="E288" s="4"/>
      <c r="F288" s="30"/>
      <c r="J288" s="29" t="s">
        <v>133</v>
      </c>
      <c r="K288" s="4"/>
      <c r="L288" s="30"/>
      <c r="T288" s="3">
        <f>($F$38)*($F$39)*($C$23/2)</f>
        <v>34.420837499999998</v>
      </c>
      <c r="U288" s="3">
        <f>$C$46*T288</f>
        <v>1156.5401400000001</v>
      </c>
      <c r="V288" s="3">
        <f t="shared" si="82"/>
        <v>1591.7787860145788</v>
      </c>
      <c r="W288" s="3">
        <f t="shared" si="80"/>
        <v>4.9150862447469414</v>
      </c>
      <c r="X288" s="3">
        <f t="shared" si="83"/>
        <v>152.1390833576244</v>
      </c>
      <c r="AB288" s="3">
        <f>98.557</f>
        <v>98.557000000000002</v>
      </c>
      <c r="AC288" s="3">
        <v>7</v>
      </c>
      <c r="AD288" s="3" t="s">
        <v>33</v>
      </c>
    </row>
    <row r="289" spans="2:30">
      <c r="B289" s="45" t="s">
        <v>75</v>
      </c>
      <c r="C289" s="45" t="s">
        <v>76</v>
      </c>
      <c r="D289" s="45" t="s">
        <v>77</v>
      </c>
      <c r="E289" s="45" t="s">
        <v>78</v>
      </c>
      <c r="F289" s="45" t="s">
        <v>32</v>
      </c>
      <c r="J289" s="45" t="s">
        <v>32</v>
      </c>
      <c r="K289" s="3"/>
      <c r="L289" s="3"/>
      <c r="T289" s="3">
        <f>($F$38)*($F$39)*($C$24/2)</f>
        <v>36.879468750000001</v>
      </c>
      <c r="U289" s="3">
        <f t="shared" ref="U289:U298" si="85">$C$46*T289</f>
        <v>1239.1501500000002</v>
      </c>
      <c r="V289" s="3">
        <f t="shared" si="82"/>
        <v>1674.3887960145789</v>
      </c>
      <c r="W289" s="3">
        <f t="shared" si="80"/>
        <v>5.1701690033543857</v>
      </c>
      <c r="X289" s="3">
        <f t="shared" si="83"/>
        <v>168.34025820429898</v>
      </c>
      <c r="AB289" s="3">
        <f>113.14</f>
        <v>113.14</v>
      </c>
      <c r="AC289" s="3">
        <v>7.5</v>
      </c>
      <c r="AD289" s="3" t="s">
        <v>33</v>
      </c>
    </row>
    <row r="290" spans="2:30">
      <c r="B290" s="3">
        <f>($F$38)*($F$39)*($C$9/2)</f>
        <v>0</v>
      </c>
      <c r="C290" s="3">
        <f>$C$46*B290</f>
        <v>0</v>
      </c>
      <c r="D290" s="3">
        <f>C290+($C$50*$C$52)</f>
        <v>435.23864601457871</v>
      </c>
      <c r="E290" s="3">
        <f t="shared" ref="E290:E315" si="86">(D290)/($C$48+((($F$40)*($C$52))*$F$17)-(($C$49+$C$50)*$F$17^2))</f>
        <v>1.3439276242427232</v>
      </c>
      <c r="F290" s="3">
        <f>($F$17*E290)*($F$17*E290*$C$52)/2</f>
        <v>11.374446478756429</v>
      </c>
      <c r="J290" s="3">
        <v>0</v>
      </c>
      <c r="K290" s="3"/>
      <c r="L290" s="3"/>
      <c r="T290" s="3">
        <f>($F$38)*($F$39)*($C$25/2)</f>
        <v>39.338099999999997</v>
      </c>
      <c r="U290" s="3">
        <f t="shared" si="85"/>
        <v>1321.76016</v>
      </c>
      <c r="V290" s="3">
        <f t="shared" si="82"/>
        <v>1756.9988060145788</v>
      </c>
      <c r="W290" s="3">
        <f t="shared" si="80"/>
        <v>5.4252517619618299</v>
      </c>
      <c r="X290" s="3">
        <f t="shared" si="83"/>
        <v>185.36097410787434</v>
      </c>
      <c r="AB290" s="3">
        <f>128.728</f>
        <v>128.72800000000001</v>
      </c>
      <c r="AC290" s="3">
        <v>8</v>
      </c>
      <c r="AD290" s="3" t="s">
        <v>33</v>
      </c>
    </row>
    <row r="291" spans="2:30">
      <c r="B291" s="3">
        <f>($F$38)*($F$39)*($C$10/2)</f>
        <v>2.4586312499999998</v>
      </c>
      <c r="C291" s="3">
        <f t="shared" ref="C291:C303" si="87">$C$46*B291</f>
        <v>82.610010000000003</v>
      </c>
      <c r="D291" s="3">
        <f t="shared" ref="D291:D315" si="88">C291+($C$50*$C$52)</f>
        <v>517.84865601457875</v>
      </c>
      <c r="E291" s="3">
        <f t="shared" si="86"/>
        <v>1.5990103828501674</v>
      </c>
      <c r="F291" s="3">
        <f t="shared" ref="F291:F315" si="89">($F$17*E291)*($F$17*E291*$C$52)/2</f>
        <v>16.102046528820825</v>
      </c>
      <c r="J291" s="3">
        <f>0.503</f>
        <v>0.503</v>
      </c>
      <c r="K291" s="3"/>
      <c r="L291" s="3"/>
      <c r="T291" s="3">
        <f>($F$38)*($F$39)*($C$26/2)</f>
        <v>41.796731249999993</v>
      </c>
      <c r="U291" s="3">
        <f t="shared" si="85"/>
        <v>1404.3701699999999</v>
      </c>
      <c r="V291" s="3">
        <f t="shared" si="82"/>
        <v>1839.6088160145787</v>
      </c>
      <c r="W291" s="3">
        <f t="shared" si="80"/>
        <v>5.6803345205692732</v>
      </c>
      <c r="X291" s="3">
        <f t="shared" si="83"/>
        <v>203.20123106835035</v>
      </c>
      <c r="AB291" s="3">
        <f>145.322</f>
        <v>145.322</v>
      </c>
      <c r="AC291" s="3">
        <v>8.5</v>
      </c>
      <c r="AD291" s="3" t="s">
        <v>33</v>
      </c>
    </row>
    <row r="292" spans="2:30">
      <c r="B292" s="3">
        <f>($F$38)*($F$39)*($C$11/2)</f>
        <v>4.9172624999999996</v>
      </c>
      <c r="C292" s="3">
        <f t="shared" si="87"/>
        <v>165.22002000000001</v>
      </c>
      <c r="D292" s="3">
        <f t="shared" si="88"/>
        <v>600.45866601457874</v>
      </c>
      <c r="E292" s="3">
        <f t="shared" si="86"/>
        <v>1.8540931414576116</v>
      </c>
      <c r="F292" s="3">
        <f t="shared" si="89"/>
        <v>21.64918763578596</v>
      </c>
      <c r="J292" s="3">
        <f>2.011</f>
        <v>2.0110000000000001</v>
      </c>
      <c r="K292" s="3"/>
      <c r="L292" s="3"/>
      <c r="T292" s="3">
        <f>($F$38)*($F$39)*($C$27/2)</f>
        <v>44.255362499999997</v>
      </c>
      <c r="U292" s="3">
        <f t="shared" si="85"/>
        <v>1486.98018</v>
      </c>
      <c r="V292" s="3">
        <f t="shared" si="82"/>
        <v>1922.2188260145788</v>
      </c>
      <c r="W292" s="3">
        <f t="shared" si="80"/>
        <v>5.9354172791767175</v>
      </c>
      <c r="X292" s="3">
        <f t="shared" si="83"/>
        <v>221.86102908572718</v>
      </c>
      <c r="AB292" s="3">
        <f>162.921</f>
        <v>162.92099999999999</v>
      </c>
      <c r="AC292" s="3">
        <v>9</v>
      </c>
      <c r="AD292" s="3" t="s">
        <v>33</v>
      </c>
    </row>
    <row r="293" spans="2:30">
      <c r="B293" s="3">
        <f>($F$38)*($F$39)*($C$12/2)</f>
        <v>7.3758937499999995</v>
      </c>
      <c r="C293" s="3">
        <f t="shared" si="87"/>
        <v>247.83002999999999</v>
      </c>
      <c r="D293" s="3">
        <f t="shared" si="88"/>
        <v>683.06867601457873</v>
      </c>
      <c r="E293" s="3">
        <f t="shared" si="86"/>
        <v>2.1091759000650558</v>
      </c>
      <c r="F293" s="3">
        <f t="shared" si="89"/>
        <v>28.015869799651814</v>
      </c>
      <c r="J293" s="3">
        <f>4.526</f>
        <v>4.5259999999999998</v>
      </c>
      <c r="K293" s="3"/>
      <c r="L293" s="3"/>
      <c r="T293" s="3">
        <f>($F$38)*($F$39)*($C$28/2)</f>
        <v>46.71399375</v>
      </c>
      <c r="U293" s="3">
        <f t="shared" si="85"/>
        <v>1569.5901900000001</v>
      </c>
      <c r="V293" s="3">
        <f t="shared" si="82"/>
        <v>2004.8288360145789</v>
      </c>
      <c r="W293" s="3">
        <f t="shared" si="80"/>
        <v>6.1905000377841626</v>
      </c>
      <c r="X293" s="3">
        <f t="shared" si="83"/>
        <v>241.34036816000472</v>
      </c>
      <c r="AB293" s="3">
        <f>181.526</f>
        <v>181.52600000000001</v>
      </c>
      <c r="AC293" s="3">
        <v>9.5</v>
      </c>
      <c r="AD293" s="3" t="s">
        <v>33</v>
      </c>
    </row>
    <row r="294" spans="2:30">
      <c r="B294" s="3">
        <f>($F$38)*($F$39)*($C$13/2)</f>
        <v>9.8345249999999993</v>
      </c>
      <c r="C294" s="3">
        <f t="shared" si="87"/>
        <v>330.44004000000001</v>
      </c>
      <c r="D294" s="3">
        <f t="shared" si="88"/>
        <v>765.67868601457872</v>
      </c>
      <c r="E294" s="3">
        <f t="shared" si="86"/>
        <v>2.3642586586724996</v>
      </c>
      <c r="F294" s="3">
        <f t="shared" si="89"/>
        <v>35.202093020418388</v>
      </c>
      <c r="J294" s="3">
        <f>8.045</f>
        <v>8.0449999999999999</v>
      </c>
      <c r="K294" s="3"/>
      <c r="L294" s="3"/>
      <c r="T294" s="3">
        <f>($F$38)*($F$39)*($C$29/2)</f>
        <v>49.172624999999996</v>
      </c>
      <c r="U294" s="3">
        <f t="shared" si="85"/>
        <v>1652.2002</v>
      </c>
      <c r="V294" s="3">
        <f t="shared" si="82"/>
        <v>2087.4388460145788</v>
      </c>
      <c r="W294" s="3">
        <f t="shared" si="80"/>
        <v>6.4455827963916059</v>
      </c>
      <c r="X294" s="3">
        <v>250</v>
      </c>
      <c r="AB294" s="3">
        <f>201.137</f>
        <v>201.137</v>
      </c>
      <c r="AC294" s="3">
        <v>10</v>
      </c>
      <c r="AD294" s="3" t="s">
        <v>33</v>
      </c>
    </row>
    <row r="295" spans="2:30">
      <c r="B295" s="3">
        <f>($F$38)*($F$39)*($C$14/2)</f>
        <v>12.293156249999999</v>
      </c>
      <c r="C295" s="3">
        <f t="shared" si="87"/>
        <v>413.05005</v>
      </c>
      <c r="D295" s="3">
        <f t="shared" si="88"/>
        <v>848.2886960145787</v>
      </c>
      <c r="E295" s="3">
        <f t="shared" si="86"/>
        <v>2.6193414172799439</v>
      </c>
      <c r="F295" s="3">
        <f t="shared" si="89"/>
        <v>43.207857298085699</v>
      </c>
      <c r="J295" s="3">
        <f>12.571</f>
        <v>12.571</v>
      </c>
      <c r="K295" s="3"/>
      <c r="L295" s="3"/>
      <c r="T295" s="3">
        <f>($F$38)*($F$39)*($C$30/2)</f>
        <v>51.631256249999993</v>
      </c>
      <c r="U295" s="3">
        <f t="shared" si="85"/>
        <v>1734.8102099999999</v>
      </c>
      <c r="V295" s="3">
        <f t="shared" si="82"/>
        <v>2170.0488560145786</v>
      </c>
      <c r="W295" s="3">
        <f t="shared" si="80"/>
        <v>6.7006655549990501</v>
      </c>
      <c r="X295" s="3">
        <v>250</v>
      </c>
      <c r="AB295" s="3">
        <f>221.754</f>
        <v>221.75399999999999</v>
      </c>
      <c r="AC295" s="3">
        <v>10.5</v>
      </c>
      <c r="AD295" s="3" t="s">
        <v>33</v>
      </c>
    </row>
    <row r="296" spans="2:30">
      <c r="B296" s="3">
        <f>($F$38)*($F$39)*($C$15/2)</f>
        <v>14.751787499999999</v>
      </c>
      <c r="C296" s="3">
        <f t="shared" si="87"/>
        <v>495.66005999999999</v>
      </c>
      <c r="D296" s="3">
        <f t="shared" si="88"/>
        <v>930.89870601457869</v>
      </c>
      <c r="E296" s="3">
        <f t="shared" si="86"/>
        <v>2.8744241758873881</v>
      </c>
      <c r="F296" s="3">
        <f t="shared" si="89"/>
        <v>52.033162632653749</v>
      </c>
      <c r="J296" s="3">
        <f>18.102</f>
        <v>18.102</v>
      </c>
      <c r="K296" s="3"/>
      <c r="L296" s="3"/>
      <c r="T296" s="3">
        <f>($F$38)*($F$39)*($C$31/2)</f>
        <v>54.089887499999996</v>
      </c>
      <c r="U296" s="3">
        <f t="shared" si="85"/>
        <v>1817.42022</v>
      </c>
      <c r="V296" s="3">
        <f t="shared" si="82"/>
        <v>2252.6588660145785</v>
      </c>
      <c r="W296" s="3">
        <f t="shared" si="80"/>
        <v>6.9557483136064935</v>
      </c>
      <c r="X296" s="3">
        <v>250</v>
      </c>
      <c r="AB296" s="3">
        <f>243.376</f>
        <v>243.376</v>
      </c>
      <c r="AC296" s="3">
        <v>11</v>
      </c>
      <c r="AD296" s="3" t="s">
        <v>33</v>
      </c>
    </row>
    <row r="297" spans="2:30">
      <c r="B297" s="3">
        <f>($F$38)*($F$39)*($C$16/2)</f>
        <v>17.210418749999999</v>
      </c>
      <c r="C297" s="3">
        <f t="shared" si="87"/>
        <v>578.27007000000003</v>
      </c>
      <c r="D297" s="3">
        <f t="shared" si="88"/>
        <v>1013.5087160145788</v>
      </c>
      <c r="E297" s="3">
        <f t="shared" si="86"/>
        <v>3.1295069344948323</v>
      </c>
      <c r="F297" s="3">
        <f t="shared" si="89"/>
        <v>61.678009024122531</v>
      </c>
      <c r="J297" s="3">
        <f>24.639</f>
        <v>24.638999999999999</v>
      </c>
      <c r="K297" s="3"/>
      <c r="L297" s="3"/>
      <c r="T297" s="3">
        <f>($F$38)*($F$39)*($C$32/2)</f>
        <v>56.548518749999999</v>
      </c>
      <c r="U297" s="3">
        <f t="shared" si="85"/>
        <v>1900.0302300000001</v>
      </c>
      <c r="V297" s="3">
        <f t="shared" si="82"/>
        <v>2335.2688760145788</v>
      </c>
      <c r="W297" s="3">
        <f t="shared" si="80"/>
        <v>7.2108310722139386</v>
      </c>
      <c r="X297" s="3">
        <v>250</v>
      </c>
      <c r="AB297" s="3">
        <f>266.004</f>
        <v>266.00400000000002</v>
      </c>
      <c r="AC297" s="3">
        <v>11.5</v>
      </c>
      <c r="AD297" s="3" t="s">
        <v>33</v>
      </c>
    </row>
    <row r="298" spans="2:30">
      <c r="B298" s="3">
        <f>($F$38)*($F$39)*($C$17/2)</f>
        <v>19.669049999999999</v>
      </c>
      <c r="C298" s="3">
        <f t="shared" si="87"/>
        <v>660.88008000000002</v>
      </c>
      <c r="D298" s="3">
        <f t="shared" si="88"/>
        <v>1096.1187260145787</v>
      </c>
      <c r="E298" s="3">
        <f t="shared" si="86"/>
        <v>3.3845896931022761</v>
      </c>
      <c r="F298" s="3">
        <f t="shared" si="89"/>
        <v>72.142396472492024</v>
      </c>
      <c r="J298" s="3">
        <f>32.182</f>
        <v>32.182000000000002</v>
      </c>
      <c r="K298" s="3"/>
      <c r="L298" s="3"/>
      <c r="T298" s="3">
        <f>($F$38)*($F$39)*($C$33/2)</f>
        <v>59.007149999999996</v>
      </c>
      <c r="U298" s="3">
        <f t="shared" si="85"/>
        <v>1982.6402399999999</v>
      </c>
      <c r="V298" s="3">
        <f t="shared" si="82"/>
        <v>2417.8788860145787</v>
      </c>
      <c r="W298" s="3">
        <f t="shared" si="80"/>
        <v>7.4659138308213828</v>
      </c>
      <c r="X298" s="3">
        <v>250</v>
      </c>
      <c r="AB298" s="3">
        <f>289.638</f>
        <v>289.63799999999998</v>
      </c>
      <c r="AC298" s="3">
        <v>12</v>
      </c>
      <c r="AD298" s="3" t="s">
        <v>33</v>
      </c>
    </row>
    <row r="299" spans="2:30">
      <c r="B299" s="3">
        <f>($F$38)*($F$39)*($C$18/2)</f>
        <v>22.127681249999998</v>
      </c>
      <c r="C299" s="3">
        <f t="shared" si="87"/>
        <v>743.49009000000001</v>
      </c>
      <c r="D299" s="3">
        <f t="shared" si="88"/>
        <v>1178.7287360145788</v>
      </c>
      <c r="E299" s="3">
        <f t="shared" si="86"/>
        <v>3.6396724517097208</v>
      </c>
      <c r="F299" s="3">
        <f t="shared" si="89"/>
        <v>83.426324977762263</v>
      </c>
      <c r="J299" s="3">
        <f>40.73</f>
        <v>40.729999999999997</v>
      </c>
      <c r="K299" s="3"/>
      <c r="L299" s="3"/>
      <c r="T299" s="3"/>
      <c r="U299" s="3"/>
      <c r="V299" s="3"/>
      <c r="W299" s="3"/>
      <c r="X299" s="3"/>
      <c r="AB299" s="29"/>
      <c r="AC299" s="4"/>
      <c r="AD299" s="30"/>
    </row>
    <row r="300" spans="2:30">
      <c r="B300" s="3">
        <f>($F$38)*($F$39)*($C$19/2)</f>
        <v>24.586312499999998</v>
      </c>
      <c r="C300" s="3">
        <f t="shared" si="87"/>
        <v>826.1001</v>
      </c>
      <c r="D300" s="3">
        <f t="shared" si="88"/>
        <v>1261.3387460145786</v>
      </c>
      <c r="E300" s="3">
        <f t="shared" si="86"/>
        <v>3.8947552103171645</v>
      </c>
      <c r="F300" s="3">
        <f t="shared" si="89"/>
        <v>95.529794539933221</v>
      </c>
      <c r="J300" s="3">
        <f>50.284</f>
        <v>50.283999999999999</v>
      </c>
      <c r="K300" s="3"/>
      <c r="L300" s="3"/>
      <c r="T300" s="29"/>
      <c r="U300" s="4"/>
      <c r="V300" s="4"/>
      <c r="W300" s="4"/>
      <c r="X300" s="30"/>
      <c r="AB300" s="29"/>
      <c r="AC300" s="4"/>
      <c r="AD300" s="30"/>
    </row>
    <row r="301" spans="2:30">
      <c r="B301" s="3">
        <f>($F$38)*($F$39)*($C$20/2)</f>
        <v>27.044943749999998</v>
      </c>
      <c r="C301" s="3">
        <f t="shared" si="87"/>
        <v>908.71010999999999</v>
      </c>
      <c r="D301" s="3">
        <f t="shared" si="88"/>
        <v>1343.9487560145787</v>
      </c>
      <c r="E301" s="3">
        <f t="shared" si="86"/>
        <v>4.1498379689246088</v>
      </c>
      <c r="F301" s="3">
        <f t="shared" si="89"/>
        <v>108.45280515900491</v>
      </c>
      <c r="J301" s="3">
        <f>60.844</f>
        <v>60.844000000000001</v>
      </c>
      <c r="K301" s="3">
        <v>5.5</v>
      </c>
      <c r="L301" s="3" t="s">
        <v>33</v>
      </c>
      <c r="T301" s="29" t="s">
        <v>134</v>
      </c>
      <c r="U301" s="4"/>
      <c r="V301" s="4"/>
      <c r="W301" s="4"/>
      <c r="X301" s="30"/>
      <c r="AB301" s="29" t="s">
        <v>135</v>
      </c>
      <c r="AC301" s="4"/>
      <c r="AD301" s="30"/>
    </row>
    <row r="302" spans="2:30">
      <c r="B302" s="3">
        <f>($F$38)*($F$39)*($C$21/2)</f>
        <v>29.503574999999998</v>
      </c>
      <c r="C302" s="3">
        <f t="shared" si="87"/>
        <v>991.32011999999997</v>
      </c>
      <c r="D302" s="3">
        <f t="shared" si="88"/>
        <v>1426.5587660145786</v>
      </c>
      <c r="E302" s="3">
        <f t="shared" si="86"/>
        <v>4.404920727532053</v>
      </c>
      <c r="F302" s="3">
        <f t="shared" si="89"/>
        <v>122.19535683497732</v>
      </c>
      <c r="J302" s="3">
        <f>72.409</f>
        <v>72.409000000000006</v>
      </c>
      <c r="K302" s="3"/>
      <c r="L302" s="3"/>
      <c r="T302" s="45" t="s">
        <v>75</v>
      </c>
      <c r="U302" s="45" t="s">
        <v>76</v>
      </c>
      <c r="V302" s="45" t="s">
        <v>77</v>
      </c>
      <c r="W302" s="45" t="s">
        <v>78</v>
      </c>
      <c r="X302" s="45" t="s">
        <v>32</v>
      </c>
      <c r="AB302" s="45" t="s">
        <v>32</v>
      </c>
      <c r="AC302" s="3"/>
      <c r="AD302" s="3"/>
    </row>
    <row r="303" spans="2:30">
      <c r="B303" s="3">
        <f>($F$38)*($F$39)*($C$22/2)</f>
        <v>31.962206249999998</v>
      </c>
      <c r="C303" s="3">
        <f t="shared" si="87"/>
        <v>1073.93013</v>
      </c>
      <c r="D303" s="3">
        <f t="shared" si="88"/>
        <v>1509.1687760145787</v>
      </c>
      <c r="E303" s="3">
        <f t="shared" si="86"/>
        <v>4.6600034861394972</v>
      </c>
      <c r="F303" s="3">
        <f t="shared" si="89"/>
        <v>136.7574495678505</v>
      </c>
      <c r="J303" s="3">
        <f>84.981</f>
        <v>84.980999999999995</v>
      </c>
      <c r="K303" s="3"/>
      <c r="L303" s="3"/>
      <c r="T303" s="3">
        <f>($F$38)*($F$39)*($C$9/2)</f>
        <v>0</v>
      </c>
      <c r="U303" s="3">
        <f>$C$46*T303</f>
        <v>0</v>
      </c>
      <c r="V303" s="3">
        <f>U303+($C$50*$C$52)</f>
        <v>435.23864601457871</v>
      </c>
      <c r="W303" s="3">
        <f t="shared" ref="W303:W327" si="90">(V303)/($C$48+((($F$40)*($C$52))*$F$18)-(($C$49+$C$50)*$F$18^2))</f>
        <v>1.3321030255818163</v>
      </c>
      <c r="X303" s="3">
        <f>($F$18*W303)*($F$18*W303*$C$52)/2</f>
        <v>9.0518877142186156</v>
      </c>
      <c r="AB303" s="3">
        <v>0</v>
      </c>
      <c r="AC303" s="3">
        <v>0</v>
      </c>
      <c r="AD303" s="3" t="s">
        <v>33</v>
      </c>
    </row>
    <row r="304" spans="2:30">
      <c r="B304" s="3">
        <f>($F$38)*($F$39)*($C$23/2)</f>
        <v>34.420837499999998</v>
      </c>
      <c r="C304" s="3">
        <f>$C$46*B304</f>
        <v>1156.5401400000001</v>
      </c>
      <c r="D304" s="3">
        <f t="shared" si="88"/>
        <v>1591.7787860145788</v>
      </c>
      <c r="E304" s="3">
        <f t="shared" si="86"/>
        <v>4.9150862447469414</v>
      </c>
      <c r="F304" s="3">
        <f t="shared" si="89"/>
        <v>152.1390833576244</v>
      </c>
      <c r="J304" s="3">
        <f>98.557</f>
        <v>98.557000000000002</v>
      </c>
      <c r="K304" s="3"/>
      <c r="L304" s="3"/>
      <c r="T304" s="3">
        <f>($F$38)*($F$39)*($C$10/2)</f>
        <v>2.4586312499999998</v>
      </c>
      <c r="U304" s="3">
        <f t="shared" ref="U304:U316" si="91">$C$46*T304</f>
        <v>82.610010000000003</v>
      </c>
      <c r="V304" s="3">
        <f t="shared" ref="V304:V327" si="92">U304+($C$50*$C$52)</f>
        <v>517.84865601457875</v>
      </c>
      <c r="W304" s="3">
        <f t="shared" si="90"/>
        <v>1.5849414287705306</v>
      </c>
      <c r="X304" s="3">
        <f t="shared" ref="X304:X325" si="93">($F$18*W304)*($F$18*W304*$C$52)/2</f>
        <v>12.814154730098574</v>
      </c>
      <c r="AB304" s="3">
        <f>0.189</f>
        <v>0.189</v>
      </c>
      <c r="AC304" s="3">
        <v>0.5</v>
      </c>
      <c r="AD304" s="3" t="s">
        <v>33</v>
      </c>
    </row>
    <row r="305" spans="2:30">
      <c r="B305" s="3">
        <f>($F$38)*($F$39)*($C$24/2)</f>
        <v>36.879468750000001</v>
      </c>
      <c r="C305" s="3">
        <f t="shared" ref="C305:C314" si="94">$C$46*B305</f>
        <v>1239.1501500000002</v>
      </c>
      <c r="D305" s="3">
        <f t="shared" si="88"/>
        <v>1674.3887960145789</v>
      </c>
      <c r="E305" s="3">
        <f t="shared" si="86"/>
        <v>5.1701690033543857</v>
      </c>
      <c r="F305" s="3">
        <f t="shared" si="89"/>
        <v>168.34025820429898</v>
      </c>
      <c r="J305" s="3">
        <f>113.14</f>
        <v>113.14</v>
      </c>
      <c r="K305" s="3"/>
      <c r="L305" s="3"/>
      <c r="T305" s="3">
        <f>($F$38)*($F$39)*($C$11/2)</f>
        <v>4.9172624999999996</v>
      </c>
      <c r="U305" s="3">
        <f t="shared" si="91"/>
        <v>165.22002000000001</v>
      </c>
      <c r="V305" s="3">
        <f t="shared" si="92"/>
        <v>600.45866601457874</v>
      </c>
      <c r="W305" s="3">
        <f t="shared" si="90"/>
        <v>1.8377798319592447</v>
      </c>
      <c r="X305" s="3">
        <f t="shared" si="93"/>
        <v>17.228619955193579</v>
      </c>
      <c r="AB305" s="3">
        <f>0.756</f>
        <v>0.75600000000000001</v>
      </c>
      <c r="AC305" s="3">
        <v>1</v>
      </c>
      <c r="AD305" s="3" t="s">
        <v>33</v>
      </c>
    </row>
    <row r="306" spans="2:30">
      <c r="B306" s="3">
        <f>($F$38)*($F$39)*($C$25/2)</f>
        <v>39.338099999999997</v>
      </c>
      <c r="C306" s="3">
        <f t="shared" si="94"/>
        <v>1321.76016</v>
      </c>
      <c r="D306" s="3">
        <f t="shared" si="88"/>
        <v>1756.9988060145788</v>
      </c>
      <c r="E306" s="3">
        <f t="shared" si="86"/>
        <v>5.4252517619618299</v>
      </c>
      <c r="F306" s="3">
        <f t="shared" si="89"/>
        <v>185.36097410787434</v>
      </c>
      <c r="J306" s="3">
        <f>128.728</f>
        <v>128.72800000000001</v>
      </c>
      <c r="K306" s="3"/>
      <c r="L306" s="3"/>
      <c r="T306" s="3">
        <f>($F$38)*($F$39)*($C$12/2)</f>
        <v>7.3758937499999995</v>
      </c>
      <c r="U306" s="3">
        <f t="shared" si="91"/>
        <v>247.83002999999999</v>
      </c>
      <c r="V306" s="3">
        <f t="shared" si="92"/>
        <v>683.06867601457873</v>
      </c>
      <c r="W306" s="3">
        <f t="shared" si="90"/>
        <v>2.0906182351479585</v>
      </c>
      <c r="X306" s="3">
        <f t="shared" si="93"/>
        <v>22.295283389503641</v>
      </c>
      <c r="AB306" s="3">
        <f>1.7</f>
        <v>1.7</v>
      </c>
      <c r="AC306" s="3">
        <v>1.5</v>
      </c>
      <c r="AD306" s="3" t="s">
        <v>33</v>
      </c>
    </row>
    <row r="307" spans="2:30">
      <c r="B307" s="3">
        <f>($F$38)*($F$39)*($C$26/2)</f>
        <v>41.796731249999993</v>
      </c>
      <c r="C307" s="3">
        <f t="shared" si="94"/>
        <v>1404.3701699999999</v>
      </c>
      <c r="D307" s="3">
        <f t="shared" si="88"/>
        <v>1839.6088160145787</v>
      </c>
      <c r="E307" s="3">
        <f t="shared" si="86"/>
        <v>5.6803345205692732</v>
      </c>
      <c r="F307" s="3">
        <f t="shared" si="89"/>
        <v>203.20123106835035</v>
      </c>
      <c r="J307" s="3">
        <f>145.322</f>
        <v>145.322</v>
      </c>
      <c r="K307" s="3"/>
      <c r="L307" s="3"/>
      <c r="T307" s="3">
        <f>($F$38)*($F$39)*($C$13/2)</f>
        <v>9.8345249999999993</v>
      </c>
      <c r="U307" s="3">
        <f t="shared" si="91"/>
        <v>330.44004000000001</v>
      </c>
      <c r="V307" s="3">
        <f t="shared" si="92"/>
        <v>765.67868601457872</v>
      </c>
      <c r="W307" s="3">
        <f t="shared" si="90"/>
        <v>2.3434566383366731</v>
      </c>
      <c r="X307" s="3">
        <f t="shared" si="93"/>
        <v>28.014145033028775</v>
      </c>
      <c r="AB307" s="3">
        <f>3.022</f>
        <v>3.0219999999999998</v>
      </c>
      <c r="AC307" s="3">
        <v>2</v>
      </c>
      <c r="AD307" s="3" t="s">
        <v>33</v>
      </c>
    </row>
    <row r="308" spans="2:30">
      <c r="B308" s="3">
        <f>($F$38)*($F$39)*($C$27/2)</f>
        <v>44.255362499999997</v>
      </c>
      <c r="C308" s="3">
        <f t="shared" si="94"/>
        <v>1486.98018</v>
      </c>
      <c r="D308" s="3">
        <f t="shared" si="88"/>
        <v>1922.2188260145788</v>
      </c>
      <c r="E308" s="3">
        <f t="shared" si="86"/>
        <v>5.9354172791767175</v>
      </c>
      <c r="F308" s="3">
        <f t="shared" si="89"/>
        <v>221.86102908572718</v>
      </c>
      <c r="J308" s="3">
        <f>162.921</f>
        <v>162.92099999999999</v>
      </c>
      <c r="K308" s="3"/>
      <c r="L308" s="3"/>
      <c r="T308" s="3">
        <f>($F$38)*($F$39)*($C$14/2)</f>
        <v>12.293156249999999</v>
      </c>
      <c r="U308" s="3">
        <f t="shared" si="91"/>
        <v>413.05005</v>
      </c>
      <c r="V308" s="3">
        <f t="shared" si="92"/>
        <v>848.2886960145787</v>
      </c>
      <c r="W308" s="3">
        <f t="shared" si="90"/>
        <v>2.5962950415253871</v>
      </c>
      <c r="X308" s="3">
        <f t="shared" si="93"/>
        <v>34.385204885768957</v>
      </c>
      <c r="AB308" s="3">
        <f>4.722</f>
        <v>4.7220000000000004</v>
      </c>
      <c r="AC308" s="3">
        <v>2.5</v>
      </c>
      <c r="AD308" s="3" t="s">
        <v>33</v>
      </c>
    </row>
    <row r="309" spans="2:30">
      <c r="B309" s="3">
        <f>($F$38)*($F$39)*($C$28/2)</f>
        <v>46.71399375</v>
      </c>
      <c r="C309" s="3">
        <f t="shared" si="94"/>
        <v>1569.5901900000001</v>
      </c>
      <c r="D309" s="3">
        <f t="shared" si="88"/>
        <v>2004.8288360145789</v>
      </c>
      <c r="E309" s="3">
        <f t="shared" si="86"/>
        <v>6.1905000377841626</v>
      </c>
      <c r="F309" s="3">
        <f t="shared" si="89"/>
        <v>241.34036816000472</v>
      </c>
      <c r="J309" s="3">
        <f>181.526</f>
        <v>181.52600000000001</v>
      </c>
      <c r="K309" s="3"/>
      <c r="L309" s="3"/>
      <c r="T309" s="3">
        <f>($F$38)*($F$39)*($C$15/2)</f>
        <v>14.751787499999999</v>
      </c>
      <c r="U309" s="3">
        <f t="shared" si="91"/>
        <v>495.66005999999999</v>
      </c>
      <c r="V309" s="3">
        <f t="shared" si="92"/>
        <v>930.89870601457869</v>
      </c>
      <c r="W309" s="3">
        <f t="shared" si="90"/>
        <v>2.8491334447141012</v>
      </c>
      <c r="X309" s="3">
        <f t="shared" si="93"/>
        <v>41.408462947724196</v>
      </c>
      <c r="AB309" s="3">
        <f>6.8</f>
        <v>6.8</v>
      </c>
      <c r="AC309" s="3">
        <v>3</v>
      </c>
      <c r="AD309" s="3" t="s">
        <v>33</v>
      </c>
    </row>
    <row r="310" spans="2:30">
      <c r="B310" s="3">
        <f>($F$38)*($F$39)*($C$29/2)</f>
        <v>49.172624999999996</v>
      </c>
      <c r="C310" s="3">
        <f t="shared" si="94"/>
        <v>1652.2002</v>
      </c>
      <c r="D310" s="3">
        <f t="shared" si="88"/>
        <v>2087.4388460145788</v>
      </c>
      <c r="E310" s="3">
        <f t="shared" si="86"/>
        <v>6.4455827963916059</v>
      </c>
      <c r="F310" s="3">
        <f t="shared" si="89"/>
        <v>261.63924829118304</v>
      </c>
      <c r="J310" s="3">
        <f>201.137</f>
        <v>201.137</v>
      </c>
      <c r="K310" s="3"/>
      <c r="L310" s="3"/>
      <c r="T310" s="3">
        <f>($F$38)*($F$39)*($C$16/2)</f>
        <v>17.210418749999999</v>
      </c>
      <c r="U310" s="3">
        <f t="shared" si="91"/>
        <v>578.27007000000003</v>
      </c>
      <c r="V310" s="3">
        <f t="shared" si="92"/>
        <v>1013.5087160145788</v>
      </c>
      <c r="W310" s="3">
        <f t="shared" si="90"/>
        <v>3.1019718479028158</v>
      </c>
      <c r="X310" s="3">
        <f t="shared" si="93"/>
        <v>49.083919218894508</v>
      </c>
      <c r="AB310" s="3">
        <f>9.256</f>
        <v>9.2560000000000002</v>
      </c>
      <c r="AC310" s="3">
        <v>3.5</v>
      </c>
      <c r="AD310" s="3" t="s">
        <v>33</v>
      </c>
    </row>
    <row r="311" spans="2:30">
      <c r="B311" s="3">
        <f>($F$38)*($F$39)*($C$30/2)</f>
        <v>51.631256249999993</v>
      </c>
      <c r="C311" s="3">
        <f t="shared" si="94"/>
        <v>1734.8102099999999</v>
      </c>
      <c r="D311" s="3">
        <f t="shared" si="88"/>
        <v>2170.0488560145786</v>
      </c>
      <c r="E311" s="3">
        <f t="shared" si="86"/>
        <v>6.7006655549990501</v>
      </c>
      <c r="F311" s="3">
        <f t="shared" si="89"/>
        <v>282.75766947926195</v>
      </c>
      <c r="J311" s="3">
        <f>221.754</f>
        <v>221.75399999999999</v>
      </c>
      <c r="K311" s="3"/>
      <c r="L311" s="3"/>
      <c r="T311" s="3">
        <f>($F$38)*($F$39)*($C$17/2)</f>
        <v>19.669049999999999</v>
      </c>
      <c r="U311" s="3">
        <f t="shared" si="91"/>
        <v>660.88008000000002</v>
      </c>
      <c r="V311" s="3">
        <f t="shared" si="92"/>
        <v>1096.1187260145787</v>
      </c>
      <c r="W311" s="3">
        <f t="shared" si="90"/>
        <v>3.3548102510915294</v>
      </c>
      <c r="X311" s="3">
        <f t="shared" si="93"/>
        <v>57.41157369927982</v>
      </c>
      <c r="AB311" s="3">
        <f>12.089</f>
        <v>12.089</v>
      </c>
      <c r="AC311" s="3">
        <v>4</v>
      </c>
      <c r="AD311" s="3" t="s">
        <v>33</v>
      </c>
    </row>
    <row r="312" spans="2:30">
      <c r="B312" s="3">
        <f>($F$38)*($F$39)*($C$31/2)</f>
        <v>54.089887499999996</v>
      </c>
      <c r="C312" s="3">
        <f t="shared" si="94"/>
        <v>1817.42022</v>
      </c>
      <c r="D312" s="3">
        <f t="shared" si="88"/>
        <v>2252.6588660145785</v>
      </c>
      <c r="E312" s="3">
        <f t="shared" si="86"/>
        <v>6.9557483136064935</v>
      </c>
      <c r="F312" s="3">
        <f t="shared" si="89"/>
        <v>304.69563172424165</v>
      </c>
      <c r="J312" s="3">
        <f>243.376</f>
        <v>243.376</v>
      </c>
      <c r="K312" s="3"/>
      <c r="L312" s="3"/>
      <c r="T312" s="3">
        <f>($F$38)*($F$39)*($C$18/2)</f>
        <v>22.127681249999998</v>
      </c>
      <c r="U312" s="3">
        <f t="shared" si="91"/>
        <v>743.49009000000001</v>
      </c>
      <c r="V312" s="3">
        <f t="shared" si="92"/>
        <v>1178.7287360145788</v>
      </c>
      <c r="W312" s="3">
        <f t="shared" si="90"/>
        <v>3.6076486542802439</v>
      </c>
      <c r="X312" s="3">
        <f t="shared" si="93"/>
        <v>66.391426388880262</v>
      </c>
      <c r="AB312" s="3">
        <f>15.3</f>
        <v>15.3</v>
      </c>
      <c r="AC312" s="3">
        <v>4.5</v>
      </c>
      <c r="AD312" s="3" t="s">
        <v>33</v>
      </c>
    </row>
    <row r="313" spans="2:30">
      <c r="B313" s="3">
        <f>($F$38)*($F$39)*($C$32/2)</f>
        <v>56.548518749999999</v>
      </c>
      <c r="C313" s="3">
        <f t="shared" si="94"/>
        <v>1900.0302300000001</v>
      </c>
      <c r="D313" s="3">
        <f t="shared" si="88"/>
        <v>2335.2688760145788</v>
      </c>
      <c r="E313" s="3">
        <f t="shared" si="86"/>
        <v>7.2108310722139386</v>
      </c>
      <c r="F313" s="3">
        <f t="shared" si="89"/>
        <v>327.4531350261222</v>
      </c>
      <c r="J313" s="3">
        <f>266.004</f>
        <v>266.00400000000002</v>
      </c>
      <c r="K313" s="3"/>
      <c r="L313" s="3"/>
      <c r="T313" s="3">
        <f>($F$38)*($F$39)*($C$19/2)</f>
        <v>24.586312499999998</v>
      </c>
      <c r="U313" s="3">
        <f t="shared" si="91"/>
        <v>826.1001</v>
      </c>
      <c r="V313" s="3">
        <f t="shared" si="92"/>
        <v>1261.3387460145786</v>
      </c>
      <c r="W313" s="3">
        <f t="shared" si="90"/>
        <v>3.8604870574689576</v>
      </c>
      <c r="X313" s="3">
        <f t="shared" si="93"/>
        <v>76.023477287695698</v>
      </c>
      <c r="AB313" s="3">
        <f>18.889</f>
        <v>18.888999999999999</v>
      </c>
      <c r="AC313" s="3">
        <v>5</v>
      </c>
      <c r="AD313" s="3" t="s">
        <v>33</v>
      </c>
    </row>
    <row r="314" spans="2:30">
      <c r="B314" s="3">
        <f>($F$38)*($F$39)*($C$33/2)</f>
        <v>59.007149999999996</v>
      </c>
      <c r="C314" s="3">
        <f t="shared" si="94"/>
        <v>1982.6402399999999</v>
      </c>
      <c r="D314" s="3">
        <f t="shared" si="88"/>
        <v>2417.8788860145787</v>
      </c>
      <c r="E314" s="3">
        <f t="shared" si="86"/>
        <v>7.4659138308213828</v>
      </c>
      <c r="F314" s="3">
        <f t="shared" si="89"/>
        <v>351.03017938490331</v>
      </c>
      <c r="J314" s="3">
        <f>289.638</f>
        <v>289.63799999999998</v>
      </c>
      <c r="K314" s="3"/>
      <c r="L314" s="3"/>
      <c r="T314" s="3">
        <f>($F$38)*($F$39)*($C$20/2)</f>
        <v>27.044943749999998</v>
      </c>
      <c r="U314" s="3">
        <f t="shared" si="91"/>
        <v>908.71010999999999</v>
      </c>
      <c r="V314" s="3">
        <f t="shared" si="92"/>
        <v>1343.9487560145787</v>
      </c>
      <c r="W314" s="3">
        <f t="shared" si="90"/>
        <v>4.1133254606576717</v>
      </c>
      <c r="X314" s="3">
        <f t="shared" si="93"/>
        <v>86.30772639572622</v>
      </c>
      <c r="AB314" s="3">
        <f>22.856</f>
        <v>22.856000000000002</v>
      </c>
      <c r="AC314" s="3">
        <v>5.5</v>
      </c>
      <c r="AD314" s="3" t="s">
        <v>33</v>
      </c>
    </row>
    <row r="315" spans="2:30">
      <c r="B315" s="3">
        <f>($F$38)*($F$39)*($C$34/2)</f>
        <v>0</v>
      </c>
      <c r="C315" s="3">
        <f>$C$46*B315</f>
        <v>0</v>
      </c>
      <c r="D315" s="3">
        <f t="shared" si="88"/>
        <v>435.23864601457871</v>
      </c>
      <c r="E315" s="3">
        <f t="shared" si="86"/>
        <v>1.3439276242427232</v>
      </c>
      <c r="F315" s="3">
        <f t="shared" si="89"/>
        <v>11.374446478756429</v>
      </c>
      <c r="J315" s="29"/>
      <c r="K315" s="4"/>
      <c r="L315" s="30"/>
      <c r="T315" s="3">
        <f>($F$38)*($F$39)*($C$21/2)</f>
        <v>29.503574999999998</v>
      </c>
      <c r="U315" s="3">
        <f t="shared" si="91"/>
        <v>991.32011999999997</v>
      </c>
      <c r="V315" s="3">
        <f t="shared" si="92"/>
        <v>1426.5587660145786</v>
      </c>
      <c r="W315" s="3">
        <f t="shared" si="90"/>
        <v>4.3661638638463858</v>
      </c>
      <c r="X315" s="3">
        <f t="shared" si="93"/>
        <v>97.244173712971801</v>
      </c>
      <c r="AB315" s="3">
        <f>27.2</f>
        <v>27.2</v>
      </c>
      <c r="AC315" s="3">
        <v>6</v>
      </c>
      <c r="AD315" s="3" t="s">
        <v>33</v>
      </c>
    </row>
    <row r="316" spans="2:30">
      <c r="B316" s="29"/>
      <c r="C316" s="4"/>
      <c r="D316" s="4"/>
      <c r="E316" s="4"/>
      <c r="F316" s="30"/>
      <c r="J316" s="29"/>
      <c r="K316" s="4"/>
      <c r="L316" s="30"/>
      <c r="T316" s="3">
        <f>($F$38)*($F$39)*($C$22/2)</f>
        <v>31.962206249999998</v>
      </c>
      <c r="U316" s="3">
        <f t="shared" si="91"/>
        <v>1073.93013</v>
      </c>
      <c r="V316" s="3">
        <f t="shared" si="92"/>
        <v>1509.1687760145787</v>
      </c>
      <c r="W316" s="3">
        <f t="shared" si="90"/>
        <v>4.6190022670350999</v>
      </c>
      <c r="X316" s="3">
        <f t="shared" si="93"/>
        <v>108.83281923943244</v>
      </c>
      <c r="AB316" s="3">
        <f>31.922</f>
        <v>31.922000000000001</v>
      </c>
      <c r="AC316" s="3">
        <v>6.5</v>
      </c>
      <c r="AD316" s="3" t="s">
        <v>33</v>
      </c>
    </row>
    <row r="317" spans="2:30">
      <c r="B317" s="29" t="s">
        <v>134</v>
      </c>
      <c r="C317" s="4"/>
      <c r="D317" s="4"/>
      <c r="E317" s="4"/>
      <c r="F317" s="30"/>
      <c r="J317" s="29" t="s">
        <v>135</v>
      </c>
      <c r="K317" s="4"/>
      <c r="L317" s="30"/>
      <c r="T317" s="3">
        <f>($F$38)*($F$39)*($C$23/2)</f>
        <v>34.420837499999998</v>
      </c>
      <c r="U317" s="3">
        <f>$C$46*T317</f>
        <v>1156.5401400000001</v>
      </c>
      <c r="V317" s="3">
        <f t="shared" si="92"/>
        <v>1591.7787860145788</v>
      </c>
      <c r="W317" s="3">
        <f t="shared" si="90"/>
        <v>4.8718406702238148</v>
      </c>
      <c r="X317" s="3">
        <f t="shared" si="93"/>
        <v>121.07366297510816</v>
      </c>
      <c r="AB317" s="3">
        <f>37.022</f>
        <v>37.021999999999998</v>
      </c>
      <c r="AC317" s="3">
        <v>7</v>
      </c>
      <c r="AD317" s="3" t="s">
        <v>33</v>
      </c>
    </row>
    <row r="318" spans="2:30">
      <c r="B318" s="45" t="s">
        <v>75</v>
      </c>
      <c r="C318" s="45" t="s">
        <v>76</v>
      </c>
      <c r="D318" s="45" t="s">
        <v>77</v>
      </c>
      <c r="E318" s="45" t="s">
        <v>78</v>
      </c>
      <c r="F318" s="45" t="s">
        <v>32</v>
      </c>
      <c r="J318" s="45" t="s">
        <v>32</v>
      </c>
      <c r="K318" s="3"/>
      <c r="L318" s="3"/>
      <c r="T318" s="3">
        <f>($F$38)*($F$39)*($C$24/2)</f>
        <v>36.879468750000001</v>
      </c>
      <c r="U318" s="3">
        <f t="shared" ref="U318:U327" si="95">$C$46*T318</f>
        <v>1239.1501500000002</v>
      </c>
      <c r="V318" s="3">
        <f t="shared" si="92"/>
        <v>1674.3887960145789</v>
      </c>
      <c r="W318" s="3">
        <f t="shared" si="90"/>
        <v>5.1246790734125289</v>
      </c>
      <c r="X318" s="3">
        <f t="shared" si="93"/>
        <v>133.96670491999888</v>
      </c>
      <c r="AB318" s="3">
        <f>42.5</f>
        <v>42.5</v>
      </c>
      <c r="AC318" s="3">
        <v>7.5</v>
      </c>
      <c r="AD318" s="3" t="s">
        <v>33</v>
      </c>
    </row>
    <row r="319" spans="2:30">
      <c r="B319" s="3">
        <f>($F$38)*($F$39)*($C$9/2)</f>
        <v>0</v>
      </c>
      <c r="C319" s="3">
        <f>$C$46*B319</f>
        <v>0</v>
      </c>
      <c r="D319" s="3">
        <f>C319+($C$50*$C$52)</f>
        <v>435.23864601457871</v>
      </c>
      <c r="E319" s="3">
        <f t="shared" ref="E319:E344" si="96">(D319)/($C$48+((($F$40)*($C$52))*$F$18)-(($C$49+$C$50)*$F$18^2))</f>
        <v>1.3321030255818163</v>
      </c>
      <c r="F319" s="3">
        <f>($F$18*E319)*($F$18*E319*$C$52)/2</f>
        <v>9.0518877142186156</v>
      </c>
      <c r="J319" s="3">
        <v>0</v>
      </c>
      <c r="K319" s="3"/>
      <c r="L319" s="3" t="s">
        <v>33</v>
      </c>
      <c r="T319" s="3">
        <f>($F$38)*($F$39)*($C$25/2)</f>
        <v>39.338099999999997</v>
      </c>
      <c r="U319" s="3">
        <f t="shared" si="95"/>
        <v>1321.76016</v>
      </c>
      <c r="V319" s="3">
        <f t="shared" si="92"/>
        <v>1756.9988060145788</v>
      </c>
      <c r="W319" s="3">
        <f t="shared" si="90"/>
        <v>5.377517476601243</v>
      </c>
      <c r="X319" s="3">
        <f t="shared" si="93"/>
        <v>147.51194507410469</v>
      </c>
      <c r="AB319" s="3">
        <f>48.356</f>
        <v>48.356000000000002</v>
      </c>
      <c r="AC319" s="3">
        <v>8</v>
      </c>
      <c r="AD319" s="3" t="s">
        <v>33</v>
      </c>
    </row>
    <row r="320" spans="2:30">
      <c r="B320" s="3">
        <f>($F$38)*($F$39)*($C$10/2)</f>
        <v>2.4586312499999998</v>
      </c>
      <c r="C320" s="3">
        <f t="shared" ref="C320:C332" si="97">$C$46*B320</f>
        <v>82.610010000000003</v>
      </c>
      <c r="D320" s="3">
        <f t="shared" ref="D320:D344" si="98">C320+($C$50*$C$52)</f>
        <v>517.84865601457875</v>
      </c>
      <c r="E320" s="3">
        <f t="shared" si="96"/>
        <v>1.5849414287705306</v>
      </c>
      <c r="F320" s="3">
        <f t="shared" ref="F320:F344" si="99">($F$18*E320)*($F$18*E320*$C$52)/2</f>
        <v>12.814154730098574</v>
      </c>
      <c r="J320" s="3">
        <f>0.189</f>
        <v>0.189</v>
      </c>
      <c r="K320" s="3"/>
      <c r="L320" s="3" t="s">
        <v>33</v>
      </c>
      <c r="T320" s="3">
        <f>($F$38)*($F$39)*($C$26/2)</f>
        <v>41.796731249999993</v>
      </c>
      <c r="U320" s="3">
        <f t="shared" si="95"/>
        <v>1404.3701699999999</v>
      </c>
      <c r="V320" s="3">
        <f t="shared" si="92"/>
        <v>1839.6088160145787</v>
      </c>
      <c r="W320" s="3">
        <f t="shared" si="90"/>
        <v>5.6303558797899571</v>
      </c>
      <c r="X320" s="3">
        <f t="shared" si="93"/>
        <v>161.70938343742557</v>
      </c>
      <c r="AB320" s="3">
        <f>54.589</f>
        <v>54.588999999999999</v>
      </c>
      <c r="AC320" s="3">
        <v>8.5</v>
      </c>
      <c r="AD320" s="3" t="s">
        <v>33</v>
      </c>
    </row>
    <row r="321" spans="2:30">
      <c r="B321" s="3">
        <f>($F$38)*($F$39)*($C$11/2)</f>
        <v>4.9172624999999996</v>
      </c>
      <c r="C321" s="3">
        <f t="shared" si="97"/>
        <v>165.22002000000001</v>
      </c>
      <c r="D321" s="3">
        <f t="shared" si="98"/>
        <v>600.45866601457874</v>
      </c>
      <c r="E321" s="3">
        <f t="shared" si="96"/>
        <v>1.8377798319592447</v>
      </c>
      <c r="F321" s="3">
        <f t="shared" si="99"/>
        <v>17.228619955193579</v>
      </c>
      <c r="J321" s="3">
        <f>0.756</f>
        <v>0.75600000000000001</v>
      </c>
      <c r="K321" s="3"/>
      <c r="L321" s="3" t="s">
        <v>33</v>
      </c>
      <c r="T321" s="3">
        <f>($F$38)*($F$39)*($C$27/2)</f>
        <v>44.255362499999997</v>
      </c>
      <c r="U321" s="3">
        <f t="shared" si="95"/>
        <v>1486.98018</v>
      </c>
      <c r="V321" s="3">
        <f t="shared" si="92"/>
        <v>1922.2188260145788</v>
      </c>
      <c r="W321" s="3">
        <f t="shared" si="90"/>
        <v>5.8831942829786712</v>
      </c>
      <c r="X321" s="3">
        <f t="shared" si="93"/>
        <v>176.55902000996147</v>
      </c>
      <c r="AB321" s="3">
        <f>61.2</f>
        <v>61.2</v>
      </c>
      <c r="AC321" s="3">
        <v>9</v>
      </c>
      <c r="AD321" s="3" t="s">
        <v>33</v>
      </c>
    </row>
    <row r="322" spans="2:30">
      <c r="B322" s="3">
        <f>($F$38)*($F$39)*($C$12/2)</f>
        <v>7.3758937499999995</v>
      </c>
      <c r="C322" s="3">
        <f t="shared" si="97"/>
        <v>247.83002999999999</v>
      </c>
      <c r="D322" s="3">
        <f t="shared" si="98"/>
        <v>683.06867601457873</v>
      </c>
      <c r="E322" s="3">
        <f t="shared" si="96"/>
        <v>2.0906182351479585</v>
      </c>
      <c r="F322" s="3">
        <f t="shared" si="99"/>
        <v>22.295283389503641</v>
      </c>
      <c r="J322" s="3">
        <f>1.7</f>
        <v>1.7</v>
      </c>
      <c r="K322" s="3"/>
      <c r="L322" s="3" t="s">
        <v>33</v>
      </c>
      <c r="T322" s="3">
        <f>($F$38)*($F$39)*($C$28/2)</f>
        <v>46.71399375</v>
      </c>
      <c r="U322" s="3">
        <f t="shared" si="95"/>
        <v>1569.5901900000001</v>
      </c>
      <c r="V322" s="3">
        <f t="shared" si="92"/>
        <v>2004.8288360145789</v>
      </c>
      <c r="W322" s="3">
        <f t="shared" si="90"/>
        <v>6.1360326861673862</v>
      </c>
      <c r="X322" s="3">
        <f t="shared" si="93"/>
        <v>192.06085479171253</v>
      </c>
      <c r="AB322" s="3">
        <f>68.189</f>
        <v>68.188999999999993</v>
      </c>
      <c r="AC322" s="3">
        <v>9.5</v>
      </c>
      <c r="AD322" s="3" t="s">
        <v>33</v>
      </c>
    </row>
    <row r="323" spans="2:30">
      <c r="B323" s="3">
        <f>($F$38)*($F$39)*($C$13/2)</f>
        <v>9.8345249999999993</v>
      </c>
      <c r="C323" s="3">
        <f t="shared" si="97"/>
        <v>330.44004000000001</v>
      </c>
      <c r="D323" s="3">
        <f t="shared" si="98"/>
        <v>765.67868601457872</v>
      </c>
      <c r="E323" s="3">
        <f t="shared" si="96"/>
        <v>2.3434566383366731</v>
      </c>
      <c r="F323" s="3">
        <f t="shared" si="99"/>
        <v>28.014145033028775</v>
      </c>
      <c r="J323" s="3">
        <f>3.022</f>
        <v>3.0219999999999998</v>
      </c>
      <c r="K323" s="3"/>
      <c r="L323" s="3" t="s">
        <v>33</v>
      </c>
      <c r="T323" s="3">
        <f>($F$38)*($F$39)*($C$29/2)</f>
        <v>49.172624999999996</v>
      </c>
      <c r="U323" s="3">
        <f t="shared" si="95"/>
        <v>1652.2002</v>
      </c>
      <c r="V323" s="3">
        <f t="shared" si="92"/>
        <v>2087.4388460145788</v>
      </c>
      <c r="W323" s="3">
        <f t="shared" si="90"/>
        <v>6.3888710893560994</v>
      </c>
      <c r="X323" s="3">
        <f t="shared" si="93"/>
        <v>208.21488778267846</v>
      </c>
      <c r="AB323" s="3">
        <f>75.556</f>
        <v>75.555999999999997</v>
      </c>
      <c r="AC323" s="3">
        <v>10</v>
      </c>
      <c r="AD323" s="3" t="s">
        <v>33</v>
      </c>
    </row>
    <row r="324" spans="2:30">
      <c r="B324" s="3">
        <f>($F$38)*($F$39)*($C$14/2)</f>
        <v>12.293156249999999</v>
      </c>
      <c r="C324" s="3">
        <f t="shared" si="97"/>
        <v>413.05005</v>
      </c>
      <c r="D324" s="3">
        <f t="shared" si="98"/>
        <v>848.2886960145787</v>
      </c>
      <c r="E324" s="3">
        <f t="shared" si="96"/>
        <v>2.5962950415253871</v>
      </c>
      <c r="F324" s="3">
        <f t="shared" si="99"/>
        <v>34.385204885768957</v>
      </c>
      <c r="J324" s="3">
        <f>4.722</f>
        <v>4.7220000000000004</v>
      </c>
      <c r="K324" s="3"/>
      <c r="L324" s="3" t="s">
        <v>33</v>
      </c>
      <c r="T324" s="3">
        <f>($F$38)*($F$39)*($C$30/2)</f>
        <v>51.631256249999993</v>
      </c>
      <c r="U324" s="3">
        <f t="shared" si="95"/>
        <v>1734.8102099999999</v>
      </c>
      <c r="V324" s="3">
        <f t="shared" si="92"/>
        <v>2170.0488560145786</v>
      </c>
      <c r="W324" s="3">
        <f t="shared" si="90"/>
        <v>6.6417094925448135</v>
      </c>
      <c r="X324" s="3">
        <f t="shared" si="93"/>
        <v>225.02111898285955</v>
      </c>
      <c r="AB324" s="3">
        <f>83.3</f>
        <v>83.3</v>
      </c>
      <c r="AC324" s="3">
        <v>10.5</v>
      </c>
      <c r="AD324" s="3" t="s">
        <v>33</v>
      </c>
    </row>
    <row r="325" spans="2:30">
      <c r="B325" s="3">
        <f>($F$38)*($F$39)*($C$15/2)</f>
        <v>14.751787499999999</v>
      </c>
      <c r="C325" s="3">
        <f t="shared" si="97"/>
        <v>495.66005999999999</v>
      </c>
      <c r="D325" s="3">
        <f t="shared" si="98"/>
        <v>930.89870601457869</v>
      </c>
      <c r="E325" s="3">
        <f t="shared" si="96"/>
        <v>2.8491334447141012</v>
      </c>
      <c r="F325" s="3">
        <f t="shared" si="99"/>
        <v>41.408462947724196</v>
      </c>
      <c r="J325" s="3">
        <f>6.8</f>
        <v>6.8</v>
      </c>
      <c r="K325" s="3"/>
      <c r="L325" s="3" t="s">
        <v>33</v>
      </c>
      <c r="T325" s="3">
        <f>($F$38)*($F$39)*($C$31/2)</f>
        <v>54.089887499999996</v>
      </c>
      <c r="U325" s="3">
        <f t="shared" si="95"/>
        <v>1817.42022</v>
      </c>
      <c r="V325" s="3">
        <f t="shared" si="92"/>
        <v>2252.6588660145785</v>
      </c>
      <c r="W325" s="3">
        <f t="shared" si="90"/>
        <v>6.8945478957335267</v>
      </c>
      <c r="X325" s="3">
        <f t="shared" si="93"/>
        <v>242.47954839225568</v>
      </c>
      <c r="AB325" s="3">
        <f>91.422</f>
        <v>91.421999999999997</v>
      </c>
      <c r="AC325" s="3">
        <v>11</v>
      </c>
      <c r="AD325" s="3" t="s">
        <v>33</v>
      </c>
    </row>
    <row r="326" spans="2:30">
      <c r="B326" s="3">
        <f>($F$38)*($F$39)*($C$16/2)</f>
        <v>17.210418749999999</v>
      </c>
      <c r="C326" s="3">
        <f t="shared" si="97"/>
        <v>578.27007000000003</v>
      </c>
      <c r="D326" s="3">
        <f t="shared" si="98"/>
        <v>1013.5087160145788</v>
      </c>
      <c r="E326" s="3">
        <f t="shared" si="96"/>
        <v>3.1019718479028158</v>
      </c>
      <c r="F326" s="3">
        <f t="shared" si="99"/>
        <v>49.083919218894508</v>
      </c>
      <c r="J326" s="3">
        <f>9.256</f>
        <v>9.2560000000000002</v>
      </c>
      <c r="K326" s="3"/>
      <c r="L326" s="3" t="s">
        <v>33</v>
      </c>
      <c r="T326" s="3">
        <f>($F$38)*($F$39)*($C$32/2)</f>
        <v>56.548518749999999</v>
      </c>
      <c r="U326" s="3">
        <f t="shared" si="95"/>
        <v>1900.0302300000001</v>
      </c>
      <c r="V326" s="3">
        <f t="shared" si="92"/>
        <v>2335.2688760145788</v>
      </c>
      <c r="W326" s="3">
        <f t="shared" si="90"/>
        <v>7.1473862989222425</v>
      </c>
      <c r="X326" s="3">
        <v>250</v>
      </c>
      <c r="AB326" s="3">
        <f>99.922</f>
        <v>99.921999999999997</v>
      </c>
      <c r="AC326" s="3">
        <v>11.5</v>
      </c>
      <c r="AD326" s="3" t="s">
        <v>33</v>
      </c>
    </row>
    <row r="327" spans="2:30">
      <c r="B327" s="3">
        <f>($F$38)*($F$39)*($C$17/2)</f>
        <v>19.669049999999999</v>
      </c>
      <c r="C327" s="3">
        <f t="shared" si="97"/>
        <v>660.88008000000002</v>
      </c>
      <c r="D327" s="3">
        <f t="shared" si="98"/>
        <v>1096.1187260145787</v>
      </c>
      <c r="E327" s="3">
        <f t="shared" si="96"/>
        <v>3.3548102510915294</v>
      </c>
      <c r="F327" s="3">
        <f t="shared" si="99"/>
        <v>57.41157369927982</v>
      </c>
      <c r="J327" s="3">
        <f>12.089</f>
        <v>12.089</v>
      </c>
      <c r="K327" s="3"/>
      <c r="L327" s="3" t="s">
        <v>33</v>
      </c>
      <c r="T327" s="3">
        <f>($F$38)*($F$39)*($C$33/2)</f>
        <v>59.007149999999996</v>
      </c>
      <c r="U327" s="3">
        <f t="shared" si="95"/>
        <v>1982.6402399999999</v>
      </c>
      <c r="V327" s="3">
        <f t="shared" si="92"/>
        <v>2417.8788860145787</v>
      </c>
      <c r="W327" s="3">
        <f t="shared" si="90"/>
        <v>7.4002247021109557</v>
      </c>
      <c r="X327" s="3">
        <v>250</v>
      </c>
      <c r="AB327" s="3">
        <f>108.8</f>
        <v>108.8</v>
      </c>
      <c r="AC327" s="3">
        <v>12</v>
      </c>
      <c r="AD327" s="3" t="s">
        <v>33</v>
      </c>
    </row>
    <row r="328" spans="2:30">
      <c r="B328" s="3">
        <f>($F$38)*($F$39)*($C$18/2)</f>
        <v>22.127681249999998</v>
      </c>
      <c r="C328" s="3">
        <f t="shared" si="97"/>
        <v>743.49009000000001</v>
      </c>
      <c r="D328" s="3">
        <f t="shared" si="98"/>
        <v>1178.7287360145788</v>
      </c>
      <c r="E328" s="3">
        <f t="shared" si="96"/>
        <v>3.6076486542802439</v>
      </c>
      <c r="F328" s="3">
        <f t="shared" si="99"/>
        <v>66.391426388880262</v>
      </c>
      <c r="J328" s="3">
        <f>15.3</f>
        <v>15.3</v>
      </c>
      <c r="K328" s="3"/>
      <c r="L328" s="3" t="s">
        <v>33</v>
      </c>
      <c r="T328" s="3"/>
      <c r="U328" s="3"/>
      <c r="V328" s="3"/>
      <c r="W328" s="3"/>
      <c r="X328" s="3"/>
      <c r="AB328" s="29"/>
      <c r="AC328" s="4"/>
      <c r="AD328" s="30"/>
    </row>
    <row r="329" spans="2:30">
      <c r="B329" s="3">
        <f>($F$38)*($F$39)*($C$19/2)</f>
        <v>24.586312499999998</v>
      </c>
      <c r="C329" s="3">
        <f t="shared" si="97"/>
        <v>826.1001</v>
      </c>
      <c r="D329" s="3">
        <f t="shared" si="98"/>
        <v>1261.3387460145786</v>
      </c>
      <c r="E329" s="3">
        <f t="shared" si="96"/>
        <v>3.8604870574689576</v>
      </c>
      <c r="F329" s="3">
        <f t="shared" si="99"/>
        <v>76.023477287695698</v>
      </c>
      <c r="J329" s="3">
        <f>18.889</f>
        <v>18.888999999999999</v>
      </c>
      <c r="K329" s="3"/>
      <c r="L329" s="3" t="s">
        <v>33</v>
      </c>
      <c r="T329" s="29"/>
      <c r="U329" s="4"/>
      <c r="V329" s="4"/>
      <c r="W329" s="4"/>
      <c r="X329" s="30"/>
      <c r="AB329" s="29"/>
      <c r="AC329" s="4"/>
      <c r="AD329" s="30"/>
    </row>
    <row r="330" spans="2:30">
      <c r="B330" s="3">
        <f>($F$38)*($F$39)*($C$20/2)</f>
        <v>27.044943749999998</v>
      </c>
      <c r="C330" s="3">
        <f t="shared" si="97"/>
        <v>908.71010999999999</v>
      </c>
      <c r="D330" s="3">
        <f t="shared" si="98"/>
        <v>1343.9487560145787</v>
      </c>
      <c r="E330" s="3">
        <f t="shared" si="96"/>
        <v>4.1133254606576717</v>
      </c>
      <c r="F330" s="3">
        <f t="shared" si="99"/>
        <v>86.30772639572622</v>
      </c>
      <c r="J330" s="3">
        <f>22.856</f>
        <v>22.856000000000002</v>
      </c>
      <c r="K330" s="3">
        <v>5.5</v>
      </c>
      <c r="L330" s="3" t="s">
        <v>33</v>
      </c>
      <c r="T330" s="29" t="s">
        <v>136</v>
      </c>
      <c r="U330" s="4"/>
      <c r="V330" s="4"/>
      <c r="W330" s="4"/>
      <c r="X330" s="30"/>
      <c r="AB330" s="29" t="s">
        <v>137</v>
      </c>
      <c r="AC330" s="4"/>
      <c r="AD330" s="30"/>
    </row>
    <row r="331" spans="2:30">
      <c r="B331" s="3">
        <f>($F$38)*($F$39)*($C$21/2)</f>
        <v>29.503574999999998</v>
      </c>
      <c r="C331" s="3">
        <f t="shared" si="97"/>
        <v>991.32011999999997</v>
      </c>
      <c r="D331" s="3">
        <f t="shared" si="98"/>
        <v>1426.5587660145786</v>
      </c>
      <c r="E331" s="3">
        <f t="shared" si="96"/>
        <v>4.3661638638463858</v>
      </c>
      <c r="F331" s="3">
        <f t="shared" si="99"/>
        <v>97.244173712971801</v>
      </c>
      <c r="J331" s="3">
        <f>27.2</f>
        <v>27.2</v>
      </c>
      <c r="K331" s="3"/>
      <c r="L331" s="3" t="s">
        <v>33</v>
      </c>
      <c r="T331" s="45" t="s">
        <v>75</v>
      </c>
      <c r="U331" s="45" t="s">
        <v>76</v>
      </c>
      <c r="V331" s="45" t="s">
        <v>77</v>
      </c>
      <c r="W331" s="45" t="s">
        <v>78</v>
      </c>
      <c r="X331" s="45" t="s">
        <v>32</v>
      </c>
      <c r="AB331" s="45" t="s">
        <v>32</v>
      </c>
      <c r="AC331" s="3"/>
      <c r="AD331" s="3"/>
    </row>
    <row r="332" spans="2:30">
      <c r="B332" s="3">
        <f>($F$38)*($F$39)*($C$22/2)</f>
        <v>31.962206249999998</v>
      </c>
      <c r="C332" s="3">
        <f t="shared" si="97"/>
        <v>1073.93013</v>
      </c>
      <c r="D332" s="3">
        <f t="shared" si="98"/>
        <v>1509.1687760145787</v>
      </c>
      <c r="E332" s="3">
        <f t="shared" si="96"/>
        <v>4.6190022670350999</v>
      </c>
      <c r="F332" s="3">
        <f t="shared" si="99"/>
        <v>108.83281923943244</v>
      </c>
      <c r="J332" s="3">
        <f>31.922</f>
        <v>31.922000000000001</v>
      </c>
      <c r="K332" s="3"/>
      <c r="L332" s="3" t="s">
        <v>33</v>
      </c>
      <c r="T332" s="3">
        <f>($F$38)*($F$39)*($C$9/2)</f>
        <v>0</v>
      </c>
      <c r="U332" s="3">
        <f>$C$46*T332</f>
        <v>0</v>
      </c>
      <c r="V332" s="3">
        <f>U332+($C$50*$C$52)</f>
        <v>435.23864601457871</v>
      </c>
      <c r="W332" s="3">
        <f t="shared" ref="W332:W356" si="100">(V332)/($C$48+((($F$40)*($C$52))*$F$19)-(($C$49+$C$50)*$F$19^2))</f>
        <v>1.3240559515890675</v>
      </c>
      <c r="X332" s="3">
        <f>($F$19*W332)*($F$19*W332*$C$52)/2</f>
        <v>7.3907895124625549</v>
      </c>
      <c r="AB332" s="3">
        <v>0</v>
      </c>
      <c r="AC332" s="3">
        <v>0</v>
      </c>
      <c r="AD332" s="3" t="s">
        <v>33</v>
      </c>
    </row>
    <row r="333" spans="2:30">
      <c r="B333" s="3">
        <f>($F$38)*($F$39)*($C$23/2)</f>
        <v>34.420837499999998</v>
      </c>
      <c r="C333" s="3">
        <f>$C$46*B333</f>
        <v>1156.5401400000001</v>
      </c>
      <c r="D333" s="3">
        <f t="shared" si="98"/>
        <v>1591.7787860145788</v>
      </c>
      <c r="E333" s="3">
        <f t="shared" si="96"/>
        <v>4.8718406702238148</v>
      </c>
      <c r="F333" s="3">
        <f t="shared" si="99"/>
        <v>121.07366297510816</v>
      </c>
      <c r="J333" s="3">
        <f>37.022</f>
        <v>37.021999999999998</v>
      </c>
      <c r="K333" s="3"/>
      <c r="L333" s="3" t="s">
        <v>33</v>
      </c>
      <c r="T333" s="3">
        <f>($F$38)*($F$39)*($C$10/2)</f>
        <v>2.4586312499999998</v>
      </c>
      <c r="U333" s="3">
        <f t="shared" ref="U333:U345" si="101">$C$46*T333</f>
        <v>82.610010000000003</v>
      </c>
      <c r="V333" s="3">
        <f t="shared" ref="V333:V356" si="102">U333+($C$50*$C$52)</f>
        <v>517.84865601457875</v>
      </c>
      <c r="W333" s="3">
        <f t="shared" si="100"/>
        <v>1.5753669884257842</v>
      </c>
      <c r="X333" s="3">
        <f t="shared" ref="X333:X356" si="103">($F$19*W333)*($F$19*W333*$C$52)/2</f>
        <v>10.462648607706502</v>
      </c>
      <c r="AB333" s="3">
        <f>0.076</f>
        <v>7.5999999999999998E-2</v>
      </c>
      <c r="AC333" s="3">
        <v>0.5</v>
      </c>
      <c r="AD333" s="3" t="s">
        <v>33</v>
      </c>
    </row>
    <row r="334" spans="2:30">
      <c r="B334" s="3">
        <f>($F$38)*($F$39)*($C$24/2)</f>
        <v>36.879468750000001</v>
      </c>
      <c r="C334" s="3">
        <f t="shared" ref="C334:C343" si="104">$C$46*B334</f>
        <v>1239.1501500000002</v>
      </c>
      <c r="D334" s="3">
        <f t="shared" si="98"/>
        <v>1674.3887960145789</v>
      </c>
      <c r="E334" s="3">
        <f t="shared" si="96"/>
        <v>5.1246790734125289</v>
      </c>
      <c r="F334" s="3">
        <f t="shared" si="99"/>
        <v>133.96670491999888</v>
      </c>
      <c r="J334" s="3">
        <f>42.5</f>
        <v>42.5</v>
      </c>
      <c r="K334" s="3"/>
      <c r="L334" s="3" t="s">
        <v>33</v>
      </c>
      <c r="T334" s="3">
        <f>($F$38)*($F$39)*($C$11/2)</f>
        <v>4.9172624999999996</v>
      </c>
      <c r="U334" s="3">
        <f t="shared" si="101"/>
        <v>165.22002000000001</v>
      </c>
      <c r="V334" s="3">
        <f t="shared" si="102"/>
        <v>600.45866601457874</v>
      </c>
      <c r="W334" s="3">
        <f t="shared" si="100"/>
        <v>1.8266780252625006</v>
      </c>
      <c r="X334" s="3">
        <f t="shared" si="103"/>
        <v>14.067022006805752</v>
      </c>
      <c r="AB334" s="3">
        <f>0.304</f>
        <v>0.30399999999999999</v>
      </c>
      <c r="AC334" s="3">
        <v>1</v>
      </c>
      <c r="AD334" s="3" t="s">
        <v>33</v>
      </c>
    </row>
    <row r="335" spans="2:30">
      <c r="B335" s="3">
        <f>($F$38)*($F$39)*($C$25/2)</f>
        <v>39.338099999999997</v>
      </c>
      <c r="C335" s="3">
        <f t="shared" si="104"/>
        <v>1321.76016</v>
      </c>
      <c r="D335" s="3">
        <f t="shared" si="98"/>
        <v>1756.9988060145788</v>
      </c>
      <c r="E335" s="3">
        <f t="shared" si="96"/>
        <v>5.377517476601243</v>
      </c>
      <c r="F335" s="3">
        <f t="shared" si="99"/>
        <v>147.51194507410469</v>
      </c>
      <c r="J335" s="3">
        <f>48.356</f>
        <v>48.356000000000002</v>
      </c>
      <c r="K335" s="3"/>
      <c r="L335" s="3" t="s">
        <v>33</v>
      </c>
      <c r="T335" s="3">
        <f>($F$38)*($F$39)*($C$12/2)</f>
        <v>7.3758937499999995</v>
      </c>
      <c r="U335" s="3">
        <f t="shared" si="101"/>
        <v>247.83002999999999</v>
      </c>
      <c r="V335" s="3">
        <f t="shared" si="102"/>
        <v>683.06867601457873</v>
      </c>
      <c r="W335" s="3">
        <f t="shared" si="100"/>
        <v>2.077989062099217</v>
      </c>
      <c r="X335" s="3">
        <f t="shared" si="103"/>
        <v>18.203909709760296</v>
      </c>
      <c r="AB335" s="3">
        <f>0.683</f>
        <v>0.68300000000000005</v>
      </c>
      <c r="AC335" s="3">
        <v>1.5</v>
      </c>
      <c r="AD335" s="3" t="s">
        <v>33</v>
      </c>
    </row>
    <row r="336" spans="2:30">
      <c r="B336" s="3">
        <f>($F$38)*($F$39)*($C$26/2)</f>
        <v>41.796731249999993</v>
      </c>
      <c r="C336" s="3">
        <f t="shared" si="104"/>
        <v>1404.3701699999999</v>
      </c>
      <c r="D336" s="3">
        <f t="shared" si="98"/>
        <v>1839.6088160145787</v>
      </c>
      <c r="E336" s="3">
        <f t="shared" si="96"/>
        <v>5.6303558797899571</v>
      </c>
      <c r="F336" s="3">
        <f t="shared" si="99"/>
        <v>161.70938343742557</v>
      </c>
      <c r="J336" s="3">
        <f>54.589</f>
        <v>54.588999999999999</v>
      </c>
      <c r="K336" s="3"/>
      <c r="L336" s="3" t="s">
        <v>33</v>
      </c>
      <c r="T336" s="3">
        <f>($F$38)*($F$39)*($C$13/2)</f>
        <v>9.8345249999999993</v>
      </c>
      <c r="U336" s="3">
        <f t="shared" si="101"/>
        <v>330.44004000000001</v>
      </c>
      <c r="V336" s="3">
        <f t="shared" si="102"/>
        <v>765.67868601457872</v>
      </c>
      <c r="W336" s="3">
        <f t="shared" si="100"/>
        <v>2.3293000989359331</v>
      </c>
      <c r="X336" s="3">
        <f t="shared" si="103"/>
        <v>22.873311716570147</v>
      </c>
      <c r="AB336" s="3">
        <f>1.215</f>
        <v>1.2150000000000001</v>
      </c>
      <c r="AC336" s="3">
        <v>2</v>
      </c>
      <c r="AD336" s="3" t="s">
        <v>33</v>
      </c>
    </row>
    <row r="337" spans="2:30">
      <c r="B337" s="3">
        <f>($F$38)*($F$39)*($C$27/2)</f>
        <v>44.255362499999997</v>
      </c>
      <c r="C337" s="3">
        <f t="shared" si="104"/>
        <v>1486.98018</v>
      </c>
      <c r="D337" s="3">
        <f t="shared" si="98"/>
        <v>1922.2188260145788</v>
      </c>
      <c r="E337" s="3">
        <f t="shared" si="96"/>
        <v>5.8831942829786712</v>
      </c>
      <c r="F337" s="3">
        <f t="shared" si="99"/>
        <v>176.55902000996147</v>
      </c>
      <c r="J337" s="3">
        <f>61.2</f>
        <v>61.2</v>
      </c>
      <c r="K337" s="3"/>
      <c r="L337" s="3" t="s">
        <v>33</v>
      </c>
      <c r="T337" s="3">
        <f>($F$38)*($F$39)*($C$14/2)</f>
        <v>12.293156249999999</v>
      </c>
      <c r="U337" s="3">
        <f t="shared" si="101"/>
        <v>413.05005</v>
      </c>
      <c r="V337" s="3">
        <f t="shared" si="102"/>
        <v>848.2886960145787</v>
      </c>
      <c r="W337" s="3">
        <f t="shared" si="100"/>
        <v>2.5806111357726498</v>
      </c>
      <c r="X337" s="3">
        <f t="shared" si="103"/>
        <v>28.075228027235315</v>
      </c>
      <c r="AB337" s="3">
        <f>1.898</f>
        <v>1.8979999999999999</v>
      </c>
      <c r="AC337" s="3">
        <v>2.5</v>
      </c>
      <c r="AD337" s="3" t="s">
        <v>33</v>
      </c>
    </row>
    <row r="338" spans="2:30">
      <c r="B338" s="3">
        <f>($F$38)*($F$39)*($C$28/2)</f>
        <v>46.71399375</v>
      </c>
      <c r="C338" s="3">
        <f t="shared" si="104"/>
        <v>1569.5901900000001</v>
      </c>
      <c r="D338" s="3">
        <f t="shared" si="98"/>
        <v>2004.8288360145789</v>
      </c>
      <c r="E338" s="3">
        <f t="shared" si="96"/>
        <v>6.1360326861673862</v>
      </c>
      <c r="F338" s="3">
        <f t="shared" si="99"/>
        <v>192.06085479171253</v>
      </c>
      <c r="J338" s="3">
        <f>68.189</f>
        <v>68.188999999999993</v>
      </c>
      <c r="K338" s="3"/>
      <c r="L338" s="3" t="s">
        <v>33</v>
      </c>
      <c r="T338" s="3">
        <f>($F$38)*($F$39)*($C$15/2)</f>
        <v>14.751787499999999</v>
      </c>
      <c r="U338" s="3">
        <f t="shared" si="101"/>
        <v>495.66005999999999</v>
      </c>
      <c r="V338" s="3">
        <f t="shared" si="102"/>
        <v>930.89870601457869</v>
      </c>
      <c r="W338" s="3">
        <f t="shared" si="100"/>
        <v>2.831922172609366</v>
      </c>
      <c r="X338" s="3">
        <f t="shared" si="103"/>
        <v>33.809658641755767</v>
      </c>
      <c r="AB338" s="3">
        <f>2.733</f>
        <v>2.7330000000000001</v>
      </c>
      <c r="AC338" s="3">
        <v>3</v>
      </c>
      <c r="AD338" s="3" t="s">
        <v>33</v>
      </c>
    </row>
    <row r="339" spans="2:30">
      <c r="B339" s="3">
        <f>($F$38)*($F$39)*($C$29/2)</f>
        <v>49.172624999999996</v>
      </c>
      <c r="C339" s="3">
        <f t="shared" si="104"/>
        <v>1652.2002</v>
      </c>
      <c r="D339" s="3">
        <f t="shared" si="98"/>
        <v>2087.4388460145788</v>
      </c>
      <c r="E339" s="3">
        <f t="shared" si="96"/>
        <v>6.3888710893560994</v>
      </c>
      <c r="F339" s="3">
        <f t="shared" si="99"/>
        <v>208.21488778267846</v>
      </c>
      <c r="J339" s="3">
        <f>75.556</f>
        <v>75.555999999999997</v>
      </c>
      <c r="K339" s="3"/>
      <c r="L339" s="3" t="s">
        <v>33</v>
      </c>
      <c r="T339" s="3">
        <f>($F$38)*($F$39)*($C$16/2)</f>
        <v>17.210418749999999</v>
      </c>
      <c r="U339" s="3">
        <f t="shared" si="101"/>
        <v>578.27007000000003</v>
      </c>
      <c r="V339" s="3">
        <f t="shared" si="102"/>
        <v>1013.5087160145788</v>
      </c>
      <c r="W339" s="3">
        <f t="shared" si="100"/>
        <v>3.083233209446083</v>
      </c>
      <c r="X339" s="3">
        <f t="shared" si="103"/>
        <v>40.076603560131545</v>
      </c>
      <c r="AB339" s="3">
        <f>3.719</f>
        <v>3.7189999999999999</v>
      </c>
      <c r="AC339" s="3">
        <v>3.5</v>
      </c>
      <c r="AD339" s="3" t="s">
        <v>33</v>
      </c>
    </row>
    <row r="340" spans="2:30">
      <c r="B340" s="3">
        <f>($F$38)*($F$39)*($C$30/2)</f>
        <v>51.631256249999993</v>
      </c>
      <c r="C340" s="3">
        <f t="shared" si="104"/>
        <v>1734.8102099999999</v>
      </c>
      <c r="D340" s="3">
        <f t="shared" si="98"/>
        <v>2170.0488560145786</v>
      </c>
      <c r="E340" s="3">
        <f t="shared" si="96"/>
        <v>6.6417094925448135</v>
      </c>
      <c r="F340" s="3">
        <f t="shared" si="99"/>
        <v>225.02111898285955</v>
      </c>
      <c r="J340" s="3">
        <f>83.3</f>
        <v>83.3</v>
      </c>
      <c r="K340" s="3"/>
      <c r="L340" s="3" t="s">
        <v>33</v>
      </c>
      <c r="T340" s="3">
        <f>($F$38)*($F$39)*($C$17/2)</f>
        <v>19.669049999999999</v>
      </c>
      <c r="U340" s="3">
        <f t="shared" si="101"/>
        <v>660.88008000000002</v>
      </c>
      <c r="V340" s="3">
        <f t="shared" si="102"/>
        <v>1096.1187260145787</v>
      </c>
      <c r="W340" s="3">
        <f t="shared" si="100"/>
        <v>3.3345442462827988</v>
      </c>
      <c r="X340" s="3">
        <f t="shared" si="103"/>
        <v>46.876062782362595</v>
      </c>
      <c r="AB340" s="3">
        <f>4.858</f>
        <v>4.8579999999999997</v>
      </c>
      <c r="AC340" s="3">
        <v>4</v>
      </c>
      <c r="AD340" s="3" t="s">
        <v>33</v>
      </c>
    </row>
    <row r="341" spans="2:30">
      <c r="B341" s="3">
        <f>($F$38)*($F$39)*($C$31/2)</f>
        <v>54.089887499999996</v>
      </c>
      <c r="C341" s="3">
        <f t="shared" si="104"/>
        <v>1817.42022</v>
      </c>
      <c r="D341" s="3">
        <f t="shared" si="98"/>
        <v>2252.6588660145785</v>
      </c>
      <c r="E341" s="3">
        <f t="shared" si="96"/>
        <v>6.8945478957335267</v>
      </c>
      <c r="F341" s="3">
        <f t="shared" si="99"/>
        <v>242.47954839225568</v>
      </c>
      <c r="J341" s="3">
        <f>91.422</f>
        <v>91.421999999999997</v>
      </c>
      <c r="K341" s="3"/>
      <c r="L341" s="3" t="s">
        <v>33</v>
      </c>
      <c r="T341" s="3">
        <f>($F$38)*($F$39)*($C$18/2)</f>
        <v>22.127681249999998</v>
      </c>
      <c r="U341" s="3">
        <f t="shared" si="101"/>
        <v>743.49009000000001</v>
      </c>
      <c r="V341" s="3">
        <f t="shared" si="102"/>
        <v>1178.7287360145788</v>
      </c>
      <c r="W341" s="3">
        <f t="shared" si="100"/>
        <v>3.5858552831195158</v>
      </c>
      <c r="X341" s="3">
        <f t="shared" si="103"/>
        <v>54.208036308448989</v>
      </c>
      <c r="AB341" s="3">
        <f>6.148</f>
        <v>6.1479999999999997</v>
      </c>
      <c r="AC341" s="3">
        <v>4.5</v>
      </c>
      <c r="AD341" s="3" t="s">
        <v>33</v>
      </c>
    </row>
    <row r="342" spans="2:30">
      <c r="B342" s="3">
        <f>($F$38)*($F$39)*($C$32/2)</f>
        <v>56.548518749999999</v>
      </c>
      <c r="C342" s="3">
        <f t="shared" si="104"/>
        <v>1900.0302300000001</v>
      </c>
      <c r="D342" s="3">
        <f t="shared" si="98"/>
        <v>2335.2688760145788</v>
      </c>
      <c r="E342" s="3">
        <f t="shared" si="96"/>
        <v>7.1473862989222425</v>
      </c>
      <c r="F342" s="3">
        <f t="shared" si="99"/>
        <v>260.59017601086703</v>
      </c>
      <c r="J342" s="3">
        <f>99.922</f>
        <v>99.921999999999997</v>
      </c>
      <c r="K342" s="3"/>
      <c r="L342" s="3" t="s">
        <v>33</v>
      </c>
      <c r="T342" s="3">
        <f>($F$38)*($F$39)*($C$19/2)</f>
        <v>24.586312499999998</v>
      </c>
      <c r="U342" s="3">
        <f t="shared" si="101"/>
        <v>826.1001</v>
      </c>
      <c r="V342" s="3">
        <f t="shared" si="102"/>
        <v>1261.3387460145786</v>
      </c>
      <c r="W342" s="3">
        <f t="shared" si="100"/>
        <v>3.8371663199562316</v>
      </c>
      <c r="X342" s="3">
        <f t="shared" si="103"/>
        <v>62.072524138390641</v>
      </c>
      <c r="AB342" s="3">
        <f>7.591</f>
        <v>7.5910000000000002</v>
      </c>
      <c r="AC342" s="3">
        <v>5</v>
      </c>
      <c r="AD342" s="3" t="s">
        <v>33</v>
      </c>
    </row>
    <row r="343" spans="2:30">
      <c r="B343" s="3">
        <f>($F$38)*($F$39)*($C$33/2)</f>
        <v>59.007149999999996</v>
      </c>
      <c r="C343" s="3">
        <f t="shared" si="104"/>
        <v>1982.6402399999999</v>
      </c>
      <c r="D343" s="3">
        <f t="shared" si="98"/>
        <v>2417.8788860145787</v>
      </c>
      <c r="E343" s="3">
        <f t="shared" si="96"/>
        <v>7.4002247021109557</v>
      </c>
      <c r="F343" s="3">
        <f t="shared" si="99"/>
        <v>279.35300183869316</v>
      </c>
      <c r="J343" s="3">
        <f>108.8</f>
        <v>108.8</v>
      </c>
      <c r="K343" s="3"/>
      <c r="L343" s="3" t="s">
        <v>33</v>
      </c>
      <c r="T343" s="3">
        <f>($F$38)*($F$39)*($C$20/2)</f>
        <v>27.044943749999998</v>
      </c>
      <c r="U343" s="3">
        <f t="shared" si="101"/>
        <v>908.71010999999999</v>
      </c>
      <c r="V343" s="3">
        <f t="shared" si="102"/>
        <v>1343.9487560145787</v>
      </c>
      <c r="W343" s="3">
        <f t="shared" si="100"/>
        <v>4.0884773567929482</v>
      </c>
      <c r="X343" s="3">
        <f t="shared" si="103"/>
        <v>70.469526272187622</v>
      </c>
      <c r="AB343" s="3">
        <f>9.185</f>
        <v>9.1850000000000005</v>
      </c>
      <c r="AC343" s="3">
        <v>5.5</v>
      </c>
      <c r="AD343" s="3" t="s">
        <v>33</v>
      </c>
    </row>
    <row r="344" spans="2:30">
      <c r="B344" s="3">
        <f>($F$38)*($F$39)*($C$34/2)</f>
        <v>0</v>
      </c>
      <c r="C344" s="3">
        <f>$C$46*B344</f>
        <v>0</v>
      </c>
      <c r="D344" s="3">
        <f t="shared" si="98"/>
        <v>435.23864601457871</v>
      </c>
      <c r="E344" s="3">
        <f t="shared" si="96"/>
        <v>1.3321030255818163</v>
      </c>
      <c r="F344" s="3">
        <f t="shared" si="99"/>
        <v>9.0518877142186156</v>
      </c>
      <c r="J344" s="29"/>
      <c r="K344" s="4"/>
      <c r="L344" s="30"/>
      <c r="T344" s="3">
        <f>($F$38)*($F$39)*($C$21/2)</f>
        <v>29.503574999999998</v>
      </c>
      <c r="U344" s="3">
        <f t="shared" si="101"/>
        <v>991.32011999999997</v>
      </c>
      <c r="V344" s="3">
        <f t="shared" si="102"/>
        <v>1426.5587660145786</v>
      </c>
      <c r="W344" s="3">
        <f t="shared" si="100"/>
        <v>4.3397883936296644</v>
      </c>
      <c r="X344" s="3">
        <f t="shared" si="103"/>
        <v>79.399042709839904</v>
      </c>
      <c r="AB344" s="3">
        <f>10.931</f>
        <v>10.930999999999999</v>
      </c>
      <c r="AC344" s="3">
        <v>6</v>
      </c>
      <c r="AD344" s="3" t="s">
        <v>33</v>
      </c>
    </row>
    <row r="345" spans="2:30">
      <c r="B345" s="29"/>
      <c r="C345" s="4"/>
      <c r="D345" s="4"/>
      <c r="E345" s="4"/>
      <c r="F345" s="30"/>
      <c r="J345" s="29"/>
      <c r="K345" s="4"/>
      <c r="L345" s="30"/>
      <c r="T345" s="3">
        <f>($F$38)*($F$39)*($C$22/2)</f>
        <v>31.962206249999998</v>
      </c>
      <c r="U345" s="3">
        <f t="shared" si="101"/>
        <v>1073.93013</v>
      </c>
      <c r="V345" s="3">
        <f t="shared" si="102"/>
        <v>1509.1687760145787</v>
      </c>
      <c r="W345" s="3">
        <f t="shared" si="100"/>
        <v>4.5910994304663815</v>
      </c>
      <c r="X345" s="3">
        <f t="shared" si="103"/>
        <v>88.861073451347494</v>
      </c>
      <c r="AB345" s="3">
        <f>12.828</f>
        <v>12.827999999999999</v>
      </c>
      <c r="AC345" s="3">
        <v>6.5</v>
      </c>
      <c r="AD345" s="3" t="s">
        <v>33</v>
      </c>
    </row>
    <row r="346" spans="2:30">
      <c r="B346" s="29" t="s">
        <v>136</v>
      </c>
      <c r="C346" s="4"/>
      <c r="D346" s="4"/>
      <c r="E346" s="4"/>
      <c r="F346" s="30"/>
      <c r="J346" s="29" t="s">
        <v>137</v>
      </c>
      <c r="K346" s="4"/>
      <c r="L346" s="30"/>
      <c r="T346" s="3">
        <f>($F$38)*($F$39)*($C$23/2)</f>
        <v>34.420837499999998</v>
      </c>
      <c r="U346" s="3">
        <f>$C$46*T346</f>
        <v>1156.5401400000001</v>
      </c>
      <c r="V346" s="3">
        <f t="shared" si="102"/>
        <v>1591.7787860145788</v>
      </c>
      <c r="W346" s="3">
        <f t="shared" si="100"/>
        <v>4.8424104673030985</v>
      </c>
      <c r="X346" s="3">
        <f t="shared" si="103"/>
        <v>98.85561849671042</v>
      </c>
      <c r="AB346" s="3">
        <f>14.878</f>
        <v>14.878</v>
      </c>
      <c r="AC346" s="3">
        <v>7</v>
      </c>
      <c r="AD346" s="3" t="s">
        <v>33</v>
      </c>
    </row>
    <row r="347" spans="2:30">
      <c r="B347" s="45" t="s">
        <v>75</v>
      </c>
      <c r="C347" s="45" t="s">
        <v>76</v>
      </c>
      <c r="D347" s="45" t="s">
        <v>77</v>
      </c>
      <c r="E347" s="45" t="s">
        <v>78</v>
      </c>
      <c r="F347" s="45" t="s">
        <v>32</v>
      </c>
      <c r="J347" s="45" t="s">
        <v>32</v>
      </c>
      <c r="K347" s="3"/>
      <c r="L347" s="3"/>
      <c r="T347" s="3">
        <f>($F$38)*($F$39)*($C$24/2)</f>
        <v>36.879468750000001</v>
      </c>
      <c r="U347" s="3">
        <f t="shared" ref="U347:U356" si="105">$C$46*T347</f>
        <v>1239.1501500000002</v>
      </c>
      <c r="V347" s="3">
        <f t="shared" si="102"/>
        <v>1674.3887960145789</v>
      </c>
      <c r="W347" s="3">
        <f t="shared" si="100"/>
        <v>5.0937215041398147</v>
      </c>
      <c r="X347" s="3">
        <f t="shared" si="103"/>
        <v>109.38267784592858</v>
      </c>
      <c r="AB347" s="3">
        <f>17.079</f>
        <v>17.079000000000001</v>
      </c>
      <c r="AC347" s="3">
        <v>7.5</v>
      </c>
      <c r="AD347" s="3" t="s">
        <v>33</v>
      </c>
    </row>
    <row r="348" spans="2:30">
      <c r="B348" s="3">
        <f>($F$38)*($F$39)*($C$9/2)</f>
        <v>0</v>
      </c>
      <c r="C348" s="3">
        <f>$C$46*B348</f>
        <v>0</v>
      </c>
      <c r="D348" s="3">
        <f>C348+($C$50*$C$52)</f>
        <v>435.23864601457871</v>
      </c>
      <c r="E348" s="3">
        <f t="shared" ref="E348:E373" si="106">(D348)/($C$48+((($F$40)*($C$52))*$F$19)-(($C$49+$C$50)*$F$19^2))</f>
        <v>1.3240559515890675</v>
      </c>
      <c r="F348" s="3">
        <f>($F$19*E348)*($F$19*E348*$C$52)/2</f>
        <v>7.3907895124625549</v>
      </c>
      <c r="J348" s="3">
        <v>0</v>
      </c>
      <c r="K348" s="3"/>
      <c r="L348" s="3"/>
      <c r="T348" s="3">
        <f>($F$38)*($F$39)*($C$25/2)</f>
        <v>39.338099999999997</v>
      </c>
      <c r="U348" s="3">
        <f t="shared" si="105"/>
        <v>1321.76016</v>
      </c>
      <c r="V348" s="3">
        <f t="shared" si="102"/>
        <v>1756.9988060145788</v>
      </c>
      <c r="W348" s="3">
        <f t="shared" si="100"/>
        <v>5.3450325409765309</v>
      </c>
      <c r="X348" s="3">
        <f t="shared" si="103"/>
        <v>120.44225149900208</v>
      </c>
      <c r="AB348" s="3">
        <f>19.432</f>
        <v>19.431999999999999</v>
      </c>
      <c r="AC348" s="3">
        <v>8</v>
      </c>
      <c r="AD348" s="3" t="s">
        <v>33</v>
      </c>
    </row>
    <row r="349" spans="2:30">
      <c r="B349" s="3">
        <f>($F$38)*($F$39)*($C$10/2)</f>
        <v>2.4586312499999998</v>
      </c>
      <c r="C349" s="3">
        <f t="shared" ref="C349:C361" si="107">$C$46*B349</f>
        <v>82.610010000000003</v>
      </c>
      <c r="D349" s="3">
        <f t="shared" ref="D349:D373" si="108">C349+($C$50*$C$52)</f>
        <v>517.84865601457875</v>
      </c>
      <c r="E349" s="3">
        <f t="shared" si="106"/>
        <v>1.5753669884257842</v>
      </c>
      <c r="F349" s="3">
        <f t="shared" ref="F349:F373" si="109">($F$19*E349)*($F$19*E349*$C$52)/2</f>
        <v>10.462648607706502</v>
      </c>
      <c r="J349" s="3">
        <f>0.076</f>
        <v>7.5999999999999998E-2</v>
      </c>
      <c r="K349" s="3"/>
      <c r="L349" s="3"/>
      <c r="T349" s="3">
        <f>($F$38)*($F$39)*($C$26/2)</f>
        <v>41.796731249999993</v>
      </c>
      <c r="U349" s="3">
        <f t="shared" si="105"/>
        <v>1404.3701699999999</v>
      </c>
      <c r="V349" s="3">
        <f t="shared" si="102"/>
        <v>1839.6088160145787</v>
      </c>
      <c r="W349" s="3">
        <f t="shared" si="100"/>
        <v>5.5963435778132471</v>
      </c>
      <c r="X349" s="3">
        <f t="shared" si="103"/>
        <v>132.0343394559309</v>
      </c>
      <c r="AB349" s="3">
        <f>21.937</f>
        <v>21.937000000000001</v>
      </c>
      <c r="AC349" s="3">
        <v>8.5</v>
      </c>
      <c r="AD349" s="3" t="s">
        <v>33</v>
      </c>
    </row>
    <row r="350" spans="2:30">
      <c r="B350" s="3">
        <f>($F$38)*($F$39)*($C$11/2)</f>
        <v>4.9172624999999996</v>
      </c>
      <c r="C350" s="3">
        <f t="shared" si="107"/>
        <v>165.22002000000001</v>
      </c>
      <c r="D350" s="3">
        <f t="shared" si="108"/>
        <v>600.45866601457874</v>
      </c>
      <c r="E350" s="3">
        <f t="shared" si="106"/>
        <v>1.8266780252625006</v>
      </c>
      <c r="F350" s="3">
        <f t="shared" si="109"/>
        <v>14.067022006805752</v>
      </c>
      <c r="J350" s="3">
        <f>0.304</f>
        <v>0.30399999999999999</v>
      </c>
      <c r="K350" s="3"/>
      <c r="L350" s="3"/>
      <c r="T350" s="3">
        <f>($F$38)*($F$39)*($C$27/2)</f>
        <v>44.255362499999997</v>
      </c>
      <c r="U350" s="3">
        <f t="shared" si="105"/>
        <v>1486.98018</v>
      </c>
      <c r="V350" s="3">
        <f t="shared" si="102"/>
        <v>1922.2188260145788</v>
      </c>
      <c r="W350" s="3">
        <f t="shared" si="100"/>
        <v>5.8476546146499642</v>
      </c>
      <c r="X350" s="3">
        <f t="shared" si="103"/>
        <v>144.15894171671499</v>
      </c>
      <c r="AB350" s="3">
        <f>24.594</f>
        <v>24.594000000000001</v>
      </c>
      <c r="AC350" s="3">
        <v>9</v>
      </c>
      <c r="AD350" s="3" t="s">
        <v>33</v>
      </c>
    </row>
    <row r="351" spans="2:30">
      <c r="B351" s="3">
        <f>($F$38)*($F$39)*($C$12/2)</f>
        <v>7.3758937499999995</v>
      </c>
      <c r="C351" s="3">
        <f t="shared" si="107"/>
        <v>247.83002999999999</v>
      </c>
      <c r="D351" s="3">
        <f t="shared" si="108"/>
        <v>683.06867601457873</v>
      </c>
      <c r="E351" s="3">
        <f t="shared" si="106"/>
        <v>2.077989062099217</v>
      </c>
      <c r="F351" s="3">
        <f t="shared" si="109"/>
        <v>18.203909709760296</v>
      </c>
      <c r="J351" s="3">
        <f>0.683</f>
        <v>0.68300000000000005</v>
      </c>
      <c r="K351" s="3"/>
      <c r="L351" s="3"/>
      <c r="T351" s="3">
        <f>($F$38)*($F$39)*($C$28/2)</f>
        <v>46.71399375</v>
      </c>
      <c r="U351" s="3">
        <f t="shared" si="105"/>
        <v>1569.5901900000001</v>
      </c>
      <c r="V351" s="3">
        <f t="shared" si="102"/>
        <v>2004.8288360145789</v>
      </c>
      <c r="W351" s="3">
        <f t="shared" si="100"/>
        <v>6.0989656514866804</v>
      </c>
      <c r="X351" s="3">
        <f t="shared" si="103"/>
        <v>156.8160582813544</v>
      </c>
      <c r="AB351" s="3">
        <f>27.402</f>
        <v>27.402000000000001</v>
      </c>
      <c r="AC351" s="3">
        <v>9.5</v>
      </c>
      <c r="AD351" s="3" t="s">
        <v>33</v>
      </c>
    </row>
    <row r="352" spans="2:30">
      <c r="B352" s="3">
        <f>($F$38)*($F$39)*($C$13/2)</f>
        <v>9.8345249999999993</v>
      </c>
      <c r="C352" s="3">
        <f t="shared" si="107"/>
        <v>330.44004000000001</v>
      </c>
      <c r="D352" s="3">
        <f t="shared" si="108"/>
        <v>765.67868601457872</v>
      </c>
      <c r="E352" s="3">
        <f t="shared" si="106"/>
        <v>2.3293000989359331</v>
      </c>
      <c r="F352" s="3">
        <f t="shared" si="109"/>
        <v>22.873311716570147</v>
      </c>
      <c r="J352" s="3">
        <f>1.215</f>
        <v>1.2150000000000001</v>
      </c>
      <c r="K352" s="3"/>
      <c r="L352" s="3"/>
      <c r="T352" s="3">
        <f>($F$38)*($F$39)*($C$29/2)</f>
        <v>49.172624999999996</v>
      </c>
      <c r="U352" s="3">
        <f t="shared" si="105"/>
        <v>1652.2002</v>
      </c>
      <c r="V352" s="3">
        <f t="shared" si="102"/>
        <v>2087.4388460145788</v>
      </c>
      <c r="W352" s="3">
        <f t="shared" si="100"/>
        <v>6.3502766883233965</v>
      </c>
      <c r="X352" s="3">
        <f t="shared" si="103"/>
        <v>170.00568914984908</v>
      </c>
      <c r="AB352" s="3">
        <f>30.363</f>
        <v>30.363</v>
      </c>
      <c r="AC352" s="3">
        <v>10</v>
      </c>
      <c r="AD352" s="3" t="s">
        <v>33</v>
      </c>
    </row>
    <row r="353" spans="2:30">
      <c r="B353" s="3">
        <f>($F$38)*($F$39)*($C$14/2)</f>
        <v>12.293156249999999</v>
      </c>
      <c r="C353" s="3">
        <f t="shared" si="107"/>
        <v>413.05005</v>
      </c>
      <c r="D353" s="3">
        <f t="shared" si="108"/>
        <v>848.2886960145787</v>
      </c>
      <c r="E353" s="3">
        <f t="shared" si="106"/>
        <v>2.5806111357726498</v>
      </c>
      <c r="F353" s="3">
        <f t="shared" si="109"/>
        <v>28.075228027235315</v>
      </c>
      <c r="J353" s="3">
        <f>1.898</f>
        <v>1.8979999999999999</v>
      </c>
      <c r="K353" s="3"/>
      <c r="L353" s="3"/>
      <c r="T353" s="3">
        <f>($F$38)*($F$39)*($C$30/2)</f>
        <v>51.631256249999993</v>
      </c>
      <c r="U353" s="3">
        <f t="shared" si="105"/>
        <v>1734.8102099999999</v>
      </c>
      <c r="V353" s="3">
        <f t="shared" si="102"/>
        <v>2170.0488560145786</v>
      </c>
      <c r="W353" s="3">
        <f t="shared" si="100"/>
        <v>6.6015877251601127</v>
      </c>
      <c r="X353" s="3">
        <f t="shared" si="103"/>
        <v>183.7278343221991</v>
      </c>
      <c r="AB353" s="3">
        <f>33.475</f>
        <v>33.475000000000001</v>
      </c>
      <c r="AC353" s="3">
        <v>10.5</v>
      </c>
      <c r="AD353" s="3" t="s">
        <v>33</v>
      </c>
    </row>
    <row r="354" spans="2:30">
      <c r="B354" s="3">
        <f>($F$38)*($F$39)*($C$15/2)</f>
        <v>14.751787499999999</v>
      </c>
      <c r="C354" s="3">
        <f t="shared" si="107"/>
        <v>495.66005999999999</v>
      </c>
      <c r="D354" s="3">
        <f t="shared" si="108"/>
        <v>930.89870601457869</v>
      </c>
      <c r="E354" s="3">
        <f t="shared" si="106"/>
        <v>2.831922172609366</v>
      </c>
      <c r="F354" s="3">
        <f t="shared" si="109"/>
        <v>33.809658641755767</v>
      </c>
      <c r="J354" s="3">
        <f>2.733</f>
        <v>2.7330000000000001</v>
      </c>
      <c r="K354" s="3"/>
      <c r="L354" s="3"/>
      <c r="T354" s="3">
        <f>($F$38)*($F$39)*($C$31/2)</f>
        <v>54.089887499999996</v>
      </c>
      <c r="U354" s="3">
        <f t="shared" si="105"/>
        <v>1817.42022</v>
      </c>
      <c r="V354" s="3">
        <f t="shared" si="102"/>
        <v>2252.6588660145785</v>
      </c>
      <c r="W354" s="3">
        <f t="shared" si="100"/>
        <v>6.8528987619968289</v>
      </c>
      <c r="X354" s="3">
        <f t="shared" si="103"/>
        <v>197.98249379840442</v>
      </c>
      <c r="AB354" s="3">
        <f>36.739</f>
        <v>36.738999999999997</v>
      </c>
      <c r="AC354" s="3">
        <v>11</v>
      </c>
      <c r="AD354" s="3" t="s">
        <v>33</v>
      </c>
    </row>
    <row r="355" spans="2:30">
      <c r="B355" s="3">
        <f>($F$38)*($F$39)*($C$16/2)</f>
        <v>17.210418749999999</v>
      </c>
      <c r="C355" s="3">
        <f t="shared" si="107"/>
        <v>578.27007000000003</v>
      </c>
      <c r="D355" s="3">
        <f t="shared" si="108"/>
        <v>1013.5087160145788</v>
      </c>
      <c r="E355" s="3">
        <f t="shared" si="106"/>
        <v>3.083233209446083</v>
      </c>
      <c r="F355" s="3">
        <f t="shared" si="109"/>
        <v>40.076603560131545</v>
      </c>
      <c r="J355" s="3">
        <f>3.719</f>
        <v>3.7189999999999999</v>
      </c>
      <c r="K355" s="3"/>
      <c r="L355" s="3"/>
      <c r="T355" s="3">
        <f>($F$38)*($F$39)*($C$32/2)</f>
        <v>56.548518749999999</v>
      </c>
      <c r="U355" s="3">
        <f t="shared" si="105"/>
        <v>1900.0302300000001</v>
      </c>
      <c r="V355" s="3">
        <f t="shared" si="102"/>
        <v>2335.2688760145788</v>
      </c>
      <c r="W355" s="3">
        <f t="shared" si="100"/>
        <v>7.104209798833546</v>
      </c>
      <c r="X355" s="3">
        <f t="shared" si="103"/>
        <v>212.76966757846509</v>
      </c>
      <c r="AB355" s="3">
        <f>40.155</f>
        <v>40.155000000000001</v>
      </c>
      <c r="AC355" s="3">
        <v>11.5</v>
      </c>
      <c r="AD355" s="3" t="s">
        <v>33</v>
      </c>
    </row>
    <row r="356" spans="2:30">
      <c r="B356" s="3">
        <f>($F$38)*($F$39)*($C$17/2)</f>
        <v>19.669049999999999</v>
      </c>
      <c r="C356" s="3">
        <f t="shared" si="107"/>
        <v>660.88008000000002</v>
      </c>
      <c r="D356" s="3">
        <f t="shared" si="108"/>
        <v>1096.1187260145787</v>
      </c>
      <c r="E356" s="3">
        <f t="shared" si="106"/>
        <v>3.3345442462827988</v>
      </c>
      <c r="F356" s="3">
        <f t="shared" si="109"/>
        <v>46.876062782362595</v>
      </c>
      <c r="J356" s="3">
        <f>4.858</f>
        <v>4.8579999999999997</v>
      </c>
      <c r="K356" s="3"/>
      <c r="L356" s="3"/>
      <c r="T356" s="3">
        <f>($F$38)*($F$39)*($C$33/2)</f>
        <v>59.007149999999996</v>
      </c>
      <c r="U356" s="3">
        <f t="shared" si="105"/>
        <v>1982.6402399999999</v>
      </c>
      <c r="V356" s="3">
        <f t="shared" si="102"/>
        <v>2417.8788860145787</v>
      </c>
      <c r="W356" s="3">
        <f t="shared" si="100"/>
        <v>7.3555208356702622</v>
      </c>
      <c r="X356" s="3">
        <f t="shared" si="103"/>
        <v>228.08935566238097</v>
      </c>
      <c r="AB356" s="3">
        <f>43.722</f>
        <v>43.722000000000001</v>
      </c>
      <c r="AC356" s="3">
        <v>12</v>
      </c>
      <c r="AD356" s="3" t="s">
        <v>33</v>
      </c>
    </row>
    <row r="357" spans="2:30">
      <c r="B357" s="3">
        <f>($F$38)*($F$39)*($C$18/2)</f>
        <v>22.127681249999998</v>
      </c>
      <c r="C357" s="3">
        <f t="shared" si="107"/>
        <v>743.49009000000001</v>
      </c>
      <c r="D357" s="3">
        <f t="shared" si="108"/>
        <v>1178.7287360145788</v>
      </c>
      <c r="E357" s="3">
        <f t="shared" si="106"/>
        <v>3.5858552831195158</v>
      </c>
      <c r="F357" s="3">
        <f t="shared" si="109"/>
        <v>54.208036308448989</v>
      </c>
      <c r="J357" s="3">
        <f>6.148</f>
        <v>6.1479999999999997</v>
      </c>
      <c r="K357" s="3"/>
      <c r="L357" s="3"/>
      <c r="T357" s="3"/>
      <c r="U357" s="3"/>
      <c r="V357" s="3"/>
      <c r="W357" s="3"/>
      <c r="X357" s="3"/>
      <c r="AB357" s="29"/>
      <c r="AC357" s="4"/>
      <c r="AD357" s="30"/>
    </row>
    <row r="358" spans="2:30">
      <c r="B358" s="3">
        <f>($F$38)*($F$39)*($C$19/2)</f>
        <v>24.586312499999998</v>
      </c>
      <c r="C358" s="3">
        <f t="shared" si="107"/>
        <v>826.1001</v>
      </c>
      <c r="D358" s="3">
        <f t="shared" si="108"/>
        <v>1261.3387460145786</v>
      </c>
      <c r="E358" s="3">
        <f t="shared" si="106"/>
        <v>3.8371663199562316</v>
      </c>
      <c r="F358" s="3">
        <f t="shared" si="109"/>
        <v>62.072524138390641</v>
      </c>
      <c r="J358" s="3">
        <f>7.591</f>
        <v>7.5910000000000002</v>
      </c>
      <c r="K358" s="3"/>
      <c r="L358" s="3"/>
      <c r="T358" s="29"/>
      <c r="U358" s="4"/>
      <c r="V358" s="4"/>
      <c r="W358" s="4"/>
      <c r="X358" s="30"/>
      <c r="AB358" s="29"/>
      <c r="AC358" s="4"/>
      <c r="AD358" s="30"/>
    </row>
    <row r="359" spans="2:30">
      <c r="B359" s="3">
        <f>($F$38)*($F$39)*($C$20/2)</f>
        <v>27.044943749999998</v>
      </c>
      <c r="C359" s="3">
        <f t="shared" si="107"/>
        <v>908.71010999999999</v>
      </c>
      <c r="D359" s="3">
        <f t="shared" si="108"/>
        <v>1343.9487560145787</v>
      </c>
      <c r="E359" s="3">
        <f t="shared" si="106"/>
        <v>4.0884773567929482</v>
      </c>
      <c r="F359" s="3">
        <f t="shared" si="109"/>
        <v>70.469526272187622</v>
      </c>
      <c r="J359" s="3">
        <f>9.185</f>
        <v>9.1850000000000005</v>
      </c>
      <c r="K359" s="3">
        <v>5.5</v>
      </c>
      <c r="L359" s="3" t="s">
        <v>33</v>
      </c>
      <c r="T359" s="29" t="s">
        <v>138</v>
      </c>
      <c r="U359" s="4"/>
      <c r="V359" s="4"/>
      <c r="W359" s="4"/>
      <c r="X359" s="30"/>
      <c r="AB359" s="29" t="s">
        <v>139</v>
      </c>
      <c r="AC359" s="4"/>
      <c r="AD359" s="30"/>
    </row>
    <row r="360" spans="2:30">
      <c r="B360" s="3">
        <f>($F$38)*($F$39)*($C$21/2)</f>
        <v>29.503574999999998</v>
      </c>
      <c r="C360" s="3">
        <f t="shared" si="107"/>
        <v>991.32011999999997</v>
      </c>
      <c r="D360" s="3">
        <f t="shared" si="108"/>
        <v>1426.5587660145786</v>
      </c>
      <c r="E360" s="3">
        <f t="shared" si="106"/>
        <v>4.3397883936296644</v>
      </c>
      <c r="F360" s="3">
        <f t="shared" si="109"/>
        <v>79.399042709839904</v>
      </c>
      <c r="J360" s="3">
        <f>10.931</f>
        <v>10.930999999999999</v>
      </c>
      <c r="K360" s="3"/>
      <c r="L360" s="3"/>
      <c r="T360" s="45" t="s">
        <v>75</v>
      </c>
      <c r="U360" s="45" t="s">
        <v>76</v>
      </c>
      <c r="V360" s="45" t="s">
        <v>77</v>
      </c>
      <c r="W360" s="45" t="s">
        <v>78</v>
      </c>
      <c r="X360" s="45" t="s">
        <v>32</v>
      </c>
      <c r="AB360" s="45" t="s">
        <v>32</v>
      </c>
      <c r="AC360" s="3"/>
      <c r="AD360" s="3"/>
    </row>
    <row r="361" spans="2:30">
      <c r="B361" s="3">
        <f>($F$38)*($F$39)*($C$22/2)</f>
        <v>31.962206249999998</v>
      </c>
      <c r="C361" s="3">
        <f t="shared" si="107"/>
        <v>1073.93013</v>
      </c>
      <c r="D361" s="3">
        <f t="shared" si="108"/>
        <v>1509.1687760145787</v>
      </c>
      <c r="E361" s="3">
        <f t="shared" si="106"/>
        <v>4.5910994304663815</v>
      </c>
      <c r="F361" s="3">
        <f t="shared" si="109"/>
        <v>88.861073451347494</v>
      </c>
      <c r="J361" s="3">
        <f>12.828</f>
        <v>12.827999999999999</v>
      </c>
      <c r="K361" s="3"/>
      <c r="L361" s="3"/>
      <c r="T361" s="3">
        <f>($F$38)*($F$39)*($C$9/2)</f>
        <v>0</v>
      </c>
      <c r="U361" s="3">
        <f>$C$46*T361</f>
        <v>0</v>
      </c>
      <c r="V361" s="3">
        <f>U361+($C$50*$C$52)</f>
        <v>435.23864601457871</v>
      </c>
      <c r="W361" s="3">
        <f t="shared" ref="W361:W385" si="110">(V361)/($C$48+((($F$40)*($C$52))*$F$20)-(($C$49+$C$50)*$F$20^2))</f>
        <v>1.3184290406036887</v>
      </c>
      <c r="X361" s="3">
        <f>($F$20*W361)*($F$20*W361*$C$52)/2</f>
        <v>6.1576437264793604</v>
      </c>
      <c r="AB361" s="3">
        <v>0</v>
      </c>
      <c r="AC361" s="3">
        <v>0</v>
      </c>
      <c r="AD361" s="3" t="s">
        <v>33</v>
      </c>
    </row>
    <row r="362" spans="2:30">
      <c r="B362" s="3">
        <f>($F$38)*($F$39)*($C$23/2)</f>
        <v>34.420837499999998</v>
      </c>
      <c r="C362" s="3">
        <f>$C$46*B362</f>
        <v>1156.5401400000001</v>
      </c>
      <c r="D362" s="3">
        <f t="shared" si="108"/>
        <v>1591.7787860145788</v>
      </c>
      <c r="E362" s="3">
        <f t="shared" si="106"/>
        <v>4.8424104673030985</v>
      </c>
      <c r="F362" s="3">
        <f t="shared" si="109"/>
        <v>98.85561849671042</v>
      </c>
      <c r="J362" s="3">
        <f>14.878</f>
        <v>14.878</v>
      </c>
      <c r="K362" s="3"/>
      <c r="L362" s="3"/>
      <c r="T362" s="3">
        <f>($F$38)*($F$39)*($C$10/2)</f>
        <v>2.4586312499999998</v>
      </c>
      <c r="U362" s="3">
        <f t="shared" ref="U362:U374" si="111">$C$46*T362</f>
        <v>82.610010000000003</v>
      </c>
      <c r="V362" s="3">
        <f t="shared" ref="V362:V385" si="112">U362+($C$50*$C$52)</f>
        <v>517.84865601457875</v>
      </c>
      <c r="W362" s="3">
        <f t="shared" si="110"/>
        <v>1.5686720675634613</v>
      </c>
      <c r="X362" s="3">
        <f t="shared" ref="X362:X385" si="113">($F$20*W362)*($F$20*W362*$C$52)/2</f>
        <v>8.7169662257281537</v>
      </c>
      <c r="AB362" s="3">
        <f>0.033</f>
        <v>3.3000000000000002E-2</v>
      </c>
      <c r="AC362" s="3">
        <v>0.5</v>
      </c>
      <c r="AD362" s="3" t="s">
        <v>33</v>
      </c>
    </row>
    <row r="363" spans="2:30">
      <c r="B363" s="3">
        <f>($F$38)*($F$39)*($C$24/2)</f>
        <v>36.879468750000001</v>
      </c>
      <c r="C363" s="3">
        <f t="shared" ref="C363:C372" si="114">$C$46*B363</f>
        <v>1239.1501500000002</v>
      </c>
      <c r="D363" s="3">
        <f t="shared" si="108"/>
        <v>1674.3887960145789</v>
      </c>
      <c r="E363" s="3">
        <f t="shared" si="106"/>
        <v>5.0937215041398147</v>
      </c>
      <c r="F363" s="3">
        <f t="shared" si="109"/>
        <v>109.38267784592858</v>
      </c>
      <c r="J363" s="3">
        <f>17.079</f>
        <v>17.079000000000001</v>
      </c>
      <c r="K363" s="3"/>
      <c r="L363" s="3"/>
      <c r="T363" s="3">
        <f>($F$38)*($F$39)*($C$11/2)</f>
        <v>4.9172624999999996</v>
      </c>
      <c r="U363" s="3">
        <f t="shared" si="111"/>
        <v>165.22002000000001</v>
      </c>
      <c r="V363" s="3">
        <f t="shared" si="112"/>
        <v>600.45866601457874</v>
      </c>
      <c r="W363" s="3">
        <f t="shared" si="110"/>
        <v>1.8189150945232337</v>
      </c>
      <c r="X363" s="3">
        <f t="shared" si="113"/>
        <v>11.7199535535945</v>
      </c>
      <c r="AB363" s="3">
        <f>0.13</f>
        <v>0.13</v>
      </c>
      <c r="AC363" s="3">
        <v>1</v>
      </c>
      <c r="AD363" s="3" t="s">
        <v>33</v>
      </c>
    </row>
    <row r="364" spans="2:30">
      <c r="B364" s="3">
        <f>($F$38)*($F$39)*($C$25/2)</f>
        <v>39.338099999999997</v>
      </c>
      <c r="C364" s="3">
        <f t="shared" si="114"/>
        <v>1321.76016</v>
      </c>
      <c r="D364" s="3">
        <f t="shared" si="108"/>
        <v>1756.9988060145788</v>
      </c>
      <c r="E364" s="3">
        <f t="shared" si="106"/>
        <v>5.3450325409765309</v>
      </c>
      <c r="F364" s="3">
        <f t="shared" si="109"/>
        <v>120.44225149900208</v>
      </c>
      <c r="J364" s="3">
        <f>19.432</f>
        <v>19.431999999999999</v>
      </c>
      <c r="K364" s="3"/>
      <c r="L364" s="3"/>
      <c r="T364" s="3">
        <f>($F$38)*($F$39)*($C$12/2)</f>
        <v>7.3758937499999995</v>
      </c>
      <c r="U364" s="3">
        <f t="shared" si="111"/>
        <v>247.83002999999999</v>
      </c>
      <c r="V364" s="3">
        <f t="shared" si="112"/>
        <v>683.06867601457873</v>
      </c>
      <c r="W364" s="3">
        <f t="shared" si="110"/>
        <v>2.0691581214830062</v>
      </c>
      <c r="X364" s="3">
        <f t="shared" si="113"/>
        <v>15.166605710078404</v>
      </c>
      <c r="AB364" s="3">
        <f>0.293</f>
        <v>0.29299999999999998</v>
      </c>
      <c r="AC364" s="3">
        <v>1.5</v>
      </c>
      <c r="AD364" s="3" t="s">
        <v>33</v>
      </c>
    </row>
    <row r="365" spans="2:30">
      <c r="B365" s="3">
        <f>($F$38)*($F$39)*($C$26/2)</f>
        <v>41.796731249999993</v>
      </c>
      <c r="C365" s="3">
        <f t="shared" si="114"/>
        <v>1404.3701699999999</v>
      </c>
      <c r="D365" s="3">
        <f t="shared" si="108"/>
        <v>1839.6088160145787</v>
      </c>
      <c r="E365" s="3">
        <f t="shared" si="106"/>
        <v>5.5963435778132471</v>
      </c>
      <c r="F365" s="3">
        <f t="shared" si="109"/>
        <v>132.0343394559309</v>
      </c>
      <c r="J365" s="3">
        <f>21.937</f>
        <v>21.937000000000001</v>
      </c>
      <c r="K365" s="3"/>
      <c r="L365" s="3"/>
      <c r="T365" s="3">
        <f>($F$38)*($F$39)*($C$13/2)</f>
        <v>9.8345249999999993</v>
      </c>
      <c r="U365" s="3">
        <f t="shared" si="111"/>
        <v>330.44004000000001</v>
      </c>
      <c r="V365" s="3">
        <f t="shared" si="112"/>
        <v>765.67868601457872</v>
      </c>
      <c r="W365" s="3">
        <f t="shared" si="110"/>
        <v>2.319401148442779</v>
      </c>
      <c r="X365" s="3">
        <f t="shared" si="113"/>
        <v>19.056922695179871</v>
      </c>
      <c r="AB365" s="3">
        <f>0.521</f>
        <v>0.52100000000000002</v>
      </c>
      <c r="AC365" s="3">
        <v>2</v>
      </c>
      <c r="AD365" s="3" t="s">
        <v>33</v>
      </c>
    </row>
    <row r="366" spans="2:30">
      <c r="B366" s="3">
        <f>($F$38)*($F$39)*($C$27/2)</f>
        <v>44.255362499999997</v>
      </c>
      <c r="C366" s="3">
        <f t="shared" si="114"/>
        <v>1486.98018</v>
      </c>
      <c r="D366" s="3">
        <f t="shared" si="108"/>
        <v>1922.2188260145788</v>
      </c>
      <c r="E366" s="3">
        <f t="shared" si="106"/>
        <v>5.8476546146499642</v>
      </c>
      <c r="F366" s="3">
        <f t="shared" si="109"/>
        <v>144.15894171671499</v>
      </c>
      <c r="J366" s="3">
        <f>24.594</f>
        <v>24.594000000000001</v>
      </c>
      <c r="K366" s="3"/>
      <c r="L366" s="3"/>
      <c r="T366" s="3">
        <f>($F$38)*($F$39)*($C$14/2)</f>
        <v>12.293156249999999</v>
      </c>
      <c r="U366" s="3">
        <f t="shared" si="111"/>
        <v>413.05005</v>
      </c>
      <c r="V366" s="3">
        <f t="shared" si="112"/>
        <v>848.2886960145787</v>
      </c>
      <c r="W366" s="3">
        <f t="shared" si="110"/>
        <v>2.5696441754025514</v>
      </c>
      <c r="X366" s="3">
        <f t="shared" si="113"/>
        <v>23.390904508898888</v>
      </c>
      <c r="AB366" s="3">
        <f>0.815</f>
        <v>0.81499999999999995</v>
      </c>
      <c r="AC366" s="3">
        <v>2.5</v>
      </c>
      <c r="AD366" s="3" t="s">
        <v>33</v>
      </c>
    </row>
    <row r="367" spans="2:30">
      <c r="B367" s="3">
        <f>($F$38)*($F$39)*($C$28/2)</f>
        <v>46.71399375</v>
      </c>
      <c r="C367" s="3">
        <f t="shared" si="114"/>
        <v>1569.5901900000001</v>
      </c>
      <c r="D367" s="3">
        <f t="shared" si="108"/>
        <v>2004.8288360145789</v>
      </c>
      <c r="E367" s="3">
        <f t="shared" si="106"/>
        <v>6.0989656514866804</v>
      </c>
      <c r="F367" s="3">
        <f t="shared" si="109"/>
        <v>156.8160582813544</v>
      </c>
      <c r="J367" s="3">
        <f>27.402</f>
        <v>27.402000000000001</v>
      </c>
      <c r="K367" s="3"/>
      <c r="L367" s="3"/>
      <c r="T367" s="3">
        <f>($F$38)*($F$39)*($C$15/2)</f>
        <v>14.751787499999999</v>
      </c>
      <c r="U367" s="3">
        <f t="shared" si="111"/>
        <v>495.66005999999999</v>
      </c>
      <c r="V367" s="3">
        <f t="shared" si="112"/>
        <v>930.89870601457869</v>
      </c>
      <c r="W367" s="3">
        <f t="shared" si="110"/>
        <v>2.8198872023623238</v>
      </c>
      <c r="X367" s="3">
        <f t="shared" si="113"/>
        <v>28.168551151235459</v>
      </c>
      <c r="AB367" s="3">
        <f>1.173</f>
        <v>1.173</v>
      </c>
      <c r="AC367" s="3">
        <v>3</v>
      </c>
      <c r="AD367" s="3" t="s">
        <v>33</v>
      </c>
    </row>
    <row r="368" spans="2:30">
      <c r="B368" s="3">
        <f>($F$38)*($F$39)*($C$29/2)</f>
        <v>49.172624999999996</v>
      </c>
      <c r="C368" s="3">
        <f t="shared" si="114"/>
        <v>1652.2002</v>
      </c>
      <c r="D368" s="3">
        <f t="shared" si="108"/>
        <v>2087.4388460145788</v>
      </c>
      <c r="E368" s="3">
        <f t="shared" si="106"/>
        <v>6.3502766883233965</v>
      </c>
      <c r="F368" s="3">
        <f t="shared" si="109"/>
        <v>170.00568914984908</v>
      </c>
      <c r="J368" s="3">
        <f>30.363</f>
        <v>30.363</v>
      </c>
      <c r="K368" s="3"/>
      <c r="L368" s="3"/>
      <c r="T368" s="3">
        <f>($F$38)*($F$39)*($C$16/2)</f>
        <v>17.210418749999999</v>
      </c>
      <c r="U368" s="3">
        <f t="shared" si="111"/>
        <v>578.27007000000003</v>
      </c>
      <c r="V368" s="3">
        <f t="shared" si="112"/>
        <v>1013.5087160145788</v>
      </c>
      <c r="W368" s="3">
        <f t="shared" si="110"/>
        <v>3.0701302293220967</v>
      </c>
      <c r="X368" s="3">
        <f t="shared" si="113"/>
        <v>33.389862622189604</v>
      </c>
      <c r="AB368" s="3">
        <f>1.597</f>
        <v>1.597</v>
      </c>
      <c r="AC368" s="3">
        <v>3.5</v>
      </c>
      <c r="AD368" s="3" t="s">
        <v>33</v>
      </c>
    </row>
    <row r="369" spans="2:30">
      <c r="B369" s="3">
        <f>($F$38)*($F$39)*($C$30/2)</f>
        <v>51.631256249999993</v>
      </c>
      <c r="C369" s="3">
        <f t="shared" si="114"/>
        <v>1734.8102099999999</v>
      </c>
      <c r="D369" s="3">
        <f t="shared" si="108"/>
        <v>2170.0488560145786</v>
      </c>
      <c r="E369" s="3">
        <f t="shared" si="106"/>
        <v>6.6015877251601127</v>
      </c>
      <c r="F369" s="3">
        <f t="shared" si="109"/>
        <v>183.7278343221991</v>
      </c>
      <c r="J369" s="3">
        <f>33.475</f>
        <v>33.475000000000001</v>
      </c>
      <c r="K369" s="3"/>
      <c r="L369" s="3"/>
      <c r="T369" s="3">
        <f>($F$38)*($F$39)*($C$17/2)</f>
        <v>19.669049999999999</v>
      </c>
      <c r="U369" s="3">
        <f t="shared" si="111"/>
        <v>660.88008000000002</v>
      </c>
      <c r="V369" s="3">
        <f t="shared" si="112"/>
        <v>1096.1187260145787</v>
      </c>
      <c r="W369" s="3">
        <f t="shared" si="110"/>
        <v>3.3203732562818691</v>
      </c>
      <c r="X369" s="3">
        <f t="shared" si="113"/>
        <v>39.054838921761274</v>
      </c>
      <c r="AB369" s="3">
        <f>2.086</f>
        <v>2.0859999999999999</v>
      </c>
      <c r="AC369" s="3">
        <v>4</v>
      </c>
      <c r="AD369" s="3" t="s">
        <v>33</v>
      </c>
    </row>
    <row r="370" spans="2:30">
      <c r="B370" s="3">
        <f>($F$38)*($F$39)*($C$31/2)</f>
        <v>54.089887499999996</v>
      </c>
      <c r="C370" s="3">
        <f t="shared" si="114"/>
        <v>1817.42022</v>
      </c>
      <c r="D370" s="3">
        <f t="shared" si="108"/>
        <v>2252.6588660145785</v>
      </c>
      <c r="E370" s="3">
        <f t="shared" si="106"/>
        <v>6.8528987619968289</v>
      </c>
      <c r="F370" s="3">
        <f t="shared" si="109"/>
        <v>197.98249379840442</v>
      </c>
      <c r="J370" s="3">
        <f>36.739</f>
        <v>36.738999999999997</v>
      </c>
      <c r="K370" s="3"/>
      <c r="L370" s="3"/>
      <c r="T370" s="3">
        <f>($F$38)*($F$39)*($C$18/2)</f>
        <v>22.127681249999998</v>
      </c>
      <c r="U370" s="3">
        <f t="shared" si="111"/>
        <v>743.49009000000001</v>
      </c>
      <c r="V370" s="3">
        <f t="shared" si="112"/>
        <v>1178.7287360145788</v>
      </c>
      <c r="W370" s="3">
        <f t="shared" si="110"/>
        <v>3.5706162832416419</v>
      </c>
      <c r="X370" s="3">
        <f t="shared" si="113"/>
        <v>45.163480049950529</v>
      </c>
      <c r="AB370" s="3">
        <f>2.64</f>
        <v>2.64</v>
      </c>
      <c r="AC370" s="3">
        <v>4.5</v>
      </c>
      <c r="AD370" s="3" t="s">
        <v>33</v>
      </c>
    </row>
    <row r="371" spans="2:30">
      <c r="B371" s="3">
        <f>($F$38)*($F$39)*($C$32/2)</f>
        <v>56.548518749999999</v>
      </c>
      <c r="C371" s="3">
        <f t="shared" si="114"/>
        <v>1900.0302300000001</v>
      </c>
      <c r="D371" s="3">
        <f t="shared" si="108"/>
        <v>2335.2688760145788</v>
      </c>
      <c r="E371" s="3">
        <f t="shared" si="106"/>
        <v>7.104209798833546</v>
      </c>
      <c r="F371" s="3">
        <f t="shared" si="109"/>
        <v>212.76966757846509</v>
      </c>
      <c r="J371" s="3">
        <f>40.155</f>
        <v>40.155000000000001</v>
      </c>
      <c r="K371" s="3"/>
      <c r="L371" s="3"/>
      <c r="T371" s="3">
        <f>($F$38)*($F$39)*($C$19/2)</f>
        <v>24.586312499999998</v>
      </c>
      <c r="U371" s="3">
        <f t="shared" si="111"/>
        <v>826.1001</v>
      </c>
      <c r="V371" s="3">
        <f t="shared" si="112"/>
        <v>1261.3387460145786</v>
      </c>
      <c r="W371" s="3">
        <f t="shared" si="110"/>
        <v>3.8208593102014139</v>
      </c>
      <c r="X371" s="3">
        <f t="shared" si="113"/>
        <v>51.71578600675732</v>
      </c>
      <c r="AB371" s="3">
        <f>3.259</f>
        <v>3.2589999999999999</v>
      </c>
      <c r="AC371" s="3">
        <v>5</v>
      </c>
      <c r="AD371" s="3" t="s">
        <v>33</v>
      </c>
    </row>
    <row r="372" spans="2:30">
      <c r="B372" s="3">
        <f>($F$38)*($F$39)*($C$33/2)</f>
        <v>59.007149999999996</v>
      </c>
      <c r="C372" s="3">
        <f t="shared" si="114"/>
        <v>1982.6402399999999</v>
      </c>
      <c r="D372" s="3">
        <f t="shared" si="108"/>
        <v>2417.8788860145787</v>
      </c>
      <c r="E372" s="3">
        <f t="shared" si="106"/>
        <v>7.3555208356702622</v>
      </c>
      <c r="F372" s="3">
        <f t="shared" si="109"/>
        <v>228.08935566238097</v>
      </c>
      <c r="J372" s="3">
        <f>43.722</f>
        <v>43.722000000000001</v>
      </c>
      <c r="K372" s="3"/>
      <c r="L372" s="3"/>
      <c r="T372" s="3">
        <f>($F$38)*($F$39)*($C$20/2)</f>
        <v>27.044943749999998</v>
      </c>
      <c r="U372" s="3">
        <f t="shared" si="111"/>
        <v>908.71010999999999</v>
      </c>
      <c r="V372" s="3">
        <f t="shared" si="112"/>
        <v>1343.9487560145787</v>
      </c>
      <c r="W372" s="3">
        <f t="shared" si="110"/>
        <v>4.0711023371611867</v>
      </c>
      <c r="X372" s="3">
        <f t="shared" si="113"/>
        <v>58.711756792181681</v>
      </c>
      <c r="AB372" s="3">
        <f>3.943</f>
        <v>3.9430000000000001</v>
      </c>
      <c r="AC372" s="3">
        <v>5.5</v>
      </c>
      <c r="AD372" s="3" t="s">
        <v>33</v>
      </c>
    </row>
    <row r="373" spans="2:30">
      <c r="B373" s="3">
        <f>($F$38)*($F$39)*($C$34/2)</f>
        <v>0</v>
      </c>
      <c r="C373" s="3">
        <f>$C$46*B373</f>
        <v>0</v>
      </c>
      <c r="D373" s="3">
        <f t="shared" si="108"/>
        <v>435.23864601457871</v>
      </c>
      <c r="E373" s="3">
        <f t="shared" si="106"/>
        <v>1.3240559515890675</v>
      </c>
      <c r="F373" s="3">
        <f t="shared" si="109"/>
        <v>7.3907895124625549</v>
      </c>
      <c r="J373" s="29"/>
      <c r="K373" s="4"/>
      <c r="L373" s="30"/>
      <c r="T373" s="3">
        <f>($F$38)*($F$39)*($C$21/2)</f>
        <v>29.503574999999998</v>
      </c>
      <c r="U373" s="3">
        <f t="shared" si="111"/>
        <v>991.32011999999997</v>
      </c>
      <c r="V373" s="3">
        <f t="shared" si="112"/>
        <v>1426.5587660145786</v>
      </c>
      <c r="W373" s="3">
        <f t="shared" si="110"/>
        <v>4.3213453641209592</v>
      </c>
      <c r="X373" s="3">
        <f t="shared" si="113"/>
        <v>66.151392406223579</v>
      </c>
      <c r="AB373" s="3">
        <f>4.693</f>
        <v>4.6929999999999996</v>
      </c>
      <c r="AC373" s="3">
        <v>6</v>
      </c>
      <c r="AD373" s="3" t="s">
        <v>33</v>
      </c>
    </row>
    <row r="374" spans="2:30">
      <c r="B374" s="29"/>
      <c r="C374" s="4"/>
      <c r="D374" s="4"/>
      <c r="E374" s="4"/>
      <c r="F374" s="30"/>
      <c r="J374" s="29"/>
      <c r="K374" s="4"/>
      <c r="L374" s="30"/>
      <c r="T374" s="3">
        <f>($F$38)*($F$39)*($C$22/2)</f>
        <v>31.962206249999998</v>
      </c>
      <c r="U374" s="3">
        <f t="shared" si="111"/>
        <v>1073.93013</v>
      </c>
      <c r="V374" s="3">
        <f t="shared" si="112"/>
        <v>1509.1687760145787</v>
      </c>
      <c r="W374" s="3">
        <f t="shared" si="110"/>
        <v>4.5715883910807316</v>
      </c>
      <c r="X374" s="3">
        <f t="shared" si="113"/>
        <v>74.034692848883068</v>
      </c>
      <c r="AB374" s="3">
        <f>5.508</f>
        <v>5.508</v>
      </c>
      <c r="AC374" s="3">
        <v>6.5</v>
      </c>
      <c r="AD374" s="3" t="s">
        <v>33</v>
      </c>
    </row>
    <row r="375" spans="2:30">
      <c r="B375" s="29" t="s">
        <v>138</v>
      </c>
      <c r="C375" s="4"/>
      <c r="D375" s="4"/>
      <c r="E375" s="4"/>
      <c r="F375" s="30"/>
      <c r="J375" s="29" t="s">
        <v>139</v>
      </c>
      <c r="K375" s="4"/>
      <c r="L375" s="30"/>
      <c r="T375" s="3">
        <f>($F$38)*($F$39)*($C$23/2)</f>
        <v>34.420837499999998</v>
      </c>
      <c r="U375" s="3">
        <f>$C$46*T375</f>
        <v>1156.5401400000001</v>
      </c>
      <c r="V375" s="3">
        <f t="shared" si="112"/>
        <v>1591.7787860145788</v>
      </c>
      <c r="W375" s="3">
        <f t="shared" si="110"/>
        <v>4.8218314180405049</v>
      </c>
      <c r="X375" s="3">
        <f t="shared" si="113"/>
        <v>82.361658120160101</v>
      </c>
      <c r="AB375" s="3">
        <f>6.388</f>
        <v>6.3879999999999999</v>
      </c>
      <c r="AC375" s="3">
        <v>7</v>
      </c>
      <c r="AD375" s="3" t="s">
        <v>33</v>
      </c>
    </row>
    <row r="376" spans="2:30">
      <c r="B376" s="45" t="s">
        <v>75</v>
      </c>
      <c r="C376" s="45" t="s">
        <v>76</v>
      </c>
      <c r="D376" s="45" t="s">
        <v>77</v>
      </c>
      <c r="E376" s="45" t="s">
        <v>78</v>
      </c>
      <c r="F376" s="45" t="s">
        <v>32</v>
      </c>
      <c r="J376" s="45" t="s">
        <v>32</v>
      </c>
      <c r="K376" s="3"/>
      <c r="L376" s="3"/>
      <c r="T376" s="3">
        <f>($F$38)*($F$39)*($C$24/2)</f>
        <v>36.879468750000001</v>
      </c>
      <c r="U376" s="3">
        <f t="shared" ref="U376:U385" si="115">$C$46*T376</f>
        <v>1239.1501500000002</v>
      </c>
      <c r="V376" s="3">
        <f t="shared" si="112"/>
        <v>1674.3887960145789</v>
      </c>
      <c r="W376" s="3">
        <f t="shared" si="110"/>
        <v>5.0720744450002773</v>
      </c>
      <c r="X376" s="3">
        <f t="shared" si="113"/>
        <v>91.132288220054704</v>
      </c>
      <c r="AB376" s="3">
        <f>7.333</f>
        <v>7.3330000000000002</v>
      </c>
      <c r="AC376" s="3">
        <v>7.5</v>
      </c>
      <c r="AD376" s="3" t="s">
        <v>33</v>
      </c>
    </row>
    <row r="377" spans="2:30">
      <c r="B377" s="3">
        <f>($F$38)*($F$39)*($C$9/2)</f>
        <v>0</v>
      </c>
      <c r="C377" s="3">
        <f>$C$46*B377</f>
        <v>0</v>
      </c>
      <c r="D377" s="3">
        <f>C377+($C$50*$C$52)</f>
        <v>435.23864601457871</v>
      </c>
      <c r="E377" s="3">
        <f t="shared" ref="E377:E402" si="116">(D377)/($C$48+((($F$40)*($C$52))*$F$20)-(($C$49+$C$50)*$F$20^2))</f>
        <v>1.3184290406036887</v>
      </c>
      <c r="F377" s="3">
        <f>($F$20*E377)*($F$20*E377*$C$52)/2</f>
        <v>6.1576437264793604</v>
      </c>
      <c r="J377" s="3">
        <v>0</v>
      </c>
      <c r="K377" s="3"/>
      <c r="L377" s="3"/>
      <c r="T377" s="3">
        <f>($F$38)*($F$39)*($C$25/2)</f>
        <v>39.338099999999997</v>
      </c>
      <c r="U377" s="3">
        <f t="shared" si="115"/>
        <v>1321.76016</v>
      </c>
      <c r="V377" s="3">
        <f t="shared" si="112"/>
        <v>1756.9988060145788</v>
      </c>
      <c r="W377" s="3">
        <f t="shared" si="110"/>
        <v>5.3223174719600497</v>
      </c>
      <c r="X377" s="3">
        <f t="shared" si="113"/>
        <v>100.34658314856682</v>
      </c>
      <c r="AB377" s="3">
        <f>8.343</f>
        <v>8.343</v>
      </c>
      <c r="AC377" s="3">
        <v>8</v>
      </c>
      <c r="AD377" s="3" t="s">
        <v>33</v>
      </c>
    </row>
    <row r="378" spans="2:30">
      <c r="B378" s="3">
        <f>($F$38)*($F$39)*($C$10/2)</f>
        <v>2.4586312499999998</v>
      </c>
      <c r="C378" s="3">
        <f t="shared" ref="C378:C390" si="117">$C$46*B378</f>
        <v>82.610010000000003</v>
      </c>
      <c r="D378" s="3">
        <f t="shared" ref="D378:D402" si="118">C378+($C$50*$C$52)</f>
        <v>517.84865601457875</v>
      </c>
      <c r="E378" s="3">
        <f t="shared" si="116"/>
        <v>1.5686720675634613</v>
      </c>
      <c r="F378" s="3">
        <f t="shared" ref="F378:F402" si="119">($F$20*E378)*($F$20*E378*$C$52)/2</f>
        <v>8.7169662257281537</v>
      </c>
      <c r="J378" s="3">
        <f>0.033</f>
        <v>3.3000000000000002E-2</v>
      </c>
      <c r="K378" s="3"/>
      <c r="L378" s="3"/>
      <c r="T378" s="3">
        <f>($F$38)*($F$39)*($C$26/2)</f>
        <v>41.796731249999993</v>
      </c>
      <c r="U378" s="3">
        <f t="shared" si="115"/>
        <v>1404.3701699999999</v>
      </c>
      <c r="V378" s="3">
        <f t="shared" si="112"/>
        <v>1839.6088160145787</v>
      </c>
      <c r="W378" s="3">
        <f t="shared" si="110"/>
        <v>5.5725604989198221</v>
      </c>
      <c r="X378" s="3">
        <f t="shared" si="113"/>
        <v>110.00454290569654</v>
      </c>
      <c r="AB378" s="3">
        <f>9.418</f>
        <v>9.4179999999999993</v>
      </c>
      <c r="AC378" s="3">
        <v>8.5</v>
      </c>
      <c r="AD378" s="3" t="s">
        <v>33</v>
      </c>
    </row>
    <row r="379" spans="2:30">
      <c r="B379" s="3">
        <f>($F$38)*($F$39)*($C$11/2)</f>
        <v>4.9172624999999996</v>
      </c>
      <c r="C379" s="3">
        <f t="shared" si="117"/>
        <v>165.22002000000001</v>
      </c>
      <c r="D379" s="3">
        <f t="shared" si="118"/>
        <v>600.45866601457874</v>
      </c>
      <c r="E379" s="3">
        <f t="shared" si="116"/>
        <v>1.8189150945232337</v>
      </c>
      <c r="F379" s="3">
        <f t="shared" si="119"/>
        <v>11.7199535535945</v>
      </c>
      <c r="J379" s="3">
        <f>0.13</f>
        <v>0.13</v>
      </c>
      <c r="K379" s="3"/>
      <c r="L379" s="3"/>
      <c r="T379" s="3">
        <f>($F$38)*($F$39)*($C$27/2)</f>
        <v>44.255362499999997</v>
      </c>
      <c r="U379" s="3">
        <f t="shared" si="115"/>
        <v>1486.98018</v>
      </c>
      <c r="V379" s="3">
        <f t="shared" si="112"/>
        <v>1922.2188260145788</v>
      </c>
      <c r="W379" s="3">
        <f t="shared" si="110"/>
        <v>5.8228035258795945</v>
      </c>
      <c r="X379" s="3">
        <f t="shared" si="113"/>
        <v>120.10616749144377</v>
      </c>
      <c r="AB379" s="3">
        <f>10.559</f>
        <v>10.558999999999999</v>
      </c>
      <c r="AC379" s="3">
        <v>9</v>
      </c>
      <c r="AD379" s="3" t="s">
        <v>33</v>
      </c>
    </row>
    <row r="380" spans="2:30">
      <c r="B380" s="3">
        <f>($F$38)*($F$39)*($C$12/2)</f>
        <v>7.3758937499999995</v>
      </c>
      <c r="C380" s="3">
        <f t="shared" si="117"/>
        <v>247.83002999999999</v>
      </c>
      <c r="D380" s="3">
        <f t="shared" si="118"/>
        <v>683.06867601457873</v>
      </c>
      <c r="E380" s="3">
        <f t="shared" si="116"/>
        <v>2.0691581214830062</v>
      </c>
      <c r="F380" s="3">
        <f t="shared" si="119"/>
        <v>15.166605710078404</v>
      </c>
      <c r="J380" s="3">
        <f>0.293</f>
        <v>0.29299999999999998</v>
      </c>
      <c r="K380" s="3"/>
      <c r="L380" s="3"/>
      <c r="T380" s="3">
        <f>($F$38)*($F$39)*($C$28/2)</f>
        <v>46.71399375</v>
      </c>
      <c r="U380" s="3">
        <f t="shared" si="115"/>
        <v>1569.5901900000001</v>
      </c>
      <c r="V380" s="3">
        <f t="shared" si="112"/>
        <v>2004.8288360145789</v>
      </c>
      <c r="W380" s="3">
        <f t="shared" si="110"/>
        <v>6.0730465528393678</v>
      </c>
      <c r="X380" s="3">
        <f t="shared" si="113"/>
        <v>130.6514569058086</v>
      </c>
      <c r="AB380" s="3">
        <f>11.765</f>
        <v>11.765000000000001</v>
      </c>
      <c r="AC380" s="3">
        <v>9.5</v>
      </c>
      <c r="AD380" s="3" t="s">
        <v>33</v>
      </c>
    </row>
    <row r="381" spans="2:30">
      <c r="B381" s="3">
        <f>($F$38)*($F$39)*($C$13/2)</f>
        <v>9.8345249999999993</v>
      </c>
      <c r="C381" s="3">
        <f t="shared" si="117"/>
        <v>330.44004000000001</v>
      </c>
      <c r="D381" s="3">
        <f t="shared" si="118"/>
        <v>765.67868601457872</v>
      </c>
      <c r="E381" s="3">
        <f t="shared" si="116"/>
        <v>2.319401148442779</v>
      </c>
      <c r="F381" s="3">
        <f t="shared" si="119"/>
        <v>19.056922695179871</v>
      </c>
      <c r="J381" s="3">
        <f>0.521</f>
        <v>0.52100000000000002</v>
      </c>
      <c r="K381" s="3"/>
      <c r="L381" s="3"/>
      <c r="T381" s="3">
        <f>($F$38)*($F$39)*($C$29/2)</f>
        <v>49.172624999999996</v>
      </c>
      <c r="U381" s="3">
        <f t="shared" si="115"/>
        <v>1652.2002</v>
      </c>
      <c r="V381" s="3">
        <f t="shared" si="112"/>
        <v>2087.4388460145788</v>
      </c>
      <c r="W381" s="3">
        <f t="shared" si="110"/>
        <v>6.3232895797991402</v>
      </c>
      <c r="X381" s="3">
        <f t="shared" si="113"/>
        <v>141.64041114879097</v>
      </c>
      <c r="AB381" s="3">
        <f>13.036</f>
        <v>13.036</v>
      </c>
      <c r="AC381" s="3">
        <v>10</v>
      </c>
      <c r="AD381" s="3" t="s">
        <v>33</v>
      </c>
    </row>
    <row r="382" spans="2:30">
      <c r="B382" s="3">
        <f>($F$38)*($F$39)*($C$14/2)</f>
        <v>12.293156249999999</v>
      </c>
      <c r="C382" s="3">
        <f t="shared" si="117"/>
        <v>413.05005</v>
      </c>
      <c r="D382" s="3">
        <f t="shared" si="118"/>
        <v>848.2886960145787</v>
      </c>
      <c r="E382" s="3">
        <f t="shared" si="116"/>
        <v>2.5696441754025514</v>
      </c>
      <c r="F382" s="3">
        <f t="shared" si="119"/>
        <v>23.390904508898888</v>
      </c>
      <c r="J382" s="3">
        <f>0.815</f>
        <v>0.81499999999999995</v>
      </c>
      <c r="K382" s="3"/>
      <c r="L382" s="3"/>
      <c r="T382" s="3">
        <f>($F$38)*($F$39)*($C$30/2)</f>
        <v>51.631256249999993</v>
      </c>
      <c r="U382" s="3">
        <f t="shared" si="115"/>
        <v>1734.8102099999999</v>
      </c>
      <c r="V382" s="3">
        <f t="shared" si="112"/>
        <v>2170.0488560145786</v>
      </c>
      <c r="W382" s="3">
        <f t="shared" si="110"/>
        <v>6.5735326067589117</v>
      </c>
      <c r="X382" s="3">
        <f t="shared" si="113"/>
        <v>153.07303022039085</v>
      </c>
      <c r="AB382" s="3">
        <f>14.372</f>
        <v>14.372</v>
      </c>
      <c r="AC382" s="3">
        <v>10.5</v>
      </c>
      <c r="AD382" s="3" t="s">
        <v>33</v>
      </c>
    </row>
    <row r="383" spans="2:30">
      <c r="B383" s="3">
        <f>($F$38)*($F$39)*($C$15/2)</f>
        <v>14.751787499999999</v>
      </c>
      <c r="C383" s="3">
        <f t="shared" si="117"/>
        <v>495.66005999999999</v>
      </c>
      <c r="D383" s="3">
        <f t="shared" si="118"/>
        <v>930.89870601457869</v>
      </c>
      <c r="E383" s="3">
        <f t="shared" si="116"/>
        <v>2.8198872023623238</v>
      </c>
      <c r="F383" s="3">
        <f t="shared" si="119"/>
        <v>28.168551151235459</v>
      </c>
      <c r="J383" s="3">
        <f>1.173</f>
        <v>1.173</v>
      </c>
      <c r="K383" s="3"/>
      <c r="L383" s="3"/>
      <c r="T383" s="3">
        <f>($F$38)*($F$39)*($C$31/2)</f>
        <v>54.089887499999996</v>
      </c>
      <c r="U383" s="3">
        <f t="shared" si="115"/>
        <v>1817.42022</v>
      </c>
      <c r="V383" s="3">
        <f t="shared" si="112"/>
        <v>2252.6588660145785</v>
      </c>
      <c r="W383" s="3">
        <f t="shared" si="110"/>
        <v>6.8237756337186841</v>
      </c>
      <c r="X383" s="3">
        <f t="shared" si="113"/>
        <v>164.94931412060834</v>
      </c>
      <c r="AB383" s="3">
        <f>15.773</f>
        <v>15.773</v>
      </c>
      <c r="AC383" s="3">
        <v>11</v>
      </c>
      <c r="AD383" s="3" t="s">
        <v>33</v>
      </c>
    </row>
    <row r="384" spans="2:30">
      <c r="B384" s="3">
        <f>($F$38)*($F$39)*($C$16/2)</f>
        <v>17.210418749999999</v>
      </c>
      <c r="C384" s="3">
        <f t="shared" si="117"/>
        <v>578.27007000000003</v>
      </c>
      <c r="D384" s="3">
        <f t="shared" si="118"/>
        <v>1013.5087160145788</v>
      </c>
      <c r="E384" s="3">
        <f t="shared" si="116"/>
        <v>3.0701302293220967</v>
      </c>
      <c r="F384" s="3">
        <f t="shared" si="119"/>
        <v>33.389862622189604</v>
      </c>
      <c r="J384" s="3">
        <f>1.597</f>
        <v>1.597</v>
      </c>
      <c r="K384" s="3"/>
      <c r="L384" s="3"/>
      <c r="T384" s="3">
        <f>($F$38)*($F$39)*($C$32/2)</f>
        <v>56.548518749999999</v>
      </c>
      <c r="U384" s="3">
        <f t="shared" si="115"/>
        <v>1900.0302300000001</v>
      </c>
      <c r="V384" s="3">
        <f t="shared" si="112"/>
        <v>2335.2688760145788</v>
      </c>
      <c r="W384" s="3">
        <f t="shared" si="110"/>
        <v>7.0740186606784574</v>
      </c>
      <c r="X384" s="3">
        <f t="shared" si="113"/>
        <v>177.26926284944338</v>
      </c>
      <c r="AB384" s="3">
        <f>17.24</f>
        <v>17.239999999999998</v>
      </c>
      <c r="AC384" s="3">
        <v>11.5</v>
      </c>
      <c r="AD384" s="3" t="s">
        <v>33</v>
      </c>
    </row>
    <row r="385" spans="2:30">
      <c r="B385" s="3">
        <f>($F$38)*($F$39)*($C$17/2)</f>
        <v>19.669049999999999</v>
      </c>
      <c r="C385" s="3">
        <f t="shared" si="117"/>
        <v>660.88008000000002</v>
      </c>
      <c r="D385" s="3">
        <f t="shared" si="118"/>
        <v>1096.1187260145787</v>
      </c>
      <c r="E385" s="3">
        <f t="shared" si="116"/>
        <v>3.3203732562818691</v>
      </c>
      <c r="F385" s="3">
        <f t="shared" si="119"/>
        <v>39.054838921761274</v>
      </c>
      <c r="J385" s="3">
        <f>2.086</f>
        <v>2.0859999999999999</v>
      </c>
      <c r="K385" s="3"/>
      <c r="L385" s="3"/>
      <c r="T385" s="3">
        <f>($F$38)*($F$39)*($C$33/2)</f>
        <v>59.007149999999996</v>
      </c>
      <c r="U385" s="3">
        <f t="shared" si="115"/>
        <v>1982.6402399999999</v>
      </c>
      <c r="V385" s="3">
        <f t="shared" si="112"/>
        <v>2417.8788860145787</v>
      </c>
      <c r="W385" s="3">
        <f t="shared" si="110"/>
        <v>7.3242616876382298</v>
      </c>
      <c r="X385" s="3">
        <f t="shared" si="113"/>
        <v>190.03287640689601</v>
      </c>
      <c r="AB385" s="3">
        <f>18.772</f>
        <v>18.771999999999998</v>
      </c>
      <c r="AC385" s="3">
        <v>12</v>
      </c>
      <c r="AD385" s="3" t="s">
        <v>33</v>
      </c>
    </row>
    <row r="386" spans="2:30">
      <c r="B386" s="3">
        <f>($F$38)*($F$39)*($C$18/2)</f>
        <v>22.127681249999998</v>
      </c>
      <c r="C386" s="3">
        <f t="shared" si="117"/>
        <v>743.49009000000001</v>
      </c>
      <c r="D386" s="3">
        <f t="shared" si="118"/>
        <v>1178.7287360145788</v>
      </c>
      <c r="E386" s="3">
        <f t="shared" si="116"/>
        <v>3.5706162832416419</v>
      </c>
      <c r="F386" s="3">
        <f t="shared" si="119"/>
        <v>45.163480049950529</v>
      </c>
      <c r="J386" s="3">
        <f>2.64</f>
        <v>2.64</v>
      </c>
      <c r="K386" s="3"/>
      <c r="L386" s="3"/>
      <c r="T386" s="3"/>
      <c r="U386" s="3"/>
      <c r="V386" s="3"/>
      <c r="W386" s="3"/>
      <c r="X386" s="3"/>
      <c r="AB386" s="29"/>
      <c r="AC386" s="4"/>
      <c r="AD386" s="30"/>
    </row>
    <row r="387" spans="2:30">
      <c r="B387" s="3">
        <f>($F$38)*($F$39)*($C$19/2)</f>
        <v>24.586312499999998</v>
      </c>
      <c r="C387" s="3">
        <f t="shared" si="117"/>
        <v>826.1001</v>
      </c>
      <c r="D387" s="3">
        <f t="shared" si="118"/>
        <v>1261.3387460145786</v>
      </c>
      <c r="E387" s="3">
        <f t="shared" si="116"/>
        <v>3.8208593102014139</v>
      </c>
      <c r="F387" s="3">
        <f t="shared" si="119"/>
        <v>51.71578600675732</v>
      </c>
      <c r="J387" s="3">
        <f>3.259</f>
        <v>3.2589999999999999</v>
      </c>
      <c r="K387" s="3"/>
      <c r="L387" s="3"/>
      <c r="T387" s="29"/>
      <c r="U387" s="4"/>
      <c r="V387" s="4"/>
      <c r="W387" s="4"/>
      <c r="X387" s="30"/>
      <c r="AB387" s="29"/>
      <c r="AC387" s="4"/>
      <c r="AD387" s="30"/>
    </row>
    <row r="388" spans="2:30">
      <c r="B388" s="3">
        <f>($F$38)*($F$39)*($C$20/2)</f>
        <v>27.044943749999998</v>
      </c>
      <c r="C388" s="3">
        <f t="shared" si="117"/>
        <v>908.71010999999999</v>
      </c>
      <c r="D388" s="3">
        <f t="shared" si="118"/>
        <v>1343.9487560145787</v>
      </c>
      <c r="E388" s="3">
        <f t="shared" si="116"/>
        <v>4.0711023371611867</v>
      </c>
      <c r="F388" s="3">
        <f t="shared" si="119"/>
        <v>58.711756792181681</v>
      </c>
      <c r="J388" s="3">
        <f>3.943</f>
        <v>3.9430000000000001</v>
      </c>
      <c r="K388" s="3">
        <v>5.5</v>
      </c>
      <c r="L388" s="3" t="s">
        <v>33</v>
      </c>
      <c r="T388" s="29" t="s">
        <v>140</v>
      </c>
      <c r="U388" s="4"/>
      <c r="V388" s="4"/>
      <c r="W388" s="4"/>
      <c r="X388" s="30"/>
      <c r="AB388" s="29" t="s">
        <v>141</v>
      </c>
      <c r="AC388" s="4"/>
      <c r="AD388" s="30"/>
    </row>
    <row r="389" spans="2:30">
      <c r="B389" s="3">
        <f>($F$38)*($F$39)*($C$21/2)</f>
        <v>29.503574999999998</v>
      </c>
      <c r="C389" s="3">
        <f t="shared" si="117"/>
        <v>991.32011999999997</v>
      </c>
      <c r="D389" s="3">
        <f t="shared" si="118"/>
        <v>1426.5587660145786</v>
      </c>
      <c r="E389" s="3">
        <f t="shared" si="116"/>
        <v>4.3213453641209592</v>
      </c>
      <c r="F389" s="3">
        <f t="shared" si="119"/>
        <v>66.151392406223579</v>
      </c>
      <c r="J389" s="3">
        <f>4.693</f>
        <v>4.6929999999999996</v>
      </c>
      <c r="K389" s="3"/>
      <c r="L389" s="3"/>
      <c r="T389" s="45" t="s">
        <v>75</v>
      </c>
      <c r="U389" s="45" t="s">
        <v>76</v>
      </c>
      <c r="V389" s="45" t="s">
        <v>77</v>
      </c>
      <c r="W389" s="45" t="s">
        <v>78</v>
      </c>
      <c r="X389" s="45" t="s">
        <v>32</v>
      </c>
      <c r="AB389" s="45" t="s">
        <v>32</v>
      </c>
      <c r="AC389" s="3"/>
      <c r="AD389" s="3"/>
    </row>
    <row r="390" spans="2:30">
      <c r="B390" s="3">
        <f>($F$38)*($F$39)*($C$22/2)</f>
        <v>31.962206249999998</v>
      </c>
      <c r="C390" s="3">
        <f t="shared" si="117"/>
        <v>1073.93013</v>
      </c>
      <c r="D390" s="3">
        <f t="shared" si="118"/>
        <v>1509.1687760145787</v>
      </c>
      <c r="E390" s="3">
        <f t="shared" si="116"/>
        <v>4.5715883910807316</v>
      </c>
      <c r="F390" s="3">
        <f t="shared" si="119"/>
        <v>74.034692848883068</v>
      </c>
      <c r="J390" s="3">
        <f>5.508</f>
        <v>5.508</v>
      </c>
      <c r="K390" s="3"/>
      <c r="L390" s="3"/>
      <c r="T390" s="3">
        <f>($F$38)*($F$39)*($C$9/2)</f>
        <v>0</v>
      </c>
      <c r="U390" s="3">
        <f>$C$46*T390</f>
        <v>0</v>
      </c>
      <c r="V390" s="3">
        <f>U390+($C$50*$C$52)</f>
        <v>435.23864601457871</v>
      </c>
      <c r="W390" s="3">
        <f t="shared" ref="W390:W414" si="120">(V390)/($C$48+((($F$40)*($C$52))*$F$21)-(($C$49+$C$50)*$F$21^2))</f>
        <v>1.3144145203877009</v>
      </c>
      <c r="X390" s="3">
        <f>($F$21*W390)*($F$21*W390*$C$52)/2</f>
        <v>5.2148463899525295</v>
      </c>
      <c r="AB390" s="3">
        <v>0</v>
      </c>
      <c r="AC390" s="3">
        <v>0</v>
      </c>
      <c r="AD390" s="3" t="s">
        <v>33</v>
      </c>
    </row>
    <row r="391" spans="2:30">
      <c r="B391" s="3">
        <f>($F$38)*($F$39)*($C$23/2)</f>
        <v>34.420837499999998</v>
      </c>
      <c r="C391" s="3">
        <f>$C$46*B391</f>
        <v>1156.5401400000001</v>
      </c>
      <c r="D391" s="3">
        <f t="shared" si="118"/>
        <v>1591.7787860145788</v>
      </c>
      <c r="E391" s="3">
        <f t="shared" si="116"/>
        <v>4.8218314180405049</v>
      </c>
      <c r="F391" s="3">
        <f t="shared" si="119"/>
        <v>82.361658120160101</v>
      </c>
      <c r="J391" s="3">
        <f>6.388</f>
        <v>6.3879999999999999</v>
      </c>
      <c r="K391" s="3"/>
      <c r="L391" s="3"/>
      <c r="T391" s="3">
        <f>($F$38)*($F$39)*($C$10/2)</f>
        <v>2.4586312499999998</v>
      </c>
      <c r="U391" s="3">
        <f t="shared" ref="U391:U403" si="121">$C$46*T391</f>
        <v>82.610010000000003</v>
      </c>
      <c r="V391" s="3">
        <f t="shared" ref="V391:V414" si="122">U391+($C$50*$C$52)</f>
        <v>517.84865601457875</v>
      </c>
      <c r="W391" s="3">
        <f t="shared" si="120"/>
        <v>1.563895575591921</v>
      </c>
      <c r="X391" s="3">
        <f t="shared" ref="X391:X414" si="123">($F$21*W391)*($F$21*W391*$C$52)/2</f>
        <v>7.3823108112113918</v>
      </c>
      <c r="AB391" s="3">
        <f>0.015</f>
        <v>1.4999999999999999E-2</v>
      </c>
      <c r="AC391" s="3">
        <v>0.5</v>
      </c>
      <c r="AD391" s="3" t="s">
        <v>33</v>
      </c>
    </row>
    <row r="392" spans="2:30">
      <c r="B392" s="3">
        <f>($F$38)*($F$39)*($C$24/2)</f>
        <v>36.879468750000001</v>
      </c>
      <c r="C392" s="3">
        <f t="shared" ref="C392:C401" si="124">$C$46*B392</f>
        <v>1239.1501500000002</v>
      </c>
      <c r="D392" s="3">
        <f t="shared" si="118"/>
        <v>1674.3887960145789</v>
      </c>
      <c r="E392" s="3">
        <f t="shared" si="116"/>
        <v>5.0720744450002773</v>
      </c>
      <c r="F392" s="3">
        <f t="shared" si="119"/>
        <v>91.132288220054704</v>
      </c>
      <c r="J392" s="3">
        <f>7.333</f>
        <v>7.3330000000000002</v>
      </c>
      <c r="K392" s="3"/>
      <c r="L392" s="3"/>
      <c r="T392" s="3">
        <f>($F$38)*($F$39)*($C$11/2)</f>
        <v>4.9172624999999996</v>
      </c>
      <c r="U392" s="3">
        <f t="shared" si="121"/>
        <v>165.22002000000001</v>
      </c>
      <c r="V392" s="3">
        <f t="shared" si="122"/>
        <v>600.45866601457874</v>
      </c>
      <c r="W392" s="3">
        <f t="shared" si="120"/>
        <v>1.8133766307961414</v>
      </c>
      <c r="X392" s="3">
        <f t="shared" si="123"/>
        <v>9.9255105027516368</v>
      </c>
      <c r="AB392" s="3">
        <f>0.059</f>
        <v>5.8999999999999997E-2</v>
      </c>
      <c r="AC392" s="3">
        <v>1</v>
      </c>
      <c r="AD392" s="3" t="s">
        <v>33</v>
      </c>
    </row>
    <row r="393" spans="2:30">
      <c r="B393" s="3">
        <f>($F$38)*($F$39)*($C$25/2)</f>
        <v>39.338099999999997</v>
      </c>
      <c r="C393" s="3">
        <f t="shared" si="124"/>
        <v>1321.76016</v>
      </c>
      <c r="D393" s="3">
        <f t="shared" si="118"/>
        <v>1756.9988060145788</v>
      </c>
      <c r="E393" s="3">
        <f t="shared" si="116"/>
        <v>5.3223174719600497</v>
      </c>
      <c r="F393" s="3">
        <f t="shared" si="119"/>
        <v>100.34658314856682</v>
      </c>
      <c r="J393" s="3">
        <f>8.343</f>
        <v>8.343</v>
      </c>
      <c r="K393" s="3"/>
      <c r="L393" s="3"/>
      <c r="T393" s="3">
        <f>($F$38)*($F$39)*($C$12/2)</f>
        <v>7.3758937499999995</v>
      </c>
      <c r="U393" s="3">
        <f t="shared" si="121"/>
        <v>247.83002999999999</v>
      </c>
      <c r="V393" s="3">
        <f t="shared" si="122"/>
        <v>683.06867601457873</v>
      </c>
      <c r="W393" s="3">
        <f t="shared" si="120"/>
        <v>2.0628576860003616</v>
      </c>
      <c r="X393" s="3">
        <f t="shared" si="123"/>
        <v>12.84444546457326</v>
      </c>
      <c r="AB393" s="3">
        <f>0.134</f>
        <v>0.13400000000000001</v>
      </c>
      <c r="AC393" s="3">
        <v>1.5</v>
      </c>
      <c r="AD393" s="3" t="s">
        <v>33</v>
      </c>
    </row>
    <row r="394" spans="2:30">
      <c r="B394" s="3">
        <f>($F$38)*($F$39)*($C$26/2)</f>
        <v>41.796731249999993</v>
      </c>
      <c r="C394" s="3">
        <f t="shared" si="124"/>
        <v>1404.3701699999999</v>
      </c>
      <c r="D394" s="3">
        <f t="shared" si="118"/>
        <v>1839.6088160145787</v>
      </c>
      <c r="E394" s="3">
        <f t="shared" si="116"/>
        <v>5.5725604989198221</v>
      </c>
      <c r="F394" s="3">
        <f t="shared" si="119"/>
        <v>110.00454290569654</v>
      </c>
      <c r="J394" s="3">
        <f>9.418</f>
        <v>9.4179999999999993</v>
      </c>
      <c r="K394" s="3"/>
      <c r="L394" s="3"/>
      <c r="T394" s="3">
        <f>($F$38)*($F$39)*($C$13/2)</f>
        <v>9.8345249999999993</v>
      </c>
      <c r="U394" s="3">
        <f t="shared" si="121"/>
        <v>330.44004000000001</v>
      </c>
      <c r="V394" s="3">
        <f t="shared" si="122"/>
        <v>765.67868601457872</v>
      </c>
      <c r="W394" s="3">
        <f t="shared" si="120"/>
        <v>2.3123387412045817</v>
      </c>
      <c r="X394" s="3">
        <f t="shared" si="123"/>
        <v>16.139115696676267</v>
      </c>
      <c r="AB394" s="3">
        <f>0.238</f>
        <v>0.23799999999999999</v>
      </c>
      <c r="AC394" s="3">
        <v>2</v>
      </c>
      <c r="AD394" s="3" t="s">
        <v>33</v>
      </c>
    </row>
    <row r="395" spans="2:30">
      <c r="B395" s="3">
        <f>($F$38)*($F$39)*($C$27/2)</f>
        <v>44.255362499999997</v>
      </c>
      <c r="C395" s="3">
        <f t="shared" si="124"/>
        <v>1486.98018</v>
      </c>
      <c r="D395" s="3">
        <f t="shared" si="118"/>
        <v>1922.2188260145788</v>
      </c>
      <c r="E395" s="3">
        <f t="shared" si="116"/>
        <v>5.8228035258795945</v>
      </c>
      <c r="F395" s="3">
        <f t="shared" si="119"/>
        <v>120.10616749144377</v>
      </c>
      <c r="J395" s="3">
        <f>10.559</f>
        <v>10.558999999999999</v>
      </c>
      <c r="K395" s="3"/>
      <c r="L395" s="3"/>
      <c r="T395" s="3">
        <f>($F$38)*($F$39)*($C$14/2)</f>
        <v>12.293156249999999</v>
      </c>
      <c r="U395" s="3">
        <f t="shared" si="121"/>
        <v>413.05005</v>
      </c>
      <c r="V395" s="3">
        <f t="shared" si="122"/>
        <v>848.2886960145787</v>
      </c>
      <c r="W395" s="3">
        <f t="shared" si="120"/>
        <v>2.5618197964088019</v>
      </c>
      <c r="X395" s="3">
        <f t="shared" si="123"/>
        <v>19.809521199060647</v>
      </c>
      <c r="AB395" s="3">
        <f>0.372</f>
        <v>0.372</v>
      </c>
      <c r="AC395" s="3">
        <v>2.5</v>
      </c>
      <c r="AD395" s="3" t="s">
        <v>33</v>
      </c>
    </row>
    <row r="396" spans="2:30">
      <c r="B396" s="3">
        <f>($F$38)*($F$39)*($C$28/2)</f>
        <v>46.71399375</v>
      </c>
      <c r="C396" s="3">
        <f t="shared" si="124"/>
        <v>1569.5901900000001</v>
      </c>
      <c r="D396" s="3">
        <f t="shared" si="118"/>
        <v>2004.8288360145789</v>
      </c>
      <c r="E396" s="3">
        <f t="shared" si="116"/>
        <v>6.0730465528393678</v>
      </c>
      <c r="F396" s="3">
        <f t="shared" si="119"/>
        <v>130.6514569058086</v>
      </c>
      <c r="J396" s="3">
        <f>11.765</f>
        <v>11.765000000000001</v>
      </c>
      <c r="K396" s="3"/>
      <c r="L396" s="3"/>
      <c r="T396" s="3">
        <f>($F$38)*($F$39)*($C$15/2)</f>
        <v>14.751787499999999</v>
      </c>
      <c r="U396" s="3">
        <f t="shared" si="121"/>
        <v>495.66005999999999</v>
      </c>
      <c r="V396" s="3">
        <f t="shared" si="122"/>
        <v>930.89870601457869</v>
      </c>
      <c r="W396" s="3">
        <f t="shared" si="120"/>
        <v>2.811300851613022</v>
      </c>
      <c r="X396" s="3">
        <f t="shared" si="123"/>
        <v>23.855661971726413</v>
      </c>
      <c r="AB396" s="3">
        <f>0.535</f>
        <v>0.53500000000000003</v>
      </c>
      <c r="AC396" s="3">
        <v>3</v>
      </c>
      <c r="AD396" s="3" t="s">
        <v>33</v>
      </c>
    </row>
    <row r="397" spans="2:30">
      <c r="B397" s="3">
        <f>($F$38)*($F$39)*($C$29/2)</f>
        <v>49.172624999999996</v>
      </c>
      <c r="C397" s="3">
        <f t="shared" si="124"/>
        <v>1652.2002</v>
      </c>
      <c r="D397" s="3">
        <f t="shared" si="118"/>
        <v>2087.4388460145788</v>
      </c>
      <c r="E397" s="3">
        <f t="shared" si="116"/>
        <v>6.3232895797991402</v>
      </c>
      <c r="F397" s="3">
        <f t="shared" si="119"/>
        <v>141.64041114879097</v>
      </c>
      <c r="J397" s="3">
        <f>13.036</f>
        <v>13.036</v>
      </c>
      <c r="K397" s="3"/>
      <c r="L397" s="3"/>
      <c r="T397" s="3">
        <f>($F$38)*($F$39)*($C$16/2)</f>
        <v>17.210418749999999</v>
      </c>
      <c r="U397" s="3">
        <f t="shared" si="121"/>
        <v>578.27007000000003</v>
      </c>
      <c r="V397" s="3">
        <f t="shared" si="122"/>
        <v>1013.5087160145788</v>
      </c>
      <c r="W397" s="3">
        <f t="shared" si="120"/>
        <v>3.0607819068172426</v>
      </c>
      <c r="X397" s="3">
        <f t="shared" si="123"/>
        <v>28.277538014673571</v>
      </c>
      <c r="AB397" s="3">
        <f>0.728</f>
        <v>0.72799999999999998</v>
      </c>
      <c r="AC397" s="3">
        <v>3.5</v>
      </c>
      <c r="AD397" s="3" t="s">
        <v>33</v>
      </c>
    </row>
    <row r="398" spans="2:30">
      <c r="B398" s="3">
        <f>($F$38)*($F$39)*($C$30/2)</f>
        <v>51.631256249999993</v>
      </c>
      <c r="C398" s="3">
        <f t="shared" si="124"/>
        <v>1734.8102099999999</v>
      </c>
      <c r="D398" s="3">
        <f t="shared" si="118"/>
        <v>2170.0488560145786</v>
      </c>
      <c r="E398" s="3">
        <f t="shared" si="116"/>
        <v>6.5735326067589117</v>
      </c>
      <c r="F398" s="3">
        <f t="shared" si="119"/>
        <v>153.07303022039085</v>
      </c>
      <c r="J398" s="3">
        <f>14.372</f>
        <v>14.372</v>
      </c>
      <c r="K398" s="3"/>
      <c r="L398" s="3"/>
      <c r="T398" s="3">
        <f>($F$38)*($F$39)*($C$17/2)</f>
        <v>19.669049999999999</v>
      </c>
      <c r="U398" s="3">
        <f t="shared" si="121"/>
        <v>660.88008000000002</v>
      </c>
      <c r="V398" s="3">
        <f t="shared" si="122"/>
        <v>1096.1187260145787</v>
      </c>
      <c r="W398" s="3">
        <f t="shared" si="120"/>
        <v>3.3102629620214623</v>
      </c>
      <c r="X398" s="3">
        <f t="shared" si="123"/>
        <v>33.075149327902089</v>
      </c>
      <c r="AB398" s="3">
        <f>0.951</f>
        <v>0.95099999999999996</v>
      </c>
      <c r="AC398" s="3">
        <v>4</v>
      </c>
      <c r="AD398" s="3" t="s">
        <v>33</v>
      </c>
    </row>
    <row r="399" spans="2:30">
      <c r="B399" s="3">
        <f>($F$38)*($F$39)*($C$31/2)</f>
        <v>54.089887499999996</v>
      </c>
      <c r="C399" s="3">
        <f t="shared" si="124"/>
        <v>1817.42022</v>
      </c>
      <c r="D399" s="3">
        <f t="shared" si="118"/>
        <v>2252.6588660145785</v>
      </c>
      <c r="E399" s="3">
        <f t="shared" si="116"/>
        <v>6.8237756337186841</v>
      </c>
      <c r="F399" s="3">
        <f t="shared" si="119"/>
        <v>164.94931412060834</v>
      </c>
      <c r="J399" s="3">
        <f>15.773</f>
        <v>15.773</v>
      </c>
      <c r="K399" s="3"/>
      <c r="L399" s="3"/>
      <c r="T399" s="3">
        <f>($F$38)*($F$39)*($C$18/2)</f>
        <v>22.127681249999998</v>
      </c>
      <c r="U399" s="3">
        <f t="shared" si="121"/>
        <v>743.49009000000001</v>
      </c>
      <c r="V399" s="3">
        <f t="shared" si="122"/>
        <v>1178.7287360145788</v>
      </c>
      <c r="W399" s="3">
        <f t="shared" si="120"/>
        <v>3.5597440172256829</v>
      </c>
      <c r="X399" s="3">
        <f t="shared" si="123"/>
        <v>38.248495911412</v>
      </c>
      <c r="AB399" s="3">
        <f>1.204</f>
        <v>1.204</v>
      </c>
      <c r="AC399" s="3">
        <v>4.5</v>
      </c>
      <c r="AD399" s="3" t="s">
        <v>33</v>
      </c>
    </row>
    <row r="400" spans="2:30">
      <c r="B400" s="3">
        <f>($F$38)*($F$39)*($C$32/2)</f>
        <v>56.548518749999999</v>
      </c>
      <c r="C400" s="3">
        <f t="shared" si="124"/>
        <v>1900.0302300000001</v>
      </c>
      <c r="D400" s="3">
        <f t="shared" si="118"/>
        <v>2335.2688760145788</v>
      </c>
      <c r="E400" s="3">
        <f t="shared" si="116"/>
        <v>7.0740186606784574</v>
      </c>
      <c r="F400" s="3">
        <f t="shared" si="119"/>
        <v>177.26926284944338</v>
      </c>
      <c r="J400" s="3">
        <f>17.24</f>
        <v>17.239999999999998</v>
      </c>
      <c r="K400" s="3"/>
      <c r="L400" s="3"/>
      <c r="T400" s="3">
        <f>($F$38)*($F$39)*($C$19/2)</f>
        <v>24.586312499999998</v>
      </c>
      <c r="U400" s="3">
        <f t="shared" si="121"/>
        <v>826.1001</v>
      </c>
      <c r="V400" s="3">
        <f t="shared" si="122"/>
        <v>1261.3387460145786</v>
      </c>
      <c r="W400" s="3">
        <f t="shared" si="120"/>
        <v>3.8092250724299026</v>
      </c>
      <c r="X400" s="3">
        <f t="shared" si="123"/>
        <v>43.797577765203279</v>
      </c>
      <c r="AB400" s="3">
        <f>1.487</f>
        <v>1.4870000000000001</v>
      </c>
      <c r="AC400" s="3">
        <v>5</v>
      </c>
      <c r="AD400" s="3" t="s">
        <v>33</v>
      </c>
    </row>
    <row r="401" spans="2:30">
      <c r="B401" s="3">
        <f>($F$38)*($F$39)*($C$33/2)</f>
        <v>59.007149999999996</v>
      </c>
      <c r="C401" s="3">
        <f t="shared" si="124"/>
        <v>1982.6402399999999</v>
      </c>
      <c r="D401" s="3">
        <f t="shared" si="118"/>
        <v>2417.8788860145787</v>
      </c>
      <c r="E401" s="3">
        <f t="shared" si="116"/>
        <v>7.3242616876382298</v>
      </c>
      <c r="F401" s="3">
        <f t="shared" si="119"/>
        <v>190.03287640689601</v>
      </c>
      <c r="J401" s="3">
        <f>18.772</f>
        <v>18.771999999999998</v>
      </c>
      <c r="K401" s="3"/>
      <c r="L401" s="3"/>
      <c r="T401" s="3">
        <f>($F$38)*($F$39)*($C$20/2)</f>
        <v>27.044943749999998</v>
      </c>
      <c r="U401" s="3">
        <f t="shared" si="121"/>
        <v>908.71010999999999</v>
      </c>
      <c r="V401" s="3">
        <f t="shared" si="122"/>
        <v>1343.9487560145787</v>
      </c>
      <c r="W401" s="3">
        <f t="shared" si="120"/>
        <v>4.0587061276341236</v>
      </c>
      <c r="X401" s="3">
        <f t="shared" si="123"/>
        <v>49.722394889275982</v>
      </c>
      <c r="AB401" s="3">
        <f>1.799</f>
        <v>1.7989999999999999</v>
      </c>
      <c r="AC401" s="3">
        <v>5.5</v>
      </c>
      <c r="AD401" s="3" t="s">
        <v>33</v>
      </c>
    </row>
    <row r="402" spans="2:30">
      <c r="B402" s="3">
        <f>($F$38)*($F$39)*($C$34/2)</f>
        <v>0</v>
      </c>
      <c r="C402" s="3">
        <f>$C$46*B402</f>
        <v>0</v>
      </c>
      <c r="D402" s="3">
        <f t="shared" si="118"/>
        <v>435.23864601457871</v>
      </c>
      <c r="E402" s="3">
        <f t="shared" si="116"/>
        <v>1.3184290406036887</v>
      </c>
      <c r="F402" s="3">
        <f t="shared" si="119"/>
        <v>6.1576437264793604</v>
      </c>
      <c r="J402" s="29"/>
      <c r="K402" s="4"/>
      <c r="L402" s="30"/>
      <c r="T402" s="3">
        <f>($F$38)*($F$39)*($C$21/2)</f>
        <v>29.503574999999998</v>
      </c>
      <c r="U402" s="3">
        <f t="shared" si="121"/>
        <v>991.32011999999997</v>
      </c>
      <c r="V402" s="3">
        <f t="shared" si="122"/>
        <v>1426.5587660145786</v>
      </c>
      <c r="W402" s="3">
        <f t="shared" si="120"/>
        <v>4.3081871828383429</v>
      </c>
      <c r="X402" s="3">
        <f t="shared" si="123"/>
        <v>56.022947283630018</v>
      </c>
      <c r="AB402" s="3">
        <f>2.141</f>
        <v>2.141</v>
      </c>
      <c r="AC402" s="3">
        <v>6</v>
      </c>
      <c r="AD402" s="3" t="s">
        <v>33</v>
      </c>
    </row>
    <row r="403" spans="2:30">
      <c r="B403" s="29"/>
      <c r="C403" s="4"/>
      <c r="D403" s="4"/>
      <c r="E403" s="4"/>
      <c r="F403" s="30"/>
      <c r="J403" s="29"/>
      <c r="K403" s="4"/>
      <c r="L403" s="30"/>
      <c r="T403" s="3">
        <f>($F$38)*($F$39)*($C$22/2)</f>
        <v>31.962206249999998</v>
      </c>
      <c r="U403" s="3">
        <f t="shared" si="121"/>
        <v>1073.93013</v>
      </c>
      <c r="V403" s="3">
        <f t="shared" si="122"/>
        <v>1509.1687760145787</v>
      </c>
      <c r="W403" s="3">
        <f t="shared" si="120"/>
        <v>4.5576682380425639</v>
      </c>
      <c r="X403" s="3">
        <f t="shared" si="123"/>
        <v>62.69923494826547</v>
      </c>
      <c r="AB403" s="3">
        <f>2.512</f>
        <v>2.512</v>
      </c>
      <c r="AC403" s="3">
        <v>6.5</v>
      </c>
      <c r="AD403" s="3" t="s">
        <v>33</v>
      </c>
    </row>
    <row r="404" spans="2:30">
      <c r="B404" s="29" t="s">
        <v>140</v>
      </c>
      <c r="C404" s="4"/>
      <c r="D404" s="4"/>
      <c r="E404" s="4"/>
      <c r="F404" s="30"/>
      <c r="J404" s="29" t="s">
        <v>141</v>
      </c>
      <c r="K404" s="4"/>
      <c r="L404" s="30"/>
      <c r="T404" s="3">
        <f>($F$38)*($F$39)*($C$23/2)</f>
        <v>34.420837499999998</v>
      </c>
      <c r="U404" s="3">
        <f>$C$46*T404</f>
        <v>1156.5401400000001</v>
      </c>
      <c r="V404" s="3">
        <f t="shared" si="122"/>
        <v>1591.7787860145788</v>
      </c>
      <c r="W404" s="3">
        <f t="shared" si="120"/>
        <v>4.8071492932467841</v>
      </c>
      <c r="X404" s="3">
        <f t="shared" si="123"/>
        <v>69.751257883182291</v>
      </c>
      <c r="AB404" s="3">
        <f>2.914</f>
        <v>2.9140000000000001</v>
      </c>
      <c r="AC404" s="3">
        <v>7</v>
      </c>
      <c r="AD404" s="3" t="s">
        <v>33</v>
      </c>
    </row>
    <row r="405" spans="2:30">
      <c r="B405" s="45" t="s">
        <v>75</v>
      </c>
      <c r="C405" s="45" t="s">
        <v>76</v>
      </c>
      <c r="D405" s="45" t="s">
        <v>77</v>
      </c>
      <c r="E405" s="45" t="s">
        <v>78</v>
      </c>
      <c r="F405" s="45" t="s">
        <v>32</v>
      </c>
      <c r="J405" s="45" t="s">
        <v>32</v>
      </c>
      <c r="K405" s="3"/>
      <c r="L405" s="3"/>
      <c r="T405" s="3">
        <f>($F$38)*($F$39)*($C$24/2)</f>
        <v>36.879468750000001</v>
      </c>
      <c r="U405" s="3">
        <f t="shared" ref="U405:U414" si="125">$C$46*T405</f>
        <v>1239.1501500000002</v>
      </c>
      <c r="V405" s="3">
        <f t="shared" si="122"/>
        <v>1674.3887960145789</v>
      </c>
      <c r="W405" s="3">
        <f t="shared" si="120"/>
        <v>5.0566303484510042</v>
      </c>
      <c r="X405" s="3">
        <f t="shared" si="123"/>
        <v>77.179016088380479</v>
      </c>
      <c r="AB405" s="3">
        <f>3.345</f>
        <v>3.3450000000000002</v>
      </c>
      <c r="AC405" s="3">
        <v>7.5</v>
      </c>
      <c r="AD405" s="3" t="s">
        <v>33</v>
      </c>
    </row>
    <row r="406" spans="2:30">
      <c r="B406" s="3">
        <f>($F$38)*($F$39)*($C$9/2)</f>
        <v>0</v>
      </c>
      <c r="C406" s="3">
        <f>$C$46*B406</f>
        <v>0</v>
      </c>
      <c r="D406" s="3">
        <f>C406+($C$50*$C$52)</f>
        <v>435.23864601457871</v>
      </c>
      <c r="E406" s="3">
        <f t="shared" ref="E406:E431" si="126">(D406)/($C$48+((($F$40)*($C$52))*$F$21)-(($C$49+$C$50)*$F$21^2))</f>
        <v>1.3144145203877009</v>
      </c>
      <c r="F406" s="3">
        <f>($F$21*E406)*($F$21*E406*$C$52)/2</f>
        <v>5.2148463899525295</v>
      </c>
      <c r="J406" s="3">
        <v>0</v>
      </c>
      <c r="K406" s="3"/>
      <c r="L406" s="3"/>
      <c r="T406" s="3">
        <f>($F$38)*($F$39)*($C$25/2)</f>
        <v>39.338099999999997</v>
      </c>
      <c r="U406" s="3">
        <f t="shared" si="125"/>
        <v>1321.76016</v>
      </c>
      <c r="V406" s="3">
        <f t="shared" si="122"/>
        <v>1756.9988060145788</v>
      </c>
      <c r="W406" s="3">
        <f t="shared" si="120"/>
        <v>5.3061114036552244</v>
      </c>
      <c r="X406" s="3">
        <f t="shared" si="123"/>
        <v>84.982509563860049</v>
      </c>
      <c r="AB406" s="3">
        <f>3.805</f>
        <v>3.8050000000000002</v>
      </c>
      <c r="AC406" s="3">
        <v>8</v>
      </c>
      <c r="AD406" s="3" t="s">
        <v>33</v>
      </c>
    </row>
    <row r="407" spans="2:30">
      <c r="B407" s="3">
        <f>($F$38)*($F$39)*($C$10/2)</f>
        <v>2.4586312499999998</v>
      </c>
      <c r="C407" s="3">
        <f t="shared" ref="C407:C419" si="127">$C$46*B407</f>
        <v>82.610010000000003</v>
      </c>
      <c r="D407" s="3">
        <f t="shared" ref="D407:D431" si="128">C407+($C$50*$C$52)</f>
        <v>517.84865601457875</v>
      </c>
      <c r="E407" s="3">
        <f t="shared" si="126"/>
        <v>1.563895575591921</v>
      </c>
      <c r="F407" s="3">
        <f t="shared" ref="F407:F431" si="129">($F$21*E407)*($F$21*E407*$C$52)/2</f>
        <v>7.3823108112113918</v>
      </c>
      <c r="J407" s="3">
        <f>0.015</f>
        <v>1.4999999999999999E-2</v>
      </c>
      <c r="K407" s="3"/>
      <c r="L407" s="3"/>
      <c r="T407" s="3">
        <f>($F$38)*($F$39)*($C$26/2)</f>
        <v>41.796731249999993</v>
      </c>
      <c r="U407" s="3">
        <f t="shared" si="125"/>
        <v>1404.3701699999999</v>
      </c>
      <c r="V407" s="3">
        <f t="shared" si="122"/>
        <v>1839.6088160145787</v>
      </c>
      <c r="W407" s="3">
        <f t="shared" si="120"/>
        <v>5.5555924588594445</v>
      </c>
      <c r="X407" s="3">
        <f t="shared" si="123"/>
        <v>93.161738309621001</v>
      </c>
      <c r="AB407" s="3">
        <f>4.296</f>
        <v>4.2960000000000003</v>
      </c>
      <c r="AC407" s="3">
        <v>8.5</v>
      </c>
      <c r="AD407" s="3" t="s">
        <v>33</v>
      </c>
    </row>
    <row r="408" spans="2:30">
      <c r="B408" s="3">
        <f>($F$38)*($F$39)*($C$11/2)</f>
        <v>4.9172624999999996</v>
      </c>
      <c r="C408" s="3">
        <f t="shared" si="127"/>
        <v>165.22002000000001</v>
      </c>
      <c r="D408" s="3">
        <f t="shared" si="128"/>
        <v>600.45866601457874</v>
      </c>
      <c r="E408" s="3">
        <f t="shared" si="126"/>
        <v>1.8133766307961414</v>
      </c>
      <c r="F408" s="3">
        <f t="shared" si="129"/>
        <v>9.9255105027516368</v>
      </c>
      <c r="J408" s="3">
        <f>0.059</f>
        <v>5.8999999999999997E-2</v>
      </c>
      <c r="K408" s="3"/>
      <c r="L408" s="3"/>
      <c r="T408" s="3">
        <f>($F$38)*($F$39)*($C$27/2)</f>
        <v>44.255362499999997</v>
      </c>
      <c r="U408" s="3">
        <f t="shared" si="125"/>
        <v>1486.98018</v>
      </c>
      <c r="V408" s="3">
        <f t="shared" si="122"/>
        <v>1922.2188260145788</v>
      </c>
      <c r="W408" s="3">
        <f t="shared" si="120"/>
        <v>5.8050735140636647</v>
      </c>
      <c r="X408" s="3">
        <f t="shared" si="123"/>
        <v>101.71670232566333</v>
      </c>
      <c r="AB408" s="3">
        <f>4.816</f>
        <v>4.8159999999999998</v>
      </c>
      <c r="AC408" s="3">
        <v>9</v>
      </c>
      <c r="AD408" s="3" t="s">
        <v>33</v>
      </c>
    </row>
    <row r="409" spans="2:30">
      <c r="B409" s="3">
        <f>($F$38)*($F$39)*($C$12/2)</f>
        <v>7.3758937499999995</v>
      </c>
      <c r="C409" s="3">
        <f t="shared" si="127"/>
        <v>247.83002999999999</v>
      </c>
      <c r="D409" s="3">
        <f t="shared" si="128"/>
        <v>683.06867601457873</v>
      </c>
      <c r="E409" s="3">
        <f t="shared" si="126"/>
        <v>2.0628576860003616</v>
      </c>
      <c r="F409" s="3">
        <f t="shared" si="129"/>
        <v>12.84444546457326</v>
      </c>
      <c r="J409" s="3">
        <f>0.134</f>
        <v>0.13400000000000001</v>
      </c>
      <c r="K409" s="3"/>
      <c r="L409" s="3"/>
      <c r="T409" s="3">
        <f>($F$38)*($F$39)*($C$28/2)</f>
        <v>46.71399375</v>
      </c>
      <c r="U409" s="3">
        <f t="shared" si="125"/>
        <v>1569.5901900000001</v>
      </c>
      <c r="V409" s="3">
        <f t="shared" si="122"/>
        <v>2004.8288360145789</v>
      </c>
      <c r="W409" s="3">
        <f t="shared" si="120"/>
        <v>6.0545545692678857</v>
      </c>
      <c r="X409" s="3">
        <f t="shared" si="123"/>
        <v>110.64740161198706</v>
      </c>
      <c r="AB409" s="3">
        <f>5.366</f>
        <v>5.3659999999999997</v>
      </c>
      <c r="AC409" s="3">
        <v>9.5</v>
      </c>
      <c r="AD409" s="3" t="s">
        <v>33</v>
      </c>
    </row>
    <row r="410" spans="2:30">
      <c r="B410" s="3">
        <f>($F$38)*($F$39)*($C$13/2)</f>
        <v>9.8345249999999993</v>
      </c>
      <c r="C410" s="3">
        <f t="shared" si="127"/>
        <v>330.44004000000001</v>
      </c>
      <c r="D410" s="3">
        <f t="shared" si="128"/>
        <v>765.67868601457872</v>
      </c>
      <c r="E410" s="3">
        <f t="shared" si="126"/>
        <v>2.3123387412045817</v>
      </c>
      <c r="F410" s="3">
        <f t="shared" si="129"/>
        <v>16.139115696676267</v>
      </c>
      <c r="J410" s="3">
        <f>0.238</f>
        <v>0.23799999999999999</v>
      </c>
      <c r="K410" s="3"/>
      <c r="L410" s="3"/>
      <c r="T410" s="3">
        <f>($F$38)*($F$39)*($C$29/2)</f>
        <v>49.172624999999996</v>
      </c>
      <c r="U410" s="3">
        <f t="shared" si="125"/>
        <v>1652.2002</v>
      </c>
      <c r="V410" s="3">
        <f t="shared" si="122"/>
        <v>2087.4388460145788</v>
      </c>
      <c r="W410" s="3">
        <f t="shared" si="120"/>
        <v>6.304035624472105</v>
      </c>
      <c r="X410" s="3">
        <f t="shared" si="123"/>
        <v>119.95383616859216</v>
      </c>
      <c r="AB410" s="3">
        <f>5.946</f>
        <v>5.9459999999999997</v>
      </c>
      <c r="AC410" s="3">
        <v>10</v>
      </c>
      <c r="AD410" s="3" t="s">
        <v>33</v>
      </c>
    </row>
    <row r="411" spans="2:30">
      <c r="B411" s="3">
        <f>($F$38)*($F$39)*($C$14/2)</f>
        <v>12.293156249999999</v>
      </c>
      <c r="C411" s="3">
        <f t="shared" si="127"/>
        <v>413.05005</v>
      </c>
      <c r="D411" s="3">
        <f t="shared" si="128"/>
        <v>848.2886960145787</v>
      </c>
      <c r="E411" s="3">
        <f t="shared" si="126"/>
        <v>2.5618197964088019</v>
      </c>
      <c r="F411" s="3">
        <f t="shared" si="129"/>
        <v>19.809521199060647</v>
      </c>
      <c r="J411" s="3">
        <f>0.372</f>
        <v>0.372</v>
      </c>
      <c r="K411" s="3"/>
      <c r="L411" s="3"/>
      <c r="T411" s="3">
        <f>($F$38)*($F$39)*($C$30/2)</f>
        <v>51.631256249999993</v>
      </c>
      <c r="U411" s="3">
        <f t="shared" si="125"/>
        <v>1734.8102099999999</v>
      </c>
      <c r="V411" s="3">
        <f t="shared" si="122"/>
        <v>2170.0488560145786</v>
      </c>
      <c r="W411" s="3">
        <f t="shared" si="120"/>
        <v>6.5535166796763251</v>
      </c>
      <c r="X411" s="3">
        <f t="shared" si="123"/>
        <v>129.63600599547865</v>
      </c>
      <c r="AB411" s="3">
        <f>6.555</f>
        <v>6.5549999999999997</v>
      </c>
      <c r="AC411" s="3">
        <v>10.5</v>
      </c>
      <c r="AD411" s="3" t="s">
        <v>33</v>
      </c>
    </row>
    <row r="412" spans="2:30">
      <c r="B412" s="3">
        <f>($F$38)*($F$39)*($C$15/2)</f>
        <v>14.751787499999999</v>
      </c>
      <c r="C412" s="3">
        <f t="shared" si="127"/>
        <v>495.66005999999999</v>
      </c>
      <c r="D412" s="3">
        <f t="shared" si="128"/>
        <v>930.89870601457869</v>
      </c>
      <c r="E412" s="3">
        <f t="shared" si="126"/>
        <v>2.811300851613022</v>
      </c>
      <c r="F412" s="3">
        <f t="shared" si="129"/>
        <v>23.855661971726413</v>
      </c>
      <c r="J412" s="3">
        <f>0.535</f>
        <v>0.53500000000000003</v>
      </c>
      <c r="K412" s="3"/>
      <c r="L412" s="3"/>
      <c r="T412" s="3">
        <f>($F$38)*($F$39)*($C$31/2)</f>
        <v>54.089887499999996</v>
      </c>
      <c r="U412" s="3">
        <f t="shared" si="125"/>
        <v>1817.42022</v>
      </c>
      <c r="V412" s="3">
        <f t="shared" si="122"/>
        <v>2252.6588660145785</v>
      </c>
      <c r="W412" s="3">
        <f t="shared" si="120"/>
        <v>6.8029977348805444</v>
      </c>
      <c r="X412" s="3">
        <f t="shared" si="123"/>
        <v>139.69391109264646</v>
      </c>
      <c r="AB412" s="3">
        <f>7.195</f>
        <v>7.1950000000000003</v>
      </c>
      <c r="AC412" s="3">
        <v>11</v>
      </c>
      <c r="AD412" s="3" t="s">
        <v>33</v>
      </c>
    </row>
    <row r="413" spans="2:30">
      <c r="B413" s="3">
        <f>($F$38)*($F$39)*($C$16/2)</f>
        <v>17.210418749999999</v>
      </c>
      <c r="C413" s="3">
        <f t="shared" si="127"/>
        <v>578.27007000000003</v>
      </c>
      <c r="D413" s="3">
        <f t="shared" si="128"/>
        <v>1013.5087160145788</v>
      </c>
      <c r="E413" s="3">
        <f t="shared" si="126"/>
        <v>3.0607819068172426</v>
      </c>
      <c r="F413" s="3">
        <f t="shared" si="129"/>
        <v>28.277538014673571</v>
      </c>
      <c r="J413" s="3">
        <f>0.728</f>
        <v>0.72799999999999998</v>
      </c>
      <c r="K413" s="3"/>
      <c r="L413" s="3"/>
      <c r="T413" s="3">
        <f>($F$38)*($F$39)*($C$32/2)</f>
        <v>56.548518749999999</v>
      </c>
      <c r="U413" s="3">
        <f t="shared" si="125"/>
        <v>1900.0302300000001</v>
      </c>
      <c r="V413" s="3">
        <f t="shared" si="122"/>
        <v>2335.2688760145788</v>
      </c>
      <c r="W413" s="3">
        <f t="shared" si="120"/>
        <v>7.0524787900847663</v>
      </c>
      <c r="X413" s="3">
        <f t="shared" si="123"/>
        <v>150.12755146009576</v>
      </c>
      <c r="AB413" s="3">
        <f>7.864</f>
        <v>7.8639999999999999</v>
      </c>
      <c r="AC413" s="3">
        <v>11.5</v>
      </c>
      <c r="AD413" s="3" t="s">
        <v>33</v>
      </c>
    </row>
    <row r="414" spans="2:30">
      <c r="B414" s="3">
        <f>($F$38)*($F$39)*($C$17/2)</f>
        <v>19.669049999999999</v>
      </c>
      <c r="C414" s="3">
        <f t="shared" si="127"/>
        <v>660.88008000000002</v>
      </c>
      <c r="D414" s="3">
        <f t="shared" si="128"/>
        <v>1096.1187260145787</v>
      </c>
      <c r="E414" s="3">
        <f t="shared" si="126"/>
        <v>3.3102629620214623</v>
      </c>
      <c r="F414" s="3">
        <f t="shared" si="129"/>
        <v>33.075149327902089</v>
      </c>
      <c r="J414" s="3">
        <f>0.951</f>
        <v>0.95099999999999996</v>
      </c>
      <c r="K414" s="3"/>
      <c r="L414" s="3"/>
      <c r="T414" s="3">
        <f>($F$38)*($F$39)*($C$33/2)</f>
        <v>59.007149999999996</v>
      </c>
      <c r="U414" s="3">
        <f t="shared" si="125"/>
        <v>1982.6402399999999</v>
      </c>
      <c r="V414" s="3">
        <f t="shared" si="122"/>
        <v>2417.8788860145787</v>
      </c>
      <c r="W414" s="3">
        <f t="shared" si="120"/>
        <v>7.3019598452889856</v>
      </c>
      <c r="X414" s="3">
        <f t="shared" si="123"/>
        <v>160.93692709782633</v>
      </c>
      <c r="AB414" s="3">
        <f>8.562</f>
        <v>8.5619999999999994</v>
      </c>
      <c r="AC414" s="3">
        <v>12</v>
      </c>
      <c r="AD414" s="3" t="s">
        <v>33</v>
      </c>
    </row>
    <row r="415" spans="2:30">
      <c r="B415" s="3">
        <f>($F$38)*($F$39)*($C$18/2)</f>
        <v>22.127681249999998</v>
      </c>
      <c r="C415" s="3">
        <f t="shared" si="127"/>
        <v>743.49009000000001</v>
      </c>
      <c r="D415" s="3">
        <f t="shared" si="128"/>
        <v>1178.7287360145788</v>
      </c>
      <c r="E415" s="3">
        <f t="shared" si="126"/>
        <v>3.5597440172256829</v>
      </c>
      <c r="F415" s="3">
        <f t="shared" si="129"/>
        <v>38.248495911412</v>
      </c>
      <c r="J415" s="3">
        <f>1.204</f>
        <v>1.204</v>
      </c>
      <c r="K415" s="3"/>
      <c r="L415" s="3"/>
      <c r="T415" s="3"/>
      <c r="U415" s="3"/>
      <c r="V415" s="3"/>
      <c r="W415" s="3"/>
      <c r="X415" s="3"/>
      <c r="AB415" s="29"/>
      <c r="AC415" s="4"/>
      <c r="AD415" s="30"/>
    </row>
    <row r="416" spans="2:30">
      <c r="B416" s="3">
        <f>($F$38)*($F$39)*($C$19/2)</f>
        <v>24.586312499999998</v>
      </c>
      <c r="C416" s="3">
        <f t="shared" si="127"/>
        <v>826.1001</v>
      </c>
      <c r="D416" s="3">
        <f t="shared" si="128"/>
        <v>1261.3387460145786</v>
      </c>
      <c r="E416" s="3">
        <f t="shared" si="126"/>
        <v>3.8092250724299026</v>
      </c>
      <c r="F416" s="3">
        <f t="shared" si="129"/>
        <v>43.797577765203279</v>
      </c>
      <c r="J416" s="3">
        <f>1.487</f>
        <v>1.4870000000000001</v>
      </c>
      <c r="K416" s="3"/>
      <c r="L416" s="3"/>
      <c r="T416" s="29"/>
      <c r="U416" s="4"/>
      <c r="V416" s="4"/>
      <c r="W416" s="4"/>
      <c r="X416" s="30"/>
      <c r="AB416" s="29"/>
      <c r="AC416" s="4"/>
      <c r="AD416" s="30"/>
    </row>
    <row r="417" spans="2:30">
      <c r="B417" s="3">
        <f>($F$38)*($F$39)*($C$20/2)</f>
        <v>27.044943749999998</v>
      </c>
      <c r="C417" s="3">
        <f t="shared" si="127"/>
        <v>908.71010999999999</v>
      </c>
      <c r="D417" s="3">
        <f t="shared" si="128"/>
        <v>1343.9487560145787</v>
      </c>
      <c r="E417" s="3">
        <f t="shared" si="126"/>
        <v>4.0587061276341236</v>
      </c>
      <c r="F417" s="3">
        <f t="shared" si="129"/>
        <v>49.722394889275982</v>
      </c>
      <c r="J417" s="3">
        <f>1.799</f>
        <v>1.7989999999999999</v>
      </c>
      <c r="K417" s="3">
        <v>5.5</v>
      </c>
      <c r="L417" s="3" t="s">
        <v>33</v>
      </c>
      <c r="T417" s="29" t="s">
        <v>142</v>
      </c>
      <c r="U417" s="4"/>
      <c r="V417" s="4"/>
      <c r="W417" s="4"/>
      <c r="X417" s="30"/>
      <c r="AB417" s="29" t="s">
        <v>143</v>
      </c>
      <c r="AC417" s="4"/>
      <c r="AD417" s="30"/>
    </row>
    <row r="418" spans="2:30">
      <c r="B418" s="3">
        <f>($F$38)*($F$39)*($C$21/2)</f>
        <v>29.503574999999998</v>
      </c>
      <c r="C418" s="3">
        <f t="shared" si="127"/>
        <v>991.32011999999997</v>
      </c>
      <c r="D418" s="3">
        <f t="shared" si="128"/>
        <v>1426.5587660145786</v>
      </c>
      <c r="E418" s="3">
        <f t="shared" si="126"/>
        <v>4.3081871828383429</v>
      </c>
      <c r="F418" s="3">
        <f t="shared" si="129"/>
        <v>56.022947283630018</v>
      </c>
      <c r="J418" s="3">
        <f>2.141</f>
        <v>2.141</v>
      </c>
      <c r="K418" s="3"/>
      <c r="L418" s="3"/>
      <c r="T418" s="45" t="s">
        <v>75</v>
      </c>
      <c r="U418" s="45" t="s">
        <v>76</v>
      </c>
      <c r="V418" s="45" t="s">
        <v>77</v>
      </c>
      <c r="W418" s="45" t="s">
        <v>78</v>
      </c>
      <c r="X418" s="45" t="s">
        <v>32</v>
      </c>
      <c r="AB418" s="45" t="s">
        <v>32</v>
      </c>
      <c r="AC418" s="3"/>
      <c r="AD418" s="3"/>
    </row>
    <row r="419" spans="2:30">
      <c r="B419" s="3">
        <f>($F$38)*($F$39)*($C$22/2)</f>
        <v>31.962206249999998</v>
      </c>
      <c r="C419" s="3">
        <f t="shared" si="127"/>
        <v>1073.93013</v>
      </c>
      <c r="D419" s="3">
        <f t="shared" si="128"/>
        <v>1509.1687760145787</v>
      </c>
      <c r="E419" s="3">
        <f t="shared" si="126"/>
        <v>4.5576682380425639</v>
      </c>
      <c r="F419" s="3">
        <f t="shared" si="129"/>
        <v>62.69923494826547</v>
      </c>
      <c r="J419" s="3">
        <f>2.512</f>
        <v>2.512</v>
      </c>
      <c r="K419" s="3"/>
      <c r="L419" s="3"/>
      <c r="T419" s="3">
        <f>($F$38)*($F$39)*($C$9/2)</f>
        <v>0</v>
      </c>
      <c r="U419" s="3">
        <f>$C$46*T419</f>
        <v>0</v>
      </c>
      <c r="V419" s="3">
        <f>U419+($C$50*$C$52)</f>
        <v>435.23864601457871</v>
      </c>
      <c r="W419" s="3">
        <f t="shared" ref="W419:W443" si="130">(V419)/($C$48+((($F$40)*($C$52))*$F$22)-(($C$49+$C$50)*$F$22^2))</f>
        <v>1.3115083388005329</v>
      </c>
      <c r="X419" s="3">
        <f>($F$22*W419)*($F$22*W419*$C$52)/2</f>
        <v>4.4766131877371649</v>
      </c>
      <c r="AB419" s="3">
        <v>0</v>
      </c>
      <c r="AC419" s="3">
        <v>0</v>
      </c>
      <c r="AD419" s="3" t="s">
        <v>33</v>
      </c>
    </row>
    <row r="420" spans="2:30">
      <c r="B420" s="3">
        <f>($F$38)*($F$39)*($C$23/2)</f>
        <v>34.420837499999998</v>
      </c>
      <c r="C420" s="3">
        <f>$C$46*B420</f>
        <v>1156.5401400000001</v>
      </c>
      <c r="D420" s="3">
        <f t="shared" si="128"/>
        <v>1591.7787860145788</v>
      </c>
      <c r="E420" s="3">
        <f t="shared" si="126"/>
        <v>4.8071492932467841</v>
      </c>
      <c r="F420" s="3">
        <f t="shared" si="129"/>
        <v>69.751257883182291</v>
      </c>
      <c r="J420" s="3">
        <f>2.914</f>
        <v>2.9140000000000001</v>
      </c>
      <c r="K420" s="3"/>
      <c r="L420" s="3"/>
      <c r="T420" s="3">
        <f>($F$38)*($F$39)*($C$10/2)</f>
        <v>2.4586312499999998</v>
      </c>
      <c r="U420" s="3">
        <f t="shared" ref="U420:U432" si="131">$C$46*T420</f>
        <v>82.610010000000003</v>
      </c>
      <c r="V420" s="3">
        <f t="shared" ref="V420:V443" si="132">U420+($C$50*$C$52)</f>
        <v>517.84865601457875</v>
      </c>
      <c r="W420" s="3">
        <f t="shared" si="130"/>
        <v>1.5604377892881773</v>
      </c>
      <c r="X420" s="3">
        <f t="shared" ref="X420:X443" si="133">($F$22*W420)*($F$22*W420*$C$52)/2</f>
        <v>6.3372432210307945</v>
      </c>
      <c r="AB420" s="3">
        <f>0.007</f>
        <v>7.0000000000000001E-3</v>
      </c>
      <c r="AC420" s="3">
        <v>0.5</v>
      </c>
      <c r="AD420" s="3" t="s">
        <v>33</v>
      </c>
    </row>
    <row r="421" spans="2:30">
      <c r="B421" s="3">
        <f>($F$38)*($F$39)*($C$24/2)</f>
        <v>36.879468750000001</v>
      </c>
      <c r="C421" s="3">
        <f t="shared" ref="C421:C430" si="134">$C$46*B421</f>
        <v>1239.1501500000002</v>
      </c>
      <c r="D421" s="3">
        <f t="shared" si="128"/>
        <v>1674.3887960145789</v>
      </c>
      <c r="E421" s="3">
        <f t="shared" si="126"/>
        <v>5.0566303484510042</v>
      </c>
      <c r="F421" s="3">
        <f t="shared" si="129"/>
        <v>77.179016088380479</v>
      </c>
      <c r="J421" s="3">
        <f>3.345</f>
        <v>3.3450000000000002</v>
      </c>
      <c r="K421" s="3"/>
      <c r="L421" s="3"/>
      <c r="T421" s="3">
        <f>($F$38)*($F$39)*($C$11/2)</f>
        <v>4.9172624999999996</v>
      </c>
      <c r="U421" s="3">
        <f t="shared" si="131"/>
        <v>165.22002000000001</v>
      </c>
      <c r="V421" s="3">
        <f t="shared" si="132"/>
        <v>600.45866601457874</v>
      </c>
      <c r="W421" s="3">
        <f t="shared" si="130"/>
        <v>1.8093672397758216</v>
      </c>
      <c r="X421" s="3">
        <f t="shared" si="133"/>
        <v>8.5204180313441977</v>
      </c>
      <c r="AB421" s="3">
        <f>0.029</f>
        <v>2.9000000000000001E-2</v>
      </c>
      <c r="AC421" s="3">
        <v>1</v>
      </c>
      <c r="AD421" s="3" t="s">
        <v>33</v>
      </c>
    </row>
    <row r="422" spans="2:30">
      <c r="B422" s="3">
        <f>($F$38)*($F$39)*($C$25/2)</f>
        <v>39.338099999999997</v>
      </c>
      <c r="C422" s="3">
        <f t="shared" si="134"/>
        <v>1321.76016</v>
      </c>
      <c r="D422" s="3">
        <f t="shared" si="128"/>
        <v>1756.9988060145788</v>
      </c>
      <c r="E422" s="3">
        <f t="shared" si="126"/>
        <v>5.3061114036552244</v>
      </c>
      <c r="F422" s="3">
        <f t="shared" si="129"/>
        <v>84.982509563860049</v>
      </c>
      <c r="J422" s="3">
        <f>3.805</f>
        <v>3.8050000000000002</v>
      </c>
      <c r="K422" s="3"/>
      <c r="L422" s="3"/>
      <c r="T422" s="3">
        <f>($F$38)*($F$39)*($C$12/2)</f>
        <v>7.3758937499999995</v>
      </c>
      <c r="U422" s="3">
        <f t="shared" si="131"/>
        <v>247.83002999999999</v>
      </c>
      <c r="V422" s="3">
        <f t="shared" si="132"/>
        <v>683.06867601457873</v>
      </c>
      <c r="W422" s="3">
        <f t="shared" si="130"/>
        <v>2.0582966902634658</v>
      </c>
      <c r="X422" s="3">
        <f t="shared" si="133"/>
        <v>11.026137618677371</v>
      </c>
      <c r="AB422" s="3">
        <f>0.064</f>
        <v>6.4000000000000001E-2</v>
      </c>
      <c r="AC422" s="3">
        <v>1.5</v>
      </c>
      <c r="AD422" s="3" t="s">
        <v>33</v>
      </c>
    </row>
    <row r="423" spans="2:30">
      <c r="B423" s="3">
        <f>($F$38)*($F$39)*($C$26/2)</f>
        <v>41.796731249999993</v>
      </c>
      <c r="C423" s="3">
        <f t="shared" si="134"/>
        <v>1404.3701699999999</v>
      </c>
      <c r="D423" s="3">
        <f t="shared" si="128"/>
        <v>1839.6088160145787</v>
      </c>
      <c r="E423" s="3">
        <f t="shared" si="126"/>
        <v>5.5555924588594445</v>
      </c>
      <c r="F423" s="3">
        <f t="shared" si="129"/>
        <v>93.161738309621001</v>
      </c>
      <c r="J423" s="3">
        <f>4.296</f>
        <v>4.2960000000000003</v>
      </c>
      <c r="K423" s="3"/>
      <c r="L423" s="3"/>
      <c r="T423" s="3">
        <f>($F$38)*($F$39)*($C$13/2)</f>
        <v>9.8345249999999993</v>
      </c>
      <c r="U423" s="3">
        <f t="shared" si="131"/>
        <v>330.44004000000001</v>
      </c>
      <c r="V423" s="3">
        <f t="shared" si="132"/>
        <v>765.67868601457872</v>
      </c>
      <c r="W423" s="3">
        <f t="shared" si="130"/>
        <v>2.3072261407511103</v>
      </c>
      <c r="X423" s="3">
        <f t="shared" si="133"/>
        <v>13.85440198303033</v>
      </c>
      <c r="AB423" s="3">
        <f>0.114</f>
        <v>0.114</v>
      </c>
      <c r="AC423" s="3">
        <v>2</v>
      </c>
      <c r="AD423" s="3" t="s">
        <v>33</v>
      </c>
    </row>
    <row r="424" spans="2:30">
      <c r="B424" s="3">
        <f>($F$38)*($F$39)*($C$27/2)</f>
        <v>44.255362499999997</v>
      </c>
      <c r="C424" s="3">
        <f t="shared" si="134"/>
        <v>1486.98018</v>
      </c>
      <c r="D424" s="3">
        <f t="shared" si="128"/>
        <v>1922.2188260145788</v>
      </c>
      <c r="E424" s="3">
        <f t="shared" si="126"/>
        <v>5.8050735140636647</v>
      </c>
      <c r="F424" s="3">
        <f t="shared" si="129"/>
        <v>101.71670232566333</v>
      </c>
      <c r="J424" s="3">
        <f>4.816</f>
        <v>4.8159999999999998</v>
      </c>
      <c r="K424" s="3"/>
      <c r="L424" s="3"/>
      <c r="T424" s="3">
        <f>($F$38)*($F$39)*($C$14/2)</f>
        <v>12.293156249999999</v>
      </c>
      <c r="U424" s="3">
        <f t="shared" si="131"/>
        <v>413.05005</v>
      </c>
      <c r="V424" s="3">
        <f t="shared" si="132"/>
        <v>848.2886960145787</v>
      </c>
      <c r="W424" s="3">
        <f t="shared" si="130"/>
        <v>2.5561555912387544</v>
      </c>
      <c r="X424" s="3">
        <f t="shared" si="133"/>
        <v>17.005211124403054</v>
      </c>
      <c r="AB424" s="3">
        <f>0.179</f>
        <v>0.17899999999999999</v>
      </c>
      <c r="AC424" s="3">
        <v>2.5</v>
      </c>
      <c r="AD424" s="3" t="s">
        <v>33</v>
      </c>
    </row>
    <row r="425" spans="2:30">
      <c r="B425" s="3">
        <f>($F$38)*($F$39)*($C$28/2)</f>
        <v>46.71399375</v>
      </c>
      <c r="C425" s="3">
        <f t="shared" si="134"/>
        <v>1569.5901900000001</v>
      </c>
      <c r="D425" s="3">
        <f t="shared" si="128"/>
        <v>2004.8288360145789</v>
      </c>
      <c r="E425" s="3">
        <f t="shared" si="126"/>
        <v>6.0545545692678857</v>
      </c>
      <c r="F425" s="3">
        <f t="shared" si="129"/>
        <v>110.64740161198706</v>
      </c>
      <c r="J425" s="3">
        <f>5.366</f>
        <v>5.3659999999999997</v>
      </c>
      <c r="K425" s="3"/>
      <c r="L425" s="3"/>
      <c r="T425" s="3">
        <f>($F$38)*($F$39)*($C$15/2)</f>
        <v>14.751787499999999</v>
      </c>
      <c r="U425" s="3">
        <f t="shared" si="131"/>
        <v>495.66005999999999</v>
      </c>
      <c r="V425" s="3">
        <f t="shared" si="132"/>
        <v>930.89870601457869</v>
      </c>
      <c r="W425" s="3">
        <f t="shared" si="130"/>
        <v>2.8050850417263988</v>
      </c>
      <c r="X425" s="3">
        <f t="shared" si="133"/>
        <v>20.478565042795566</v>
      </c>
      <c r="AB425" s="3">
        <f>0.258</f>
        <v>0.25800000000000001</v>
      </c>
      <c r="AC425" s="3">
        <v>3</v>
      </c>
      <c r="AD425" s="3" t="s">
        <v>33</v>
      </c>
    </row>
    <row r="426" spans="2:30">
      <c r="B426" s="3">
        <f>($F$38)*($F$39)*($C$29/2)</f>
        <v>49.172624999999996</v>
      </c>
      <c r="C426" s="3">
        <f t="shared" si="134"/>
        <v>1652.2002</v>
      </c>
      <c r="D426" s="3">
        <f t="shared" si="128"/>
        <v>2087.4388460145788</v>
      </c>
      <c r="E426" s="3">
        <f t="shared" si="126"/>
        <v>6.304035624472105</v>
      </c>
      <c r="F426" s="3">
        <f t="shared" si="129"/>
        <v>119.95383616859216</v>
      </c>
      <c r="J426" s="3">
        <f>5.946</f>
        <v>5.9459999999999997</v>
      </c>
      <c r="K426" s="3"/>
      <c r="L426" s="3"/>
      <c r="T426" s="3">
        <f>($F$38)*($F$39)*($C$16/2)</f>
        <v>17.210418749999999</v>
      </c>
      <c r="U426" s="3">
        <f t="shared" si="131"/>
        <v>578.27007000000003</v>
      </c>
      <c r="V426" s="3">
        <f t="shared" si="132"/>
        <v>1013.5087160145788</v>
      </c>
      <c r="W426" s="3">
        <f t="shared" si="130"/>
        <v>3.0540144922140433</v>
      </c>
      <c r="X426" s="3">
        <f t="shared" si="133"/>
        <v>24.274463738207842</v>
      </c>
      <c r="AB426" s="3">
        <f>0.351</f>
        <v>0.35099999999999998</v>
      </c>
      <c r="AC426" s="3">
        <v>3.5</v>
      </c>
      <c r="AD426" s="3" t="s">
        <v>33</v>
      </c>
    </row>
    <row r="427" spans="2:30">
      <c r="B427" s="3">
        <f>($F$38)*($F$39)*($C$30/2)</f>
        <v>51.631256249999993</v>
      </c>
      <c r="C427" s="3">
        <f t="shared" si="134"/>
        <v>1734.8102099999999</v>
      </c>
      <c r="D427" s="3">
        <f t="shared" si="128"/>
        <v>2170.0488560145786</v>
      </c>
      <c r="E427" s="3">
        <f t="shared" si="126"/>
        <v>6.5535166796763251</v>
      </c>
      <c r="F427" s="3">
        <f t="shared" si="129"/>
        <v>129.63600599547865</v>
      </c>
      <c r="J427" s="3">
        <f>6.555</f>
        <v>6.5549999999999997</v>
      </c>
      <c r="K427" s="3"/>
      <c r="L427" s="3"/>
      <c r="T427" s="3">
        <f>($F$38)*($F$39)*($C$17/2)</f>
        <v>19.669049999999999</v>
      </c>
      <c r="U427" s="3">
        <f t="shared" si="131"/>
        <v>660.88008000000002</v>
      </c>
      <c r="V427" s="3">
        <f t="shared" si="132"/>
        <v>1096.1187260145787</v>
      </c>
      <c r="W427" s="3">
        <f t="shared" si="130"/>
        <v>3.3029439427016873</v>
      </c>
      <c r="X427" s="3">
        <f t="shared" si="133"/>
        <v>28.392907210639887</v>
      </c>
      <c r="AB427" s="3">
        <f>0.458</f>
        <v>0.45800000000000002</v>
      </c>
      <c r="AC427" s="3">
        <v>4</v>
      </c>
      <c r="AD427" s="3" t="s">
        <v>33</v>
      </c>
    </row>
    <row r="428" spans="2:30">
      <c r="B428" s="3">
        <f>($F$38)*($F$39)*($C$31/2)</f>
        <v>54.089887499999996</v>
      </c>
      <c r="C428" s="3">
        <f t="shared" si="134"/>
        <v>1817.42022</v>
      </c>
      <c r="D428" s="3">
        <f t="shared" si="128"/>
        <v>2252.6588660145785</v>
      </c>
      <c r="E428" s="3">
        <f t="shared" si="126"/>
        <v>6.8029977348805444</v>
      </c>
      <c r="F428" s="3">
        <f t="shared" si="129"/>
        <v>139.69391109264646</v>
      </c>
      <c r="J428" s="3">
        <f>7.195</f>
        <v>7.1950000000000003</v>
      </c>
      <c r="K428" s="3"/>
      <c r="L428" s="3"/>
      <c r="T428" s="3">
        <f>($F$38)*($F$39)*($C$18/2)</f>
        <v>22.127681249999998</v>
      </c>
      <c r="U428" s="3">
        <f t="shared" si="131"/>
        <v>743.49009000000001</v>
      </c>
      <c r="V428" s="3">
        <f t="shared" si="132"/>
        <v>1178.7287360145788</v>
      </c>
      <c r="W428" s="3">
        <f t="shared" si="130"/>
        <v>3.5518733931893318</v>
      </c>
      <c r="X428" s="3">
        <f t="shared" si="133"/>
        <v>32.833895460091725</v>
      </c>
      <c r="AB428" s="3">
        <f>0.58</f>
        <v>0.57999999999999996</v>
      </c>
      <c r="AC428" s="3">
        <v>4.5</v>
      </c>
      <c r="AD428" s="3" t="s">
        <v>33</v>
      </c>
    </row>
    <row r="429" spans="2:30">
      <c r="B429" s="3">
        <f>($F$38)*($F$39)*($C$32/2)</f>
        <v>56.548518749999999</v>
      </c>
      <c r="C429" s="3">
        <f t="shared" si="134"/>
        <v>1900.0302300000001</v>
      </c>
      <c r="D429" s="3">
        <f t="shared" si="128"/>
        <v>2335.2688760145788</v>
      </c>
      <c r="E429" s="3">
        <f t="shared" si="126"/>
        <v>7.0524787900847663</v>
      </c>
      <c r="F429" s="3">
        <f t="shared" si="129"/>
        <v>150.12755146009576</v>
      </c>
      <c r="J429" s="3">
        <f>7.864</f>
        <v>7.8639999999999999</v>
      </c>
      <c r="K429" s="3"/>
      <c r="L429" s="3"/>
      <c r="T429" s="3">
        <f>($F$38)*($F$39)*($C$19/2)</f>
        <v>24.586312499999998</v>
      </c>
      <c r="U429" s="3">
        <f t="shared" si="131"/>
        <v>826.1001</v>
      </c>
      <c r="V429" s="3">
        <f t="shared" si="132"/>
        <v>1261.3387460145786</v>
      </c>
      <c r="W429" s="3">
        <f t="shared" si="130"/>
        <v>3.8008028436769759</v>
      </c>
      <c r="X429" s="3">
        <f t="shared" si="133"/>
        <v>37.597428486563317</v>
      </c>
      <c r="AB429" s="3">
        <f>0.716</f>
        <v>0.71599999999999997</v>
      </c>
      <c r="AC429" s="3">
        <v>5</v>
      </c>
      <c r="AD429" s="3" t="s">
        <v>33</v>
      </c>
    </row>
    <row r="430" spans="2:30">
      <c r="B430" s="3">
        <f>($F$38)*($F$39)*($C$33/2)</f>
        <v>59.007149999999996</v>
      </c>
      <c r="C430" s="3">
        <f t="shared" si="134"/>
        <v>1982.6402399999999</v>
      </c>
      <c r="D430" s="3">
        <f t="shared" si="128"/>
        <v>2417.8788860145787</v>
      </c>
      <c r="E430" s="3">
        <f t="shared" si="126"/>
        <v>7.3019598452889856</v>
      </c>
      <c r="F430" s="3">
        <f t="shared" si="129"/>
        <v>160.93692709782633</v>
      </c>
      <c r="J430" s="3">
        <f>8.562</f>
        <v>8.5619999999999994</v>
      </c>
      <c r="K430" s="3"/>
      <c r="L430" s="3"/>
      <c r="T430" s="3">
        <f>($F$38)*($F$39)*($C$20/2)</f>
        <v>27.044943749999998</v>
      </c>
      <c r="U430" s="3">
        <f t="shared" si="131"/>
        <v>908.71010999999999</v>
      </c>
      <c r="V430" s="3">
        <f t="shared" si="132"/>
        <v>1343.9487560145787</v>
      </c>
      <c r="W430" s="3">
        <f t="shared" si="130"/>
        <v>4.0497322941646203</v>
      </c>
      <c r="X430" s="3">
        <f t="shared" si="133"/>
        <v>42.683506290054709</v>
      </c>
      <c r="AB430" s="3">
        <f>0.866</f>
        <v>0.86599999999999999</v>
      </c>
      <c r="AC430" s="3">
        <v>5.5</v>
      </c>
      <c r="AD430" s="3" t="s">
        <v>33</v>
      </c>
    </row>
    <row r="431" spans="2:30">
      <c r="B431" s="3">
        <f>($F$38)*($F$39)*($C$34/2)</f>
        <v>0</v>
      </c>
      <c r="C431" s="3">
        <f>$C$46*B431</f>
        <v>0</v>
      </c>
      <c r="D431" s="3">
        <f t="shared" si="128"/>
        <v>435.23864601457871</v>
      </c>
      <c r="E431" s="3">
        <f t="shared" si="126"/>
        <v>1.3144145203877009</v>
      </c>
      <c r="F431" s="3">
        <f t="shared" si="129"/>
        <v>5.2148463899525295</v>
      </c>
      <c r="J431" s="29"/>
      <c r="K431" s="4"/>
      <c r="L431" s="30"/>
      <c r="T431" s="3">
        <f>($F$38)*($F$39)*($C$21/2)</f>
        <v>29.503574999999998</v>
      </c>
      <c r="U431" s="3">
        <f t="shared" si="131"/>
        <v>991.32011999999997</v>
      </c>
      <c r="V431" s="3">
        <f t="shared" si="132"/>
        <v>1426.5587660145786</v>
      </c>
      <c r="W431" s="3">
        <f t="shared" si="130"/>
        <v>4.2986617446522644</v>
      </c>
      <c r="X431" s="3">
        <f t="shared" si="133"/>
        <v>48.092128870565851</v>
      </c>
      <c r="AB431" s="3">
        <f>1.03</f>
        <v>1.03</v>
      </c>
      <c r="AC431" s="3">
        <v>6</v>
      </c>
      <c r="AD431" s="3" t="s">
        <v>33</v>
      </c>
    </row>
    <row r="432" spans="2:30">
      <c r="B432" s="29"/>
      <c r="C432" s="4"/>
      <c r="D432" s="4"/>
      <c r="E432" s="4"/>
      <c r="F432" s="30"/>
      <c r="J432" s="29"/>
      <c r="K432" s="4"/>
      <c r="L432" s="30"/>
      <c r="T432" s="3">
        <f>($F$38)*($F$39)*($C$22/2)</f>
        <v>31.962206249999998</v>
      </c>
      <c r="U432" s="3">
        <f t="shared" si="131"/>
        <v>1073.93013</v>
      </c>
      <c r="V432" s="3">
        <f t="shared" si="132"/>
        <v>1509.1687760145787</v>
      </c>
      <c r="W432" s="3">
        <f t="shared" si="130"/>
        <v>4.5475911951399084</v>
      </c>
      <c r="X432" s="3">
        <f t="shared" si="133"/>
        <v>53.823296228096787</v>
      </c>
      <c r="AB432" s="3">
        <f>1.209</f>
        <v>1.2090000000000001</v>
      </c>
      <c r="AC432" s="3">
        <v>6.5</v>
      </c>
      <c r="AD432" s="3" t="s">
        <v>33</v>
      </c>
    </row>
    <row r="433" spans="2:30">
      <c r="B433" s="29" t="s">
        <v>142</v>
      </c>
      <c r="C433" s="4"/>
      <c r="D433" s="4"/>
      <c r="E433" s="4"/>
      <c r="F433" s="30"/>
      <c r="J433" s="29" t="s">
        <v>143</v>
      </c>
      <c r="K433" s="4"/>
      <c r="L433" s="30"/>
      <c r="T433" s="3">
        <f>($F$38)*($F$39)*($C$23/2)</f>
        <v>34.420837499999998</v>
      </c>
      <c r="U433" s="3">
        <f>$C$46*T433</f>
        <v>1156.5401400000001</v>
      </c>
      <c r="V433" s="3">
        <f t="shared" si="132"/>
        <v>1591.7787860145788</v>
      </c>
      <c r="W433" s="3">
        <f t="shared" si="130"/>
        <v>4.7965206456275533</v>
      </c>
      <c r="X433" s="3">
        <f t="shared" si="133"/>
        <v>59.877008362647494</v>
      </c>
      <c r="AB433" s="3">
        <f>1.403</f>
        <v>1.403</v>
      </c>
      <c r="AC433" s="3">
        <v>7</v>
      </c>
      <c r="AD433" s="3" t="s">
        <v>33</v>
      </c>
    </row>
    <row r="434" spans="2:30">
      <c r="B434" s="45" t="s">
        <v>75</v>
      </c>
      <c r="C434" s="45" t="s">
        <v>76</v>
      </c>
      <c r="D434" s="45" t="s">
        <v>77</v>
      </c>
      <c r="E434" s="45" t="s">
        <v>78</v>
      </c>
      <c r="F434" s="45" t="s">
        <v>32</v>
      </c>
      <c r="J434" s="45" t="s">
        <v>32</v>
      </c>
      <c r="K434" s="3"/>
      <c r="L434" s="3"/>
      <c r="T434" s="3">
        <f>($F$38)*($F$39)*($C$24/2)</f>
        <v>36.879468750000001</v>
      </c>
      <c r="U434" s="3">
        <f t="shared" ref="U434:U443" si="135">$C$46*T434</f>
        <v>1239.1501500000002</v>
      </c>
      <c r="V434" s="3">
        <f t="shared" si="132"/>
        <v>1674.3887960145789</v>
      </c>
      <c r="W434" s="3">
        <f t="shared" si="130"/>
        <v>5.0454500961151982</v>
      </c>
      <c r="X434" s="3">
        <f t="shared" si="133"/>
        <v>66.253265274217995</v>
      </c>
      <c r="AB434" s="3">
        <f>1.61</f>
        <v>1.61</v>
      </c>
      <c r="AC434" s="3">
        <v>7.5</v>
      </c>
      <c r="AD434" s="3" t="s">
        <v>33</v>
      </c>
    </row>
    <row r="435" spans="2:30">
      <c r="B435" s="3">
        <f>($F$38)*($F$39)*($C$9/2)</f>
        <v>0</v>
      </c>
      <c r="C435" s="3">
        <f>$C$46*B435</f>
        <v>0</v>
      </c>
      <c r="D435" s="3">
        <f>C435+($C$50*$C$52)</f>
        <v>435.23864601457871</v>
      </c>
      <c r="E435" s="3">
        <f t="shared" ref="E435:E460" si="136">(D435)/($C$48+((($F$40)*($C$52))*$F$22)-(($C$49+$C$50)*$F$22^2))</f>
        <v>1.3115083388005329</v>
      </c>
      <c r="F435" s="3">
        <f>($F$22*E435)*($F$22*E435*$C$52)/2</f>
        <v>4.4766131877371649</v>
      </c>
      <c r="J435" s="3">
        <v>0</v>
      </c>
      <c r="K435" s="3"/>
      <c r="L435" s="3"/>
      <c r="T435" s="3">
        <f>($F$38)*($F$39)*($C$25/2)</f>
        <v>39.338099999999997</v>
      </c>
      <c r="U435" s="3">
        <f t="shared" si="135"/>
        <v>1321.76016</v>
      </c>
      <c r="V435" s="3">
        <f t="shared" si="132"/>
        <v>1756.9988060145788</v>
      </c>
      <c r="W435" s="3">
        <f t="shared" si="130"/>
        <v>5.2943795466028423</v>
      </c>
      <c r="X435" s="3">
        <f t="shared" si="133"/>
        <v>72.952066962808232</v>
      </c>
      <c r="AB435" s="3">
        <f>1.832</f>
        <v>1.8320000000000001</v>
      </c>
      <c r="AC435" s="3">
        <v>8</v>
      </c>
      <c r="AD435" s="3" t="s">
        <v>33</v>
      </c>
    </row>
    <row r="436" spans="2:30">
      <c r="B436" s="3">
        <f>($F$38)*($F$39)*($C$10/2)</f>
        <v>2.4586312499999998</v>
      </c>
      <c r="C436" s="3">
        <f t="shared" ref="C436:C448" si="137">$C$46*B436</f>
        <v>82.610010000000003</v>
      </c>
      <c r="D436" s="3">
        <f t="shared" ref="D436:D460" si="138">C436+($C$50*$C$52)</f>
        <v>517.84865601457875</v>
      </c>
      <c r="E436" s="3">
        <f t="shared" si="136"/>
        <v>1.5604377892881773</v>
      </c>
      <c r="F436" s="3">
        <f t="shared" ref="F436:F460" si="139">($F$22*E436)*($F$22*E436*$C$52)/2</f>
        <v>6.3372432210307945</v>
      </c>
      <c r="J436" s="3">
        <f>0.007</f>
        <v>7.0000000000000001E-3</v>
      </c>
      <c r="K436" s="3"/>
      <c r="L436" s="3"/>
      <c r="T436" s="3">
        <f>($F$38)*($F$39)*($C$26/2)</f>
        <v>41.796731249999993</v>
      </c>
      <c r="U436" s="3">
        <f t="shared" si="135"/>
        <v>1404.3701699999999</v>
      </c>
      <c r="V436" s="3">
        <f t="shared" si="132"/>
        <v>1839.6088160145787</v>
      </c>
      <c r="W436" s="3">
        <f t="shared" si="130"/>
        <v>5.5433089970904854</v>
      </c>
      <c r="X436" s="3">
        <f t="shared" si="133"/>
        <v>79.97341342841824</v>
      </c>
      <c r="AB436" s="3">
        <f>2.068</f>
        <v>2.0680000000000001</v>
      </c>
      <c r="AC436" s="3">
        <v>8.5</v>
      </c>
      <c r="AD436" s="3" t="s">
        <v>33</v>
      </c>
    </row>
    <row r="437" spans="2:30">
      <c r="B437" s="3">
        <f>($F$38)*($F$39)*($C$11/2)</f>
        <v>4.9172624999999996</v>
      </c>
      <c r="C437" s="3">
        <f t="shared" si="137"/>
        <v>165.22002000000001</v>
      </c>
      <c r="D437" s="3">
        <f t="shared" si="138"/>
        <v>600.45866601457874</v>
      </c>
      <c r="E437" s="3">
        <f t="shared" si="136"/>
        <v>1.8093672397758216</v>
      </c>
      <c r="F437" s="3">
        <f t="shared" si="139"/>
        <v>8.5204180313441977</v>
      </c>
      <c r="J437" s="3">
        <f>0.029</f>
        <v>2.9000000000000001E-2</v>
      </c>
      <c r="K437" s="3"/>
      <c r="L437" s="3"/>
      <c r="T437" s="3">
        <f>($F$38)*($F$39)*($C$27/2)</f>
        <v>44.255362499999997</v>
      </c>
      <c r="U437" s="3">
        <f t="shared" si="135"/>
        <v>1486.98018</v>
      </c>
      <c r="V437" s="3">
        <f t="shared" si="132"/>
        <v>1922.2188260145788</v>
      </c>
      <c r="W437" s="3">
        <f t="shared" si="130"/>
        <v>5.7922384475781303</v>
      </c>
      <c r="X437" s="3">
        <f t="shared" si="133"/>
        <v>87.317304671048063</v>
      </c>
      <c r="AB437" s="3">
        <f>2.319</f>
        <v>2.319</v>
      </c>
      <c r="AC437" s="3">
        <v>9</v>
      </c>
      <c r="AD437" s="3" t="s">
        <v>33</v>
      </c>
    </row>
    <row r="438" spans="2:30">
      <c r="B438" s="3">
        <f>($F$38)*($F$39)*($C$12/2)</f>
        <v>7.3758937499999995</v>
      </c>
      <c r="C438" s="3">
        <f t="shared" si="137"/>
        <v>247.83002999999999</v>
      </c>
      <c r="D438" s="3">
        <f t="shared" si="138"/>
        <v>683.06867601457873</v>
      </c>
      <c r="E438" s="3">
        <f t="shared" si="136"/>
        <v>2.0582966902634658</v>
      </c>
      <c r="F438" s="3">
        <f t="shared" si="139"/>
        <v>11.026137618677371</v>
      </c>
      <c r="J438" s="3">
        <f>0.064</f>
        <v>6.4000000000000001E-2</v>
      </c>
      <c r="K438" s="3"/>
      <c r="L438" s="3"/>
      <c r="T438" s="3">
        <f>($F$38)*($F$39)*($C$28/2)</f>
        <v>46.71399375</v>
      </c>
      <c r="U438" s="3">
        <f t="shared" si="135"/>
        <v>1569.5901900000001</v>
      </c>
      <c r="V438" s="3">
        <f t="shared" si="132"/>
        <v>2004.8288360145789</v>
      </c>
      <c r="W438" s="3">
        <f t="shared" si="130"/>
        <v>6.0411678980657753</v>
      </c>
      <c r="X438" s="3">
        <f t="shared" si="133"/>
        <v>94.983740690697658</v>
      </c>
      <c r="AB438" s="3">
        <f>2.583</f>
        <v>2.5830000000000002</v>
      </c>
      <c r="AC438" s="3">
        <v>9.5</v>
      </c>
      <c r="AD438" s="3" t="s">
        <v>33</v>
      </c>
    </row>
    <row r="439" spans="2:30">
      <c r="B439" s="3">
        <f>($F$38)*($F$39)*($C$13/2)</f>
        <v>9.8345249999999993</v>
      </c>
      <c r="C439" s="3">
        <f t="shared" si="137"/>
        <v>330.44004000000001</v>
      </c>
      <c r="D439" s="3">
        <f t="shared" si="138"/>
        <v>765.67868601457872</v>
      </c>
      <c r="E439" s="3">
        <f t="shared" si="136"/>
        <v>2.3072261407511103</v>
      </c>
      <c r="F439" s="3">
        <f t="shared" si="139"/>
        <v>13.85440198303033</v>
      </c>
      <c r="J439" s="3">
        <f>0.114</f>
        <v>0.114</v>
      </c>
      <c r="K439" s="3"/>
      <c r="L439" s="3"/>
      <c r="T439" s="3">
        <f>($F$38)*($F$39)*($C$29/2)</f>
        <v>49.172624999999996</v>
      </c>
      <c r="U439" s="3">
        <f t="shared" si="135"/>
        <v>1652.2002</v>
      </c>
      <c r="V439" s="3">
        <f t="shared" si="132"/>
        <v>2087.4388460145788</v>
      </c>
      <c r="W439" s="3">
        <f t="shared" si="130"/>
        <v>6.2900973485534193</v>
      </c>
      <c r="X439" s="3">
        <f t="shared" si="133"/>
        <v>102.97272148736702</v>
      </c>
      <c r="AB439" s="3">
        <f>2.862</f>
        <v>2.8620000000000001</v>
      </c>
      <c r="AC439" s="3">
        <v>10</v>
      </c>
      <c r="AD439" s="3" t="s">
        <v>33</v>
      </c>
    </row>
    <row r="440" spans="2:30">
      <c r="B440" s="3">
        <f>($F$38)*($F$39)*($C$14/2)</f>
        <v>12.293156249999999</v>
      </c>
      <c r="C440" s="3">
        <f t="shared" si="137"/>
        <v>413.05005</v>
      </c>
      <c r="D440" s="3">
        <f t="shared" si="138"/>
        <v>848.2886960145787</v>
      </c>
      <c r="E440" s="3">
        <f t="shared" si="136"/>
        <v>2.5561555912387544</v>
      </c>
      <c r="F440" s="3">
        <f t="shared" si="139"/>
        <v>17.005211124403054</v>
      </c>
      <c r="J440" s="3">
        <f>0.179</f>
        <v>0.17899999999999999</v>
      </c>
      <c r="K440" s="3"/>
      <c r="L440" s="3"/>
      <c r="T440" s="3">
        <f>($F$38)*($F$39)*($C$30/2)</f>
        <v>51.631256249999993</v>
      </c>
      <c r="U440" s="3">
        <f t="shared" si="135"/>
        <v>1734.8102099999999</v>
      </c>
      <c r="V440" s="3">
        <f t="shared" si="132"/>
        <v>2170.0488560145786</v>
      </c>
      <c r="W440" s="3">
        <f t="shared" si="130"/>
        <v>6.5390267990410624</v>
      </c>
      <c r="X440" s="3">
        <f t="shared" si="133"/>
        <v>111.28424706105613</v>
      </c>
      <c r="AB440" s="3">
        <f>3.156</f>
        <v>3.1560000000000001</v>
      </c>
      <c r="AC440" s="3">
        <v>10.5</v>
      </c>
      <c r="AD440" s="3" t="s">
        <v>33</v>
      </c>
    </row>
    <row r="441" spans="2:30">
      <c r="B441" s="3">
        <f>($F$38)*($F$39)*($C$15/2)</f>
        <v>14.751787499999999</v>
      </c>
      <c r="C441" s="3">
        <f t="shared" si="137"/>
        <v>495.66005999999999</v>
      </c>
      <c r="D441" s="3">
        <f t="shared" si="138"/>
        <v>930.89870601457869</v>
      </c>
      <c r="E441" s="3">
        <f t="shared" si="136"/>
        <v>2.8050850417263988</v>
      </c>
      <c r="F441" s="3">
        <f t="shared" si="139"/>
        <v>20.478565042795566</v>
      </c>
      <c r="J441" s="3">
        <f>0.258</f>
        <v>0.25800000000000001</v>
      </c>
      <c r="K441" s="3"/>
      <c r="L441" s="3"/>
      <c r="T441" s="3">
        <f>($F$38)*($F$39)*($C$31/2)</f>
        <v>54.089887499999996</v>
      </c>
      <c r="U441" s="3">
        <f t="shared" si="135"/>
        <v>1817.42022</v>
      </c>
      <c r="V441" s="3">
        <f t="shared" si="132"/>
        <v>2252.6588660145785</v>
      </c>
      <c r="W441" s="3">
        <f t="shared" si="130"/>
        <v>6.7879562495287065</v>
      </c>
      <c r="X441" s="3">
        <f t="shared" si="133"/>
        <v>119.91831741176502</v>
      </c>
      <c r="AB441" s="3">
        <f>3.464</f>
        <v>3.464</v>
      </c>
      <c r="AC441" s="3">
        <v>11</v>
      </c>
      <c r="AD441" s="3" t="s">
        <v>33</v>
      </c>
    </row>
    <row r="442" spans="2:30">
      <c r="B442" s="3">
        <f>($F$38)*($F$39)*($C$16/2)</f>
        <v>17.210418749999999</v>
      </c>
      <c r="C442" s="3">
        <f t="shared" si="137"/>
        <v>578.27007000000003</v>
      </c>
      <c r="D442" s="3">
        <f t="shared" si="138"/>
        <v>1013.5087160145788</v>
      </c>
      <c r="E442" s="3">
        <f t="shared" si="136"/>
        <v>3.0540144922140433</v>
      </c>
      <c r="F442" s="3">
        <f t="shared" si="139"/>
        <v>24.274463738207842</v>
      </c>
      <c r="J442" s="3">
        <f>0.351</f>
        <v>0.35099999999999998</v>
      </c>
      <c r="K442" s="3"/>
      <c r="L442" s="3"/>
      <c r="T442" s="3">
        <f>($F$38)*($F$39)*($C$32/2)</f>
        <v>56.548518749999999</v>
      </c>
      <c r="U442" s="3">
        <f t="shared" si="135"/>
        <v>1900.0302300000001</v>
      </c>
      <c r="V442" s="3">
        <f t="shared" si="132"/>
        <v>2335.2688760145788</v>
      </c>
      <c r="W442" s="3">
        <f t="shared" si="130"/>
        <v>7.0368857000163523</v>
      </c>
      <c r="X442" s="3">
        <f t="shared" si="133"/>
        <v>128.87493253949376</v>
      </c>
      <c r="AB442" s="3">
        <f>3.786</f>
        <v>3.786</v>
      </c>
      <c r="AC442" s="3">
        <v>11.5</v>
      </c>
      <c r="AD442" s="3" t="s">
        <v>33</v>
      </c>
    </row>
    <row r="443" spans="2:30">
      <c r="B443" s="3">
        <f>($F$38)*($F$39)*($C$17/2)</f>
        <v>19.669049999999999</v>
      </c>
      <c r="C443" s="3">
        <f t="shared" si="137"/>
        <v>660.88008000000002</v>
      </c>
      <c r="D443" s="3">
        <f t="shared" si="138"/>
        <v>1096.1187260145787</v>
      </c>
      <c r="E443" s="3">
        <f t="shared" si="136"/>
        <v>3.3029439427016873</v>
      </c>
      <c r="F443" s="3">
        <f t="shared" si="139"/>
        <v>28.392907210639887</v>
      </c>
      <c r="J443" s="3">
        <f>0.458</f>
        <v>0.45800000000000002</v>
      </c>
      <c r="K443" s="3"/>
      <c r="L443" s="3"/>
      <c r="T443" s="3">
        <f>($F$38)*($F$39)*($C$33/2)</f>
        <v>59.007149999999996</v>
      </c>
      <c r="U443" s="3">
        <f t="shared" si="135"/>
        <v>1982.6402399999999</v>
      </c>
      <c r="V443" s="3">
        <f t="shared" si="132"/>
        <v>2417.8788860145787</v>
      </c>
      <c r="W443" s="3">
        <f t="shared" si="130"/>
        <v>7.2858151505039963</v>
      </c>
      <c r="X443" s="3">
        <f t="shared" si="133"/>
        <v>138.1540924442422</v>
      </c>
      <c r="AB443" s="3">
        <f>4.122</f>
        <v>4.1219999999999999</v>
      </c>
      <c r="AC443" s="3">
        <v>12</v>
      </c>
      <c r="AD443" s="3" t="s">
        <v>33</v>
      </c>
    </row>
    <row r="444" spans="2:30">
      <c r="B444" s="3">
        <f>($F$38)*($F$39)*($C$18/2)</f>
        <v>22.127681249999998</v>
      </c>
      <c r="C444" s="3">
        <f t="shared" si="137"/>
        <v>743.49009000000001</v>
      </c>
      <c r="D444" s="3">
        <f t="shared" si="138"/>
        <v>1178.7287360145788</v>
      </c>
      <c r="E444" s="3">
        <f t="shared" si="136"/>
        <v>3.5518733931893318</v>
      </c>
      <c r="F444" s="3">
        <f t="shared" si="139"/>
        <v>32.833895460091725</v>
      </c>
      <c r="J444" s="3">
        <f>0.58</f>
        <v>0.57999999999999996</v>
      </c>
      <c r="K444" s="3"/>
      <c r="L444" s="3"/>
      <c r="T444" s="3"/>
      <c r="U444" s="3"/>
      <c r="V444" s="3"/>
      <c r="W444" s="3"/>
      <c r="X444" s="3"/>
      <c r="AB444" s="29"/>
      <c r="AC444" s="4"/>
      <c r="AD444" s="30"/>
    </row>
    <row r="445" spans="2:30">
      <c r="B445" s="3">
        <f>($F$38)*($F$39)*($C$19/2)</f>
        <v>24.586312499999998</v>
      </c>
      <c r="C445" s="3">
        <f t="shared" si="137"/>
        <v>826.1001</v>
      </c>
      <c r="D445" s="3">
        <f t="shared" si="138"/>
        <v>1261.3387460145786</v>
      </c>
      <c r="E445" s="3">
        <f t="shared" si="136"/>
        <v>3.8008028436769759</v>
      </c>
      <c r="F445" s="3">
        <f t="shared" si="139"/>
        <v>37.597428486563317</v>
      </c>
      <c r="J445" s="3">
        <f>0.716</f>
        <v>0.71599999999999997</v>
      </c>
      <c r="K445" s="3"/>
      <c r="L445" s="3"/>
      <c r="T445" s="29"/>
      <c r="U445" s="4"/>
      <c r="V445" s="4"/>
      <c r="W445" s="4"/>
      <c r="X445" s="30"/>
      <c r="AB445" s="29"/>
      <c r="AC445" s="4"/>
      <c r="AD445" s="30"/>
    </row>
    <row r="446" spans="2:30">
      <c r="B446" s="3">
        <f>($F$38)*($F$39)*($C$20/2)</f>
        <v>27.044943749999998</v>
      </c>
      <c r="C446" s="3">
        <f t="shared" si="137"/>
        <v>908.71010999999999</v>
      </c>
      <c r="D446" s="3">
        <f t="shared" si="138"/>
        <v>1343.9487560145787</v>
      </c>
      <c r="E446" s="3">
        <f t="shared" si="136"/>
        <v>4.0497322941646203</v>
      </c>
      <c r="F446" s="3">
        <f t="shared" si="139"/>
        <v>42.683506290054709</v>
      </c>
      <c r="J446" s="3">
        <f>0.866</f>
        <v>0.86599999999999999</v>
      </c>
      <c r="K446" s="3">
        <v>5.5</v>
      </c>
      <c r="L446" s="3" t="s">
        <v>33</v>
      </c>
      <c r="T446" s="29" t="s">
        <v>144</v>
      </c>
      <c r="U446" s="4"/>
      <c r="V446" s="4"/>
      <c r="W446" s="4"/>
      <c r="X446" s="30"/>
      <c r="AB446" s="29" t="s">
        <v>145</v>
      </c>
      <c r="AC446" s="4"/>
      <c r="AD446" s="30"/>
    </row>
    <row r="447" spans="2:30">
      <c r="B447" s="3">
        <f>($F$38)*($F$39)*($C$21/2)</f>
        <v>29.503574999999998</v>
      </c>
      <c r="C447" s="3">
        <f t="shared" si="137"/>
        <v>991.32011999999997</v>
      </c>
      <c r="D447" s="3">
        <f t="shared" si="138"/>
        <v>1426.5587660145786</v>
      </c>
      <c r="E447" s="3">
        <f t="shared" si="136"/>
        <v>4.2986617446522644</v>
      </c>
      <c r="F447" s="3">
        <f t="shared" si="139"/>
        <v>48.092128870565851</v>
      </c>
      <c r="J447" s="3">
        <f>1.03</f>
        <v>1.03</v>
      </c>
      <c r="K447" s="3"/>
      <c r="L447" s="3"/>
      <c r="T447" s="45" t="s">
        <v>75</v>
      </c>
      <c r="U447" s="45" t="s">
        <v>76</v>
      </c>
      <c r="V447" s="45" t="s">
        <v>77</v>
      </c>
      <c r="W447" s="45" t="s">
        <v>78</v>
      </c>
      <c r="X447" s="45" t="s">
        <v>32</v>
      </c>
      <c r="AB447" s="45" t="s">
        <v>32</v>
      </c>
      <c r="AC447" s="3"/>
      <c r="AD447" s="3"/>
    </row>
    <row r="448" spans="2:30">
      <c r="B448" s="3">
        <f>($F$38)*($F$39)*($C$22/2)</f>
        <v>31.962206249999998</v>
      </c>
      <c r="C448" s="3">
        <f t="shared" si="137"/>
        <v>1073.93013</v>
      </c>
      <c r="D448" s="3">
        <f t="shared" si="138"/>
        <v>1509.1687760145787</v>
      </c>
      <c r="E448" s="3">
        <f t="shared" si="136"/>
        <v>4.5475911951399084</v>
      </c>
      <c r="F448" s="3">
        <f t="shared" si="139"/>
        <v>53.823296228096787</v>
      </c>
      <c r="J448" s="3">
        <f>1.209</f>
        <v>1.2090000000000001</v>
      </c>
      <c r="K448" s="3"/>
      <c r="L448" s="3"/>
      <c r="T448" s="3">
        <f>($F$38)*($F$39)*($C$9/2)</f>
        <v>0</v>
      </c>
      <c r="U448" s="3">
        <f>$C$46*T448</f>
        <v>0</v>
      </c>
      <c r="V448" s="3">
        <f>U448+($C$50*$C$52)</f>
        <v>435.23864601457871</v>
      </c>
      <c r="W448" s="3">
        <f t="shared" ref="W448:W472" si="140">(V448)/($C$48+((($F$40)*($C$52))*$F$23)-(($C$49+$C$50)*$F$23^2))</f>
        <v>1.3093836686776008</v>
      </c>
      <c r="X448" s="3">
        <f>($F$23*W448)*($F$23*W448*$C$52)/2</f>
        <v>3.887002771093961</v>
      </c>
      <c r="AB448" s="3">
        <v>0</v>
      </c>
      <c r="AC448" s="3">
        <v>0</v>
      </c>
      <c r="AD448" s="3" t="s">
        <v>33</v>
      </c>
    </row>
    <row r="449" spans="2:30">
      <c r="B449" s="3">
        <f>($F$38)*($F$39)*($C$23/2)</f>
        <v>34.420837499999998</v>
      </c>
      <c r="C449" s="3">
        <f>$C$46*B449</f>
        <v>1156.5401400000001</v>
      </c>
      <c r="D449" s="3">
        <f t="shared" si="138"/>
        <v>1591.7787860145788</v>
      </c>
      <c r="E449" s="3">
        <f t="shared" si="136"/>
        <v>4.7965206456275533</v>
      </c>
      <c r="F449" s="3">
        <f t="shared" si="139"/>
        <v>59.877008362647494</v>
      </c>
      <c r="J449" s="3">
        <f>1.403</f>
        <v>1.403</v>
      </c>
      <c r="K449" s="3"/>
      <c r="L449" s="3"/>
      <c r="T449" s="3">
        <f>($F$38)*($F$39)*($C$10/2)</f>
        <v>2.4586312499999998</v>
      </c>
      <c r="U449" s="3">
        <f t="shared" ref="U449:U461" si="141">$C$46*T449</f>
        <v>82.610010000000003</v>
      </c>
      <c r="V449" s="3">
        <f t="shared" ref="V449:V472" si="142">U449+($C$50*$C$52)</f>
        <v>517.84865601457875</v>
      </c>
      <c r="W449" s="3">
        <f t="shared" si="140"/>
        <v>1.5579098484039988</v>
      </c>
      <c r="X449" s="3">
        <f t="shared" ref="X449:X472" si="143">($F$23*W449)*($F$23*W449*$C$52)/2</f>
        <v>5.5025710125503426</v>
      </c>
      <c r="AB449" s="3">
        <f>0.004</f>
        <v>4.0000000000000001E-3</v>
      </c>
      <c r="AC449" s="3">
        <v>0.5</v>
      </c>
      <c r="AD449" s="3" t="s">
        <v>33</v>
      </c>
    </row>
    <row r="450" spans="2:30">
      <c r="B450" s="3">
        <f>($F$38)*($F$39)*($C$24/2)</f>
        <v>36.879468750000001</v>
      </c>
      <c r="C450" s="3">
        <f t="shared" ref="C450:C459" si="144">$C$46*B450</f>
        <v>1239.1501500000002</v>
      </c>
      <c r="D450" s="3">
        <f t="shared" si="138"/>
        <v>1674.3887960145789</v>
      </c>
      <c r="E450" s="3">
        <f t="shared" si="136"/>
        <v>5.0454500961151982</v>
      </c>
      <c r="F450" s="3">
        <f t="shared" si="139"/>
        <v>66.253265274217995</v>
      </c>
      <c r="J450" s="3">
        <f>1.61</f>
        <v>1.61</v>
      </c>
      <c r="K450" s="3"/>
      <c r="L450" s="3"/>
      <c r="T450" s="3">
        <f>($F$38)*($F$39)*($C$11/2)</f>
        <v>4.9172624999999996</v>
      </c>
      <c r="U450" s="3">
        <f t="shared" si="141"/>
        <v>165.22002000000001</v>
      </c>
      <c r="V450" s="3">
        <f t="shared" si="142"/>
        <v>600.45866601457874</v>
      </c>
      <c r="W450" s="3">
        <f t="shared" si="140"/>
        <v>1.8064360281303968</v>
      </c>
      <c r="X450" s="3">
        <f t="shared" si="143"/>
        <v>7.3982019687197393</v>
      </c>
      <c r="AB450" s="3">
        <f>0.014</f>
        <v>1.4E-2</v>
      </c>
      <c r="AC450" s="3">
        <v>1</v>
      </c>
      <c r="AD450" s="3" t="s">
        <v>33</v>
      </c>
    </row>
    <row r="451" spans="2:30">
      <c r="B451" s="3">
        <f>($F$38)*($F$39)*($C$25/2)</f>
        <v>39.338099999999997</v>
      </c>
      <c r="C451" s="3">
        <f t="shared" si="144"/>
        <v>1321.76016</v>
      </c>
      <c r="D451" s="3">
        <f t="shared" si="138"/>
        <v>1756.9988060145788</v>
      </c>
      <c r="E451" s="3">
        <f t="shared" si="136"/>
        <v>5.2943795466028423</v>
      </c>
      <c r="F451" s="3">
        <f t="shared" si="139"/>
        <v>72.952066962808232</v>
      </c>
      <c r="J451" s="3">
        <f>1.832</f>
        <v>1.8320000000000001</v>
      </c>
      <c r="K451" s="3"/>
      <c r="L451" s="3"/>
      <c r="T451" s="3">
        <f>($F$38)*($F$39)*($C$12/2)</f>
        <v>7.3758937499999995</v>
      </c>
      <c r="U451" s="3">
        <f t="shared" si="141"/>
        <v>247.83002999999999</v>
      </c>
      <c r="V451" s="3">
        <f t="shared" si="142"/>
        <v>683.06867601457873</v>
      </c>
      <c r="W451" s="3">
        <f t="shared" si="140"/>
        <v>2.0549622078567946</v>
      </c>
      <c r="X451" s="3">
        <f t="shared" si="143"/>
        <v>9.5738956396021475</v>
      </c>
      <c r="AB451" s="3">
        <f>0.033</f>
        <v>3.3000000000000002E-2</v>
      </c>
      <c r="AC451" s="3">
        <v>1.5</v>
      </c>
      <c r="AD451" s="3" t="s">
        <v>33</v>
      </c>
    </row>
    <row r="452" spans="2:30">
      <c r="B452" s="3">
        <f>($F$38)*($F$39)*($C$26/2)</f>
        <v>41.796731249999993</v>
      </c>
      <c r="C452" s="3">
        <f t="shared" si="144"/>
        <v>1404.3701699999999</v>
      </c>
      <c r="D452" s="3">
        <f t="shared" si="138"/>
        <v>1839.6088160145787</v>
      </c>
      <c r="E452" s="3">
        <f t="shared" si="136"/>
        <v>5.5433089970904854</v>
      </c>
      <c r="F452" s="3">
        <f t="shared" si="139"/>
        <v>79.97341342841824</v>
      </c>
      <c r="J452" s="3">
        <f>2.068</f>
        <v>2.0680000000000001</v>
      </c>
      <c r="K452" s="3"/>
      <c r="L452" s="3"/>
      <c r="T452" s="3">
        <f>($F$38)*($F$39)*($C$13/2)</f>
        <v>9.8345249999999993</v>
      </c>
      <c r="U452" s="3">
        <f t="shared" si="141"/>
        <v>330.44004000000001</v>
      </c>
      <c r="V452" s="3">
        <f t="shared" si="142"/>
        <v>765.67868601457872</v>
      </c>
      <c r="W452" s="3">
        <f t="shared" si="140"/>
        <v>2.3034883875831924</v>
      </c>
      <c r="X452" s="3">
        <f t="shared" si="143"/>
        <v>12.029652025197569</v>
      </c>
      <c r="AB452" s="3">
        <f>0.058</f>
        <v>5.8000000000000003E-2</v>
      </c>
      <c r="AC452" s="3">
        <v>2</v>
      </c>
      <c r="AD452" s="3" t="s">
        <v>33</v>
      </c>
    </row>
    <row r="453" spans="2:30">
      <c r="B453" s="3">
        <f>($F$38)*($F$39)*($C$27/2)</f>
        <v>44.255362499999997</v>
      </c>
      <c r="C453" s="3">
        <f t="shared" si="144"/>
        <v>1486.98018</v>
      </c>
      <c r="D453" s="3">
        <f t="shared" si="138"/>
        <v>1922.2188260145788</v>
      </c>
      <c r="E453" s="3">
        <f t="shared" si="136"/>
        <v>5.7922384475781303</v>
      </c>
      <c r="F453" s="3">
        <f t="shared" si="139"/>
        <v>87.317304671048063</v>
      </c>
      <c r="J453" s="3">
        <f>2.319</f>
        <v>2.319</v>
      </c>
      <c r="K453" s="3"/>
      <c r="L453" s="3"/>
      <c r="T453" s="3">
        <f>($F$38)*($F$39)*($C$14/2)</f>
        <v>12.293156249999999</v>
      </c>
      <c r="U453" s="3">
        <f t="shared" si="141"/>
        <v>413.05005</v>
      </c>
      <c r="V453" s="3">
        <f t="shared" si="142"/>
        <v>848.2886960145787</v>
      </c>
      <c r="W453" s="3">
        <f t="shared" si="140"/>
        <v>2.5520145673095906</v>
      </c>
      <c r="X453" s="3">
        <f t="shared" si="143"/>
        <v>14.765471125506011</v>
      </c>
      <c r="AB453" s="3">
        <f>0.09</f>
        <v>0.09</v>
      </c>
      <c r="AC453" s="3">
        <v>2.5</v>
      </c>
      <c r="AD453" s="3" t="s">
        <v>33</v>
      </c>
    </row>
    <row r="454" spans="2:30">
      <c r="B454" s="3">
        <f>($F$38)*($F$39)*($C$28/2)</f>
        <v>46.71399375</v>
      </c>
      <c r="C454" s="3">
        <f t="shared" si="144"/>
        <v>1569.5901900000001</v>
      </c>
      <c r="D454" s="3">
        <f t="shared" si="138"/>
        <v>2004.8288360145789</v>
      </c>
      <c r="E454" s="3">
        <f t="shared" si="136"/>
        <v>6.0411678980657753</v>
      </c>
      <c r="F454" s="3">
        <f t="shared" si="139"/>
        <v>94.983740690697658</v>
      </c>
      <c r="J454" s="3">
        <f>2.583</f>
        <v>2.5830000000000002</v>
      </c>
      <c r="K454" s="3"/>
      <c r="L454" s="3"/>
      <c r="T454" s="3">
        <f>($F$38)*($F$39)*($C$15/2)</f>
        <v>14.751787499999999</v>
      </c>
      <c r="U454" s="3">
        <f t="shared" si="141"/>
        <v>495.66005999999999</v>
      </c>
      <c r="V454" s="3">
        <f t="shared" si="142"/>
        <v>930.89870601457869</v>
      </c>
      <c r="W454" s="3">
        <f t="shared" si="140"/>
        <v>2.8005407470359884</v>
      </c>
      <c r="X454" s="3">
        <f t="shared" si="143"/>
        <v>17.781352940527455</v>
      </c>
      <c r="AB454" s="3">
        <f>0.13</f>
        <v>0.13</v>
      </c>
      <c r="AC454" s="3">
        <v>3</v>
      </c>
      <c r="AD454" s="3" t="s">
        <v>33</v>
      </c>
    </row>
    <row r="455" spans="2:30">
      <c r="B455" s="3">
        <f>($F$38)*($F$39)*($C$29/2)</f>
        <v>49.172624999999996</v>
      </c>
      <c r="C455" s="3">
        <f t="shared" si="144"/>
        <v>1652.2002</v>
      </c>
      <c r="D455" s="3">
        <f t="shared" si="138"/>
        <v>2087.4388460145788</v>
      </c>
      <c r="E455" s="3">
        <f t="shared" si="136"/>
        <v>6.2900973485534193</v>
      </c>
      <c r="F455" s="3">
        <f t="shared" si="139"/>
        <v>102.97272148736702</v>
      </c>
      <c r="J455" s="3">
        <f>2.862</f>
        <v>2.8620000000000001</v>
      </c>
      <c r="K455" s="3"/>
      <c r="L455" s="3"/>
      <c r="T455" s="3">
        <f>($F$38)*($F$39)*($C$16/2)</f>
        <v>17.210418749999999</v>
      </c>
      <c r="U455" s="3">
        <f t="shared" si="141"/>
        <v>578.27007000000003</v>
      </c>
      <c r="V455" s="3">
        <f t="shared" si="142"/>
        <v>1013.5087160145788</v>
      </c>
      <c r="W455" s="3">
        <f t="shared" si="140"/>
        <v>3.0490669267623867</v>
      </c>
      <c r="X455" s="3">
        <f t="shared" si="143"/>
        <v>21.077297470261929</v>
      </c>
      <c r="AB455" s="3">
        <f>0.177</f>
        <v>0.17699999999999999</v>
      </c>
      <c r="AC455" s="3">
        <v>3.5</v>
      </c>
      <c r="AD455" s="3" t="s">
        <v>33</v>
      </c>
    </row>
    <row r="456" spans="2:30">
      <c r="B456" s="3">
        <f>($F$38)*($F$39)*($C$30/2)</f>
        <v>51.631256249999993</v>
      </c>
      <c r="C456" s="3">
        <f t="shared" si="144"/>
        <v>1734.8102099999999</v>
      </c>
      <c r="D456" s="3">
        <f t="shared" si="138"/>
        <v>2170.0488560145786</v>
      </c>
      <c r="E456" s="3">
        <f t="shared" si="136"/>
        <v>6.5390267990410624</v>
      </c>
      <c r="F456" s="3">
        <f t="shared" si="139"/>
        <v>111.28424706105613</v>
      </c>
      <c r="J456" s="3">
        <f>3.156</f>
        <v>3.1560000000000001</v>
      </c>
      <c r="K456" s="3"/>
      <c r="L456" s="3"/>
      <c r="T456" s="3">
        <f>($F$38)*($F$39)*($C$17/2)</f>
        <v>19.669049999999999</v>
      </c>
      <c r="U456" s="3">
        <f t="shared" si="141"/>
        <v>660.88008000000002</v>
      </c>
      <c r="V456" s="3">
        <f t="shared" si="142"/>
        <v>1096.1187260145787</v>
      </c>
      <c r="W456" s="3">
        <f t="shared" si="140"/>
        <v>3.2975931064887845</v>
      </c>
      <c r="X456" s="3">
        <f t="shared" si="143"/>
        <v>24.6533047147094</v>
      </c>
      <c r="AB456" s="3">
        <f>0.231</f>
        <v>0.23100000000000001</v>
      </c>
      <c r="AC456" s="3">
        <v>4</v>
      </c>
      <c r="AD456" s="3" t="s">
        <v>33</v>
      </c>
    </row>
    <row r="457" spans="2:30">
      <c r="B457" s="3">
        <f>($F$38)*($F$39)*($C$31/2)</f>
        <v>54.089887499999996</v>
      </c>
      <c r="C457" s="3">
        <f t="shared" si="144"/>
        <v>1817.42022</v>
      </c>
      <c r="D457" s="3">
        <f t="shared" si="138"/>
        <v>2252.6588660145785</v>
      </c>
      <c r="E457" s="3">
        <f t="shared" si="136"/>
        <v>6.7879562495287065</v>
      </c>
      <c r="F457" s="3">
        <f t="shared" si="139"/>
        <v>119.91831741176502</v>
      </c>
      <c r="J457" s="3">
        <f>3.464</f>
        <v>3.464</v>
      </c>
      <c r="K457" s="3"/>
      <c r="L457" s="3"/>
      <c r="T457" s="3">
        <f>($F$38)*($F$39)*($C$18/2)</f>
        <v>22.127681249999998</v>
      </c>
      <c r="U457" s="3">
        <f t="shared" si="141"/>
        <v>743.49009000000001</v>
      </c>
      <c r="V457" s="3">
        <f t="shared" si="142"/>
        <v>1178.7287360145788</v>
      </c>
      <c r="W457" s="3">
        <f t="shared" si="140"/>
        <v>3.5461192862151827</v>
      </c>
      <c r="X457" s="3">
        <f t="shared" si="143"/>
        <v>28.509374673869907</v>
      </c>
      <c r="AB457" s="3">
        <f>0.293</f>
        <v>0.29299999999999998</v>
      </c>
      <c r="AC457" s="3">
        <v>4.5</v>
      </c>
      <c r="AD457" s="3" t="s">
        <v>33</v>
      </c>
    </row>
    <row r="458" spans="2:30">
      <c r="B458" s="3">
        <f>($F$38)*($F$39)*($C$32/2)</f>
        <v>56.548518749999999</v>
      </c>
      <c r="C458" s="3">
        <f t="shared" si="144"/>
        <v>1900.0302300000001</v>
      </c>
      <c r="D458" s="3">
        <f t="shared" si="138"/>
        <v>2335.2688760145788</v>
      </c>
      <c r="E458" s="3">
        <f t="shared" si="136"/>
        <v>7.0368857000163523</v>
      </c>
      <c r="F458" s="3">
        <f t="shared" si="139"/>
        <v>128.87493253949376</v>
      </c>
      <c r="J458" s="3">
        <f>3.786</f>
        <v>3.786</v>
      </c>
      <c r="K458" s="3"/>
      <c r="L458" s="3"/>
      <c r="T458" s="3">
        <f>($F$38)*($F$39)*($C$19/2)</f>
        <v>24.586312499999998</v>
      </c>
      <c r="U458" s="3">
        <f t="shared" si="141"/>
        <v>826.1001</v>
      </c>
      <c r="V458" s="3">
        <f t="shared" si="142"/>
        <v>1261.3387460145786</v>
      </c>
      <c r="W458" s="3">
        <f t="shared" si="140"/>
        <v>3.79464546594158</v>
      </c>
      <c r="X458" s="3">
        <f t="shared" si="143"/>
        <v>32.645507347743397</v>
      </c>
      <c r="AB458" s="3">
        <f>0.361</f>
        <v>0.36099999999999999</v>
      </c>
      <c r="AC458" s="3">
        <v>5</v>
      </c>
      <c r="AD458" s="3" t="s">
        <v>33</v>
      </c>
    </row>
    <row r="459" spans="2:30">
      <c r="B459" s="3">
        <f>($F$38)*($F$39)*($C$33/2)</f>
        <v>59.007149999999996</v>
      </c>
      <c r="C459" s="3">
        <f t="shared" si="144"/>
        <v>1982.6402399999999</v>
      </c>
      <c r="D459" s="3">
        <f t="shared" si="138"/>
        <v>2417.8788860145787</v>
      </c>
      <c r="E459" s="3">
        <f t="shared" si="136"/>
        <v>7.2858151505039963</v>
      </c>
      <c r="F459" s="3">
        <f t="shared" si="139"/>
        <v>138.1540924442422</v>
      </c>
      <c r="J459" s="3">
        <f>4.122</f>
        <v>4.1219999999999999</v>
      </c>
      <c r="K459" s="3"/>
      <c r="L459" s="3"/>
      <c r="T459" s="3">
        <f>($F$38)*($F$39)*($C$20/2)</f>
        <v>27.044943749999998</v>
      </c>
      <c r="U459" s="3">
        <f t="shared" si="141"/>
        <v>908.71010999999999</v>
      </c>
      <c r="V459" s="3">
        <f t="shared" si="142"/>
        <v>1343.9487560145787</v>
      </c>
      <c r="W459" s="3">
        <f t="shared" si="140"/>
        <v>4.0431716456679787</v>
      </c>
      <c r="X459" s="3">
        <f t="shared" si="143"/>
        <v>37.061702736329941</v>
      </c>
      <c r="AB459" s="3">
        <f>0.437</f>
        <v>0.437</v>
      </c>
      <c r="AC459" s="3">
        <v>5.5</v>
      </c>
      <c r="AD459" s="3" t="s">
        <v>33</v>
      </c>
    </row>
    <row r="460" spans="2:30">
      <c r="B460" s="3">
        <f>($F$38)*($F$39)*($C$34/2)</f>
        <v>0</v>
      </c>
      <c r="C460" s="3">
        <f>$C$46*B460</f>
        <v>0</v>
      </c>
      <c r="D460" s="3">
        <f t="shared" si="138"/>
        <v>435.23864601457871</v>
      </c>
      <c r="E460" s="3">
        <f t="shared" si="136"/>
        <v>1.3115083388005329</v>
      </c>
      <c r="F460" s="3">
        <f t="shared" si="139"/>
        <v>4.4766131877371649</v>
      </c>
      <c r="J460" s="29"/>
      <c r="K460" s="4"/>
      <c r="L460" s="30"/>
      <c r="T460" s="3">
        <f>($F$38)*($F$39)*($C$21/2)</f>
        <v>29.503574999999998</v>
      </c>
      <c r="U460" s="3">
        <f t="shared" si="141"/>
        <v>991.32011999999997</v>
      </c>
      <c r="V460" s="3">
        <f t="shared" si="142"/>
        <v>1426.5587660145786</v>
      </c>
      <c r="W460" s="3">
        <f t="shared" si="140"/>
        <v>4.2916978253943761</v>
      </c>
      <c r="X460" s="3">
        <f t="shared" si="143"/>
        <v>41.757960839629455</v>
      </c>
      <c r="AB460" s="3">
        <f>0.52</f>
        <v>0.52</v>
      </c>
      <c r="AC460" s="3">
        <v>6</v>
      </c>
      <c r="AD460" s="3" t="s">
        <v>33</v>
      </c>
    </row>
    <row r="461" spans="2:30">
      <c r="B461" s="29"/>
      <c r="C461" s="4"/>
      <c r="D461" s="4"/>
      <c r="E461" s="4"/>
      <c r="F461" s="30"/>
      <c r="J461" s="29"/>
      <c r="K461" s="4"/>
      <c r="L461" s="30"/>
      <c r="T461" s="3">
        <f>($F$38)*($F$39)*($C$22/2)</f>
        <v>31.962206249999998</v>
      </c>
      <c r="U461" s="3">
        <f t="shared" si="141"/>
        <v>1073.93013</v>
      </c>
      <c r="V461" s="3">
        <f t="shared" si="142"/>
        <v>1509.1687760145787</v>
      </c>
      <c r="W461" s="3">
        <f t="shared" si="140"/>
        <v>4.5402240051207743</v>
      </c>
      <c r="X461" s="3">
        <f t="shared" si="143"/>
        <v>46.734281657642022</v>
      </c>
      <c r="AB461" s="3">
        <f>0.611</f>
        <v>0.61099999999999999</v>
      </c>
      <c r="AC461" s="3">
        <v>6.5</v>
      </c>
      <c r="AD461" s="3" t="s">
        <v>33</v>
      </c>
    </row>
    <row r="462" spans="2:30">
      <c r="B462" s="29" t="s">
        <v>144</v>
      </c>
      <c r="C462" s="4"/>
      <c r="D462" s="4"/>
      <c r="E462" s="4"/>
      <c r="F462" s="30"/>
      <c r="J462" s="29" t="s">
        <v>145</v>
      </c>
      <c r="K462" s="4"/>
      <c r="L462" s="30"/>
      <c r="T462" s="3">
        <f>($F$38)*($F$39)*($C$23/2)</f>
        <v>34.420837499999998</v>
      </c>
      <c r="U462" s="3">
        <f>$C$46*T462</f>
        <v>1156.5401400000001</v>
      </c>
      <c r="V462" s="3">
        <f t="shared" si="142"/>
        <v>1591.7787860145788</v>
      </c>
      <c r="W462" s="3">
        <f t="shared" si="140"/>
        <v>4.7887501848471725</v>
      </c>
      <c r="X462" s="3">
        <f t="shared" si="143"/>
        <v>51.990665190367601</v>
      </c>
      <c r="AB462" s="3">
        <f>0.708</f>
        <v>0.70799999999999996</v>
      </c>
      <c r="AC462" s="3">
        <v>7</v>
      </c>
      <c r="AD462" s="3" t="s">
        <v>33</v>
      </c>
    </row>
    <row r="463" spans="2:30">
      <c r="B463" s="45" t="s">
        <v>75</v>
      </c>
      <c r="C463" s="45" t="s">
        <v>76</v>
      </c>
      <c r="D463" s="45" t="s">
        <v>77</v>
      </c>
      <c r="E463" s="45" t="s">
        <v>78</v>
      </c>
      <c r="F463" s="45" t="s">
        <v>32</v>
      </c>
      <c r="J463" s="45" t="s">
        <v>32</v>
      </c>
      <c r="K463" s="3"/>
      <c r="L463" s="3"/>
      <c r="T463" s="3">
        <f>($F$38)*($F$39)*($C$24/2)</f>
        <v>36.879468750000001</v>
      </c>
      <c r="U463" s="3">
        <f t="shared" ref="U463:U472" si="145">$C$46*T463</f>
        <v>1239.1501500000002</v>
      </c>
      <c r="V463" s="3">
        <f t="shared" si="142"/>
        <v>1674.3887960145789</v>
      </c>
      <c r="W463" s="3">
        <f t="shared" si="140"/>
        <v>5.0372763645735708</v>
      </c>
      <c r="X463" s="3">
        <f t="shared" si="143"/>
        <v>57.52711143780617</v>
      </c>
      <c r="AB463" s="3">
        <f>0.813</f>
        <v>0.81299999999999994</v>
      </c>
      <c r="AC463" s="3">
        <v>7.5</v>
      </c>
      <c r="AD463" s="3" t="s">
        <v>33</v>
      </c>
    </row>
    <row r="464" spans="2:30">
      <c r="B464" s="3">
        <f>($F$38)*($F$39)*($C$9/2)</f>
        <v>0</v>
      </c>
      <c r="C464" s="3">
        <f>$C$46*B464</f>
        <v>0</v>
      </c>
      <c r="D464" s="3">
        <f>C464+($C$50*$C$52)</f>
        <v>435.23864601457871</v>
      </c>
      <c r="E464" s="3">
        <f t="shared" ref="E464:E489" si="146">(D464)/($C$48+((($F$40)*($C$52))*$F$23)-(($C$49+$C$50)*$F$23^2))</f>
        <v>1.3093836686776008</v>
      </c>
      <c r="F464" s="3">
        <f>($F$23*E464)*($F$23*E464*$C$52)/2</f>
        <v>3.887002771093961</v>
      </c>
      <c r="J464" s="3">
        <v>0</v>
      </c>
      <c r="K464" s="3"/>
      <c r="L464" s="3"/>
      <c r="T464" s="3">
        <f>($F$38)*($F$39)*($C$25/2)</f>
        <v>39.338099999999997</v>
      </c>
      <c r="U464" s="3">
        <f t="shared" si="145"/>
        <v>1321.76016</v>
      </c>
      <c r="V464" s="3">
        <f t="shared" si="142"/>
        <v>1756.9988060145788</v>
      </c>
      <c r="W464" s="3">
        <f t="shared" si="140"/>
        <v>5.2858025442999681</v>
      </c>
      <c r="X464" s="3">
        <f t="shared" si="143"/>
        <v>63.34362039995775</v>
      </c>
      <c r="AB464" s="3">
        <f>0.925</f>
        <v>0.92500000000000004</v>
      </c>
      <c r="AC464" s="3">
        <v>8</v>
      </c>
      <c r="AD464" s="3" t="s">
        <v>33</v>
      </c>
    </row>
    <row r="465" spans="2:30">
      <c r="B465" s="3">
        <f>($F$38)*($F$39)*($C$10/2)</f>
        <v>2.4586312499999998</v>
      </c>
      <c r="C465" s="3">
        <f t="shared" ref="C465:C477" si="147">$C$46*B465</f>
        <v>82.610010000000003</v>
      </c>
      <c r="D465" s="3">
        <f t="shared" ref="D465:D489" si="148">C465+($C$50*$C$52)</f>
        <v>517.84865601457875</v>
      </c>
      <c r="E465" s="3">
        <f t="shared" si="146"/>
        <v>1.5579098484039988</v>
      </c>
      <c r="F465" s="3">
        <f t="shared" ref="F465:F489" si="149">($F$23*E465)*($F$23*E465*$C$52)/2</f>
        <v>5.5025710125503426</v>
      </c>
      <c r="J465" s="3">
        <f>0.004</f>
        <v>4.0000000000000001E-3</v>
      </c>
      <c r="K465" s="3"/>
      <c r="L465" s="3"/>
      <c r="T465" s="3">
        <f>($F$38)*($F$39)*($C$26/2)</f>
        <v>41.796731249999993</v>
      </c>
      <c r="U465" s="3">
        <f t="shared" si="145"/>
        <v>1404.3701699999999</v>
      </c>
      <c r="V465" s="3">
        <f t="shared" si="142"/>
        <v>1839.6088160145787</v>
      </c>
      <c r="W465" s="3">
        <f t="shared" si="140"/>
        <v>5.5343287240263654</v>
      </c>
      <c r="X465" s="3">
        <f t="shared" si="143"/>
        <v>69.440192076822328</v>
      </c>
      <c r="AB465" s="3">
        <f>1.044</f>
        <v>1.044</v>
      </c>
      <c r="AC465" s="3">
        <v>8.5</v>
      </c>
      <c r="AD465" s="3" t="s">
        <v>33</v>
      </c>
    </row>
    <row r="466" spans="2:30">
      <c r="B466" s="3">
        <f>($F$38)*($F$39)*($C$11/2)</f>
        <v>4.9172624999999996</v>
      </c>
      <c r="C466" s="3">
        <f t="shared" si="147"/>
        <v>165.22002000000001</v>
      </c>
      <c r="D466" s="3">
        <f t="shared" si="148"/>
        <v>600.45866601457874</v>
      </c>
      <c r="E466" s="3">
        <f t="shared" si="146"/>
        <v>1.8064360281303968</v>
      </c>
      <c r="F466" s="3">
        <f t="shared" si="149"/>
        <v>7.3982019687197393</v>
      </c>
      <c r="J466" s="3">
        <f>0.014</f>
        <v>1.4E-2</v>
      </c>
      <c r="K466" s="3"/>
      <c r="L466" s="3"/>
      <c r="T466" s="3">
        <f>($F$38)*($F$39)*($C$27/2)</f>
        <v>44.255362499999997</v>
      </c>
      <c r="U466" s="3">
        <f t="shared" si="145"/>
        <v>1486.98018</v>
      </c>
      <c r="V466" s="3">
        <f t="shared" si="142"/>
        <v>1922.2188260145788</v>
      </c>
      <c r="W466" s="3">
        <f t="shared" si="140"/>
        <v>5.7828549037527646</v>
      </c>
      <c r="X466" s="3">
        <f t="shared" si="143"/>
        <v>75.816826468399981</v>
      </c>
      <c r="AB466" s="3">
        <f>1.171</f>
        <v>1.171</v>
      </c>
      <c r="AC466" s="3">
        <v>9</v>
      </c>
      <c r="AD466" s="3" t="s">
        <v>33</v>
      </c>
    </row>
    <row r="467" spans="2:30">
      <c r="B467" s="3">
        <f>($F$38)*($F$39)*($C$12/2)</f>
        <v>7.3758937499999995</v>
      </c>
      <c r="C467" s="3">
        <f t="shared" si="147"/>
        <v>247.83002999999999</v>
      </c>
      <c r="D467" s="3">
        <f t="shared" si="148"/>
        <v>683.06867601457873</v>
      </c>
      <c r="E467" s="3">
        <f t="shared" si="146"/>
        <v>2.0549622078567946</v>
      </c>
      <c r="F467" s="3">
        <f t="shared" si="149"/>
        <v>9.5738956396021475</v>
      </c>
      <c r="J467" s="3">
        <f>0.033</f>
        <v>3.3000000000000002E-2</v>
      </c>
      <c r="K467" s="3"/>
      <c r="L467" s="3"/>
      <c r="T467" s="3">
        <f>($F$38)*($F$39)*($C$28/2)</f>
        <v>46.71399375</v>
      </c>
      <c r="U467" s="3">
        <f t="shared" si="145"/>
        <v>1569.5901900000001</v>
      </c>
      <c r="V467" s="3">
        <f t="shared" si="142"/>
        <v>2004.8288360145789</v>
      </c>
      <c r="W467" s="3">
        <f t="shared" si="140"/>
        <v>6.0313810834791628</v>
      </c>
      <c r="X467" s="3">
        <f t="shared" si="143"/>
        <v>82.473523574690645</v>
      </c>
      <c r="AB467" s="3">
        <f>1.304</f>
        <v>1.304</v>
      </c>
      <c r="AC467" s="3">
        <v>9.5</v>
      </c>
      <c r="AD467" s="3" t="s">
        <v>33</v>
      </c>
    </row>
    <row r="468" spans="2:30">
      <c r="B468" s="3">
        <f>($F$38)*($F$39)*($C$13/2)</f>
        <v>9.8345249999999993</v>
      </c>
      <c r="C468" s="3">
        <f t="shared" si="147"/>
        <v>330.44004000000001</v>
      </c>
      <c r="D468" s="3">
        <f t="shared" si="148"/>
        <v>765.67868601457872</v>
      </c>
      <c r="E468" s="3">
        <f t="shared" si="146"/>
        <v>2.3034883875831924</v>
      </c>
      <c r="F468" s="3">
        <f t="shared" si="149"/>
        <v>12.029652025197569</v>
      </c>
      <c r="J468" s="3">
        <f>0.058</f>
        <v>5.8000000000000003E-2</v>
      </c>
      <c r="K468" s="3"/>
      <c r="L468" s="3"/>
      <c r="T468" s="3">
        <f>($F$38)*($F$39)*($C$29/2)</f>
        <v>49.172624999999996</v>
      </c>
      <c r="U468" s="3">
        <f t="shared" si="145"/>
        <v>1652.2002</v>
      </c>
      <c r="V468" s="3">
        <f t="shared" si="142"/>
        <v>2087.4388460145788</v>
      </c>
      <c r="W468" s="3">
        <f t="shared" si="140"/>
        <v>6.2799072632055601</v>
      </c>
      <c r="X468" s="3">
        <f t="shared" si="143"/>
        <v>89.410283395694265</v>
      </c>
      <c r="AB468" s="3">
        <f>1.445</f>
        <v>1.4450000000000001</v>
      </c>
      <c r="AC468" s="3">
        <v>10</v>
      </c>
      <c r="AD468" s="3" t="s">
        <v>33</v>
      </c>
    </row>
    <row r="469" spans="2:30">
      <c r="B469" s="3">
        <f>($F$38)*($F$39)*($C$14/2)</f>
        <v>12.293156249999999</v>
      </c>
      <c r="C469" s="3">
        <f t="shared" si="147"/>
        <v>413.05005</v>
      </c>
      <c r="D469" s="3">
        <f t="shared" si="148"/>
        <v>848.2886960145787</v>
      </c>
      <c r="E469" s="3">
        <f t="shared" si="146"/>
        <v>2.5520145673095906</v>
      </c>
      <c r="F469" s="3">
        <f t="shared" si="149"/>
        <v>14.765471125506011</v>
      </c>
      <c r="J469" s="3">
        <f>0.09</f>
        <v>0.09</v>
      </c>
      <c r="K469" s="3"/>
      <c r="L469" s="3"/>
      <c r="T469" s="3">
        <f>($F$38)*($F$39)*($C$30/2)</f>
        <v>51.631256249999993</v>
      </c>
      <c r="U469" s="3">
        <f t="shared" si="145"/>
        <v>1734.8102099999999</v>
      </c>
      <c r="V469" s="3">
        <f t="shared" si="142"/>
        <v>2170.0488560145786</v>
      </c>
      <c r="W469" s="3">
        <f t="shared" si="140"/>
        <v>6.5284334429319575</v>
      </c>
      <c r="X469" s="3">
        <f t="shared" si="143"/>
        <v>96.627105931410895</v>
      </c>
      <c r="AB469" s="3">
        <f>1.593</f>
        <v>1.593</v>
      </c>
      <c r="AC469" s="3">
        <v>10.5</v>
      </c>
      <c r="AD469" s="3" t="s">
        <v>33</v>
      </c>
    </row>
    <row r="470" spans="2:30">
      <c r="B470" s="3">
        <f>($F$38)*($F$39)*($C$15/2)</f>
        <v>14.751787499999999</v>
      </c>
      <c r="C470" s="3">
        <f t="shared" si="147"/>
        <v>495.66005999999999</v>
      </c>
      <c r="D470" s="3">
        <f t="shared" si="148"/>
        <v>930.89870601457869</v>
      </c>
      <c r="E470" s="3">
        <f t="shared" si="146"/>
        <v>2.8005407470359884</v>
      </c>
      <c r="F470" s="3">
        <f t="shared" si="149"/>
        <v>17.781352940527455</v>
      </c>
      <c r="J470" s="3">
        <f>0.13</f>
        <v>0.13</v>
      </c>
      <c r="K470" s="3"/>
      <c r="L470" s="3"/>
      <c r="T470" s="3">
        <f>($F$38)*($F$39)*($C$31/2)</f>
        <v>54.089887499999996</v>
      </c>
      <c r="U470" s="3">
        <f t="shared" si="145"/>
        <v>1817.42022</v>
      </c>
      <c r="V470" s="3">
        <f t="shared" si="142"/>
        <v>2252.6588660145785</v>
      </c>
      <c r="W470" s="3">
        <f t="shared" si="140"/>
        <v>6.7769596226583548</v>
      </c>
      <c r="X470" s="3">
        <f t="shared" si="143"/>
        <v>104.12399118184057</v>
      </c>
      <c r="AB470" s="3">
        <f>1.749</f>
        <v>1.7490000000000001</v>
      </c>
      <c r="AC470" s="3">
        <v>11</v>
      </c>
      <c r="AD470" s="3" t="s">
        <v>33</v>
      </c>
    </row>
    <row r="471" spans="2:30">
      <c r="B471" s="3">
        <f>($F$38)*($F$39)*($C$16/2)</f>
        <v>17.210418749999999</v>
      </c>
      <c r="C471" s="3">
        <f t="shared" si="147"/>
        <v>578.27007000000003</v>
      </c>
      <c r="D471" s="3">
        <f t="shared" si="148"/>
        <v>1013.5087160145788</v>
      </c>
      <c r="E471" s="3">
        <f t="shared" si="146"/>
        <v>3.0490669267623867</v>
      </c>
      <c r="F471" s="3">
        <f t="shared" si="149"/>
        <v>21.077297470261929</v>
      </c>
      <c r="J471" s="3">
        <f>0.177</f>
        <v>0.17699999999999999</v>
      </c>
      <c r="K471" s="3"/>
      <c r="L471" s="3"/>
      <c r="T471" s="3">
        <f>($F$38)*($F$39)*($C$32/2)</f>
        <v>56.548518749999999</v>
      </c>
      <c r="U471" s="3">
        <f t="shared" si="145"/>
        <v>1900.0302300000001</v>
      </c>
      <c r="V471" s="3">
        <f t="shared" si="142"/>
        <v>2335.2688760145788</v>
      </c>
      <c r="W471" s="3">
        <f t="shared" si="140"/>
        <v>7.025485802384754</v>
      </c>
      <c r="X471" s="3">
        <f t="shared" si="143"/>
        <v>111.9009391469833</v>
      </c>
      <c r="AB471" s="3">
        <f>1.911</f>
        <v>1.911</v>
      </c>
      <c r="AC471" s="3">
        <v>11.5</v>
      </c>
      <c r="AD471" s="3" t="s">
        <v>33</v>
      </c>
    </row>
    <row r="472" spans="2:30">
      <c r="B472" s="3">
        <f>($F$38)*($F$39)*($C$17/2)</f>
        <v>19.669049999999999</v>
      </c>
      <c r="C472" s="3">
        <f t="shared" si="147"/>
        <v>660.88008000000002</v>
      </c>
      <c r="D472" s="3">
        <f t="shared" si="148"/>
        <v>1096.1187260145787</v>
      </c>
      <c r="E472" s="3">
        <f t="shared" si="146"/>
        <v>3.2975931064887845</v>
      </c>
      <c r="F472" s="3">
        <f t="shared" si="149"/>
        <v>24.6533047147094</v>
      </c>
      <c r="J472" s="3">
        <f>0.231</f>
        <v>0.23100000000000001</v>
      </c>
      <c r="K472" s="3"/>
      <c r="L472" s="3"/>
      <c r="T472" s="3">
        <f>($F$38)*($F$39)*($C$33/2)</f>
        <v>59.007149999999996</v>
      </c>
      <c r="U472" s="3">
        <f t="shared" si="145"/>
        <v>1982.6402399999999</v>
      </c>
      <c r="V472" s="3">
        <f t="shared" si="142"/>
        <v>2417.8788860145787</v>
      </c>
      <c r="W472" s="3">
        <f t="shared" si="140"/>
        <v>7.2740119821111513</v>
      </c>
      <c r="X472" s="3">
        <f t="shared" si="143"/>
        <v>119.95794982683897</v>
      </c>
      <c r="AB472" s="3">
        <f>2.081</f>
        <v>2.081</v>
      </c>
      <c r="AC472" s="3">
        <v>12</v>
      </c>
      <c r="AD472" s="3" t="s">
        <v>33</v>
      </c>
    </row>
    <row r="473" spans="2:30">
      <c r="B473" s="3">
        <f>($F$38)*($F$39)*($C$18/2)</f>
        <v>22.127681249999998</v>
      </c>
      <c r="C473" s="3">
        <f t="shared" si="147"/>
        <v>743.49009000000001</v>
      </c>
      <c r="D473" s="3">
        <f t="shared" si="148"/>
        <v>1178.7287360145788</v>
      </c>
      <c r="E473" s="3">
        <f t="shared" si="146"/>
        <v>3.5461192862151827</v>
      </c>
      <c r="F473" s="3">
        <f t="shared" si="149"/>
        <v>28.509374673869907</v>
      </c>
      <c r="J473" s="3">
        <f>0.293</f>
        <v>0.29299999999999998</v>
      </c>
      <c r="K473" s="3"/>
      <c r="L473" s="3"/>
      <c r="T473" s="3"/>
      <c r="U473" s="3"/>
      <c r="V473" s="3"/>
      <c r="W473" s="3"/>
      <c r="X473" s="3"/>
      <c r="AB473" s="29"/>
      <c r="AC473" s="4"/>
      <c r="AD473" s="30"/>
    </row>
    <row r="474" spans="2:30">
      <c r="B474" s="3">
        <f>($F$38)*($F$39)*($C$19/2)</f>
        <v>24.586312499999998</v>
      </c>
      <c r="C474" s="3">
        <f t="shared" si="147"/>
        <v>826.1001</v>
      </c>
      <c r="D474" s="3">
        <f t="shared" si="148"/>
        <v>1261.3387460145786</v>
      </c>
      <c r="E474" s="3">
        <f t="shared" si="146"/>
        <v>3.79464546594158</v>
      </c>
      <c r="F474" s="3">
        <f t="shared" si="149"/>
        <v>32.645507347743397</v>
      </c>
      <c r="J474" s="3">
        <f>0.361</f>
        <v>0.36099999999999999</v>
      </c>
      <c r="K474" s="3"/>
      <c r="L474" s="3"/>
      <c r="T474" s="29"/>
      <c r="U474" s="4"/>
      <c r="V474" s="4"/>
      <c r="W474" s="4"/>
      <c r="X474" s="30"/>
      <c r="AB474" s="29"/>
      <c r="AC474" s="4"/>
      <c r="AD474" s="30"/>
    </row>
    <row r="475" spans="2:30">
      <c r="B475" s="3">
        <f>($F$38)*($F$39)*($C$20/2)</f>
        <v>27.044943749999998</v>
      </c>
      <c r="C475" s="3">
        <f t="shared" si="147"/>
        <v>908.71010999999999</v>
      </c>
      <c r="D475" s="3">
        <f t="shared" si="148"/>
        <v>1343.9487560145787</v>
      </c>
      <c r="E475" s="3">
        <f t="shared" si="146"/>
        <v>4.0431716456679787</v>
      </c>
      <c r="F475" s="3">
        <f t="shared" si="149"/>
        <v>37.061702736329941</v>
      </c>
      <c r="J475" s="3">
        <f>0.437</f>
        <v>0.437</v>
      </c>
      <c r="K475" s="3">
        <v>5.5</v>
      </c>
      <c r="L475" s="3" t="s">
        <v>33</v>
      </c>
      <c r="T475" s="29" t="s">
        <v>146</v>
      </c>
      <c r="U475" s="4"/>
      <c r="V475" s="4"/>
      <c r="W475" s="4"/>
      <c r="X475" s="30"/>
      <c r="AB475" s="29" t="s">
        <v>147</v>
      </c>
      <c r="AC475" s="4"/>
      <c r="AD475" s="30"/>
    </row>
    <row r="476" spans="2:30">
      <c r="B476" s="3">
        <f>($F$38)*($F$39)*($C$21/2)</f>
        <v>29.503574999999998</v>
      </c>
      <c r="C476" s="3">
        <f t="shared" si="147"/>
        <v>991.32011999999997</v>
      </c>
      <c r="D476" s="3">
        <f t="shared" si="148"/>
        <v>1426.5587660145786</v>
      </c>
      <c r="E476" s="3">
        <f t="shared" si="146"/>
        <v>4.2916978253943761</v>
      </c>
      <c r="F476" s="3">
        <f t="shared" si="149"/>
        <v>41.757960839629455</v>
      </c>
      <c r="J476" s="3">
        <f>0.52</f>
        <v>0.52</v>
      </c>
      <c r="K476" s="3"/>
      <c r="L476" s="3"/>
      <c r="T476" s="45" t="s">
        <v>75</v>
      </c>
      <c r="U476" s="45" t="s">
        <v>76</v>
      </c>
      <c r="V476" s="45" t="s">
        <v>77</v>
      </c>
      <c r="W476" s="45" t="s">
        <v>78</v>
      </c>
      <c r="X476" s="45" t="s">
        <v>32</v>
      </c>
      <c r="AB476" s="45" t="s">
        <v>32</v>
      </c>
      <c r="AC476" s="3"/>
      <c r="AD476" s="3"/>
    </row>
    <row r="477" spans="2:30">
      <c r="B477" s="3">
        <f>($F$38)*($F$39)*($C$22/2)</f>
        <v>31.962206249999998</v>
      </c>
      <c r="C477" s="3">
        <f t="shared" si="147"/>
        <v>1073.93013</v>
      </c>
      <c r="D477" s="3">
        <f t="shared" si="148"/>
        <v>1509.1687760145787</v>
      </c>
      <c r="E477" s="3">
        <f t="shared" si="146"/>
        <v>4.5402240051207743</v>
      </c>
      <c r="F477" s="3">
        <f t="shared" si="149"/>
        <v>46.734281657642022</v>
      </c>
      <c r="J477" s="3">
        <f>0.611</f>
        <v>0.61099999999999999</v>
      </c>
      <c r="K477" s="3"/>
      <c r="L477" s="3"/>
      <c r="T477" s="3">
        <f>($F$38)*($F$39)*($C$9/2)</f>
        <v>0</v>
      </c>
      <c r="U477" s="3">
        <f>$C$46*T477</f>
        <v>0</v>
      </c>
      <c r="V477" s="3">
        <f>U477+($C$50*$C$52)</f>
        <v>435.23864601457871</v>
      </c>
      <c r="W477" s="3">
        <f t="shared" ref="W477:W501" si="150">(V477)/($C$48+((($F$40)*($C$52))*$F$24)-(($C$49+$C$50)*$F$24^2))</f>
        <v>1.3078217748585359</v>
      </c>
      <c r="X477" s="3">
        <f>($F$24*W477)*($F$24*W477*$C$52)/2</f>
        <v>3.408165620500248</v>
      </c>
      <c r="AB477" s="3">
        <v>0</v>
      </c>
      <c r="AC477" s="3">
        <v>0</v>
      </c>
      <c r="AD477" s="3" t="s">
        <v>33</v>
      </c>
    </row>
    <row r="478" spans="2:30">
      <c r="B478" s="3">
        <f>($F$38)*($F$39)*($C$23/2)</f>
        <v>34.420837499999998</v>
      </c>
      <c r="C478" s="3">
        <f>$C$46*B478</f>
        <v>1156.5401400000001</v>
      </c>
      <c r="D478" s="3">
        <f t="shared" si="148"/>
        <v>1591.7787860145788</v>
      </c>
      <c r="E478" s="3">
        <f t="shared" si="146"/>
        <v>4.7887501848471725</v>
      </c>
      <c r="F478" s="3">
        <f t="shared" si="149"/>
        <v>51.990665190367601</v>
      </c>
      <c r="J478" s="3">
        <f>0.708</f>
        <v>0.70799999999999996</v>
      </c>
      <c r="K478" s="3"/>
      <c r="L478" s="3"/>
      <c r="T478" s="3">
        <f>($F$38)*($F$39)*($C$10/2)</f>
        <v>2.4586312499999998</v>
      </c>
      <c r="U478" s="3">
        <f t="shared" ref="U478:U490" si="151">$C$46*T478</f>
        <v>82.610010000000003</v>
      </c>
      <c r="V478" s="3">
        <f t="shared" ref="V478:V501" si="152">U478+($C$50*$C$52)</f>
        <v>517.84865601457875</v>
      </c>
      <c r="W478" s="3">
        <f t="shared" si="150"/>
        <v>1.5560515009836895</v>
      </c>
      <c r="X478" s="3">
        <f t="shared" ref="X478:X501" si="153">($F$24*W478)*($F$24*W478*$C$52)/2</f>
        <v>4.8247131411376056</v>
      </c>
      <c r="AB478" s="3">
        <f>0.002</f>
        <v>2E-3</v>
      </c>
      <c r="AC478" s="3">
        <v>0.5</v>
      </c>
      <c r="AD478" s="3" t="s">
        <v>33</v>
      </c>
    </row>
    <row r="479" spans="2:30">
      <c r="B479" s="3">
        <f>($F$38)*($F$39)*($C$24/2)</f>
        <v>36.879468750000001</v>
      </c>
      <c r="C479" s="3">
        <f t="shared" ref="C479:C488" si="154">$C$46*B479</f>
        <v>1239.1501500000002</v>
      </c>
      <c r="D479" s="3">
        <f t="shared" si="148"/>
        <v>1674.3887960145789</v>
      </c>
      <c r="E479" s="3">
        <f t="shared" si="146"/>
        <v>5.0372763645735708</v>
      </c>
      <c r="F479" s="3">
        <f t="shared" si="149"/>
        <v>57.52711143780617</v>
      </c>
      <c r="J479" s="3">
        <f>0.813</f>
        <v>0.81299999999999994</v>
      </c>
      <c r="K479" s="3"/>
      <c r="L479" s="3"/>
      <c r="T479" s="3">
        <f>($F$38)*($F$39)*($C$11/2)</f>
        <v>4.9172624999999996</v>
      </c>
      <c r="U479" s="3">
        <f t="shared" si="151"/>
        <v>165.22002000000001</v>
      </c>
      <c r="V479" s="3">
        <f t="shared" si="152"/>
        <v>600.45866601457874</v>
      </c>
      <c r="W479" s="3">
        <f t="shared" si="150"/>
        <v>1.8042812271088426</v>
      </c>
      <c r="X479" s="3">
        <f t="shared" si="153"/>
        <v>6.4868226466974024</v>
      </c>
      <c r="AB479" s="3">
        <f>0.008</f>
        <v>8.0000000000000002E-3</v>
      </c>
      <c r="AC479" s="3">
        <v>1</v>
      </c>
      <c r="AD479" s="3" t="s">
        <v>33</v>
      </c>
    </row>
    <row r="480" spans="2:30">
      <c r="B480" s="3">
        <f>($F$38)*($F$39)*($C$25/2)</f>
        <v>39.338099999999997</v>
      </c>
      <c r="C480" s="3">
        <f t="shared" si="154"/>
        <v>1321.76016</v>
      </c>
      <c r="D480" s="3">
        <f t="shared" si="148"/>
        <v>1756.9988060145788</v>
      </c>
      <c r="E480" s="3">
        <f t="shared" si="146"/>
        <v>5.2858025442999681</v>
      </c>
      <c r="F480" s="3">
        <f t="shared" si="149"/>
        <v>63.34362039995775</v>
      </c>
      <c r="J480" s="3">
        <f>0.925</f>
        <v>0.92500000000000004</v>
      </c>
      <c r="K480" s="3"/>
      <c r="L480" s="3"/>
      <c r="T480" s="3">
        <f>($F$38)*($F$39)*($C$12/2)</f>
        <v>7.3758937499999995</v>
      </c>
      <c r="U480" s="3">
        <f t="shared" si="151"/>
        <v>247.83002999999999</v>
      </c>
      <c r="V480" s="3">
        <f t="shared" si="152"/>
        <v>683.06867601457873</v>
      </c>
      <c r="W480" s="3">
        <f t="shared" si="150"/>
        <v>2.052510953233996</v>
      </c>
      <c r="X480" s="3">
        <f t="shared" si="153"/>
        <v>8.39449413717964</v>
      </c>
      <c r="AB480" s="3">
        <f>0.017</f>
        <v>1.7000000000000001E-2</v>
      </c>
      <c r="AC480" s="3">
        <v>1.5</v>
      </c>
      <c r="AD480" s="3" t="s">
        <v>33</v>
      </c>
    </row>
    <row r="481" spans="2:30">
      <c r="B481" s="3">
        <f>($F$38)*($F$39)*($C$26/2)</f>
        <v>41.796731249999993</v>
      </c>
      <c r="C481" s="3">
        <f t="shared" si="154"/>
        <v>1404.3701699999999</v>
      </c>
      <c r="D481" s="3">
        <f t="shared" si="148"/>
        <v>1839.6088160145787</v>
      </c>
      <c r="E481" s="3">
        <f t="shared" si="146"/>
        <v>5.5343287240263654</v>
      </c>
      <c r="F481" s="3">
        <f t="shared" si="149"/>
        <v>69.440192076822328</v>
      </c>
      <c r="J481" s="3">
        <f>1.044</f>
        <v>1.044</v>
      </c>
      <c r="K481" s="3"/>
      <c r="L481" s="3"/>
      <c r="T481" s="3">
        <f>($F$38)*($F$39)*($C$13/2)</f>
        <v>9.8345249999999993</v>
      </c>
      <c r="U481" s="3">
        <f t="shared" si="151"/>
        <v>330.44004000000001</v>
      </c>
      <c r="V481" s="3">
        <f t="shared" si="152"/>
        <v>765.67868601457872</v>
      </c>
      <c r="W481" s="3">
        <f t="shared" si="150"/>
        <v>2.3007406793591492</v>
      </c>
      <c r="X481" s="3">
        <f t="shared" si="153"/>
        <v>10.547727612584321</v>
      </c>
      <c r="AB481" s="3">
        <f>0.03</f>
        <v>0.03</v>
      </c>
      <c r="AC481" s="3">
        <v>2</v>
      </c>
      <c r="AD481" s="3" t="s">
        <v>33</v>
      </c>
    </row>
    <row r="482" spans="2:30">
      <c r="B482" s="3">
        <f>($F$38)*($F$39)*($C$27/2)</f>
        <v>44.255362499999997</v>
      </c>
      <c r="C482" s="3">
        <f t="shared" si="154"/>
        <v>1486.98018</v>
      </c>
      <c r="D482" s="3">
        <f t="shared" si="148"/>
        <v>1922.2188260145788</v>
      </c>
      <c r="E482" s="3">
        <f t="shared" si="146"/>
        <v>5.7828549037527646</v>
      </c>
      <c r="F482" s="3">
        <f t="shared" si="149"/>
        <v>75.816826468399981</v>
      </c>
      <c r="J482" s="3">
        <f>1.171</f>
        <v>1.171</v>
      </c>
      <c r="K482" s="3"/>
      <c r="L482" s="3"/>
      <c r="T482" s="3">
        <f>($F$38)*($F$39)*($C$14/2)</f>
        <v>12.293156249999999</v>
      </c>
      <c r="U482" s="3">
        <f t="shared" si="151"/>
        <v>413.05005</v>
      </c>
      <c r="V482" s="3">
        <f t="shared" si="152"/>
        <v>848.2886960145787</v>
      </c>
      <c r="W482" s="3">
        <f t="shared" si="150"/>
        <v>2.5489704054843023</v>
      </c>
      <c r="X482" s="3">
        <f t="shared" si="153"/>
        <v>12.946523072911441</v>
      </c>
      <c r="AB482" s="3">
        <f>0.048</f>
        <v>4.8000000000000001E-2</v>
      </c>
      <c r="AC482" s="3">
        <v>2.5</v>
      </c>
      <c r="AD482" s="3" t="s">
        <v>33</v>
      </c>
    </row>
    <row r="483" spans="2:30">
      <c r="B483" s="3">
        <f>($F$38)*($F$39)*($C$28/2)</f>
        <v>46.71399375</v>
      </c>
      <c r="C483" s="3">
        <f t="shared" si="154"/>
        <v>1569.5901900000001</v>
      </c>
      <c r="D483" s="3">
        <f t="shared" si="148"/>
        <v>2004.8288360145789</v>
      </c>
      <c r="E483" s="3">
        <f t="shared" si="146"/>
        <v>6.0313810834791628</v>
      </c>
      <c r="F483" s="3">
        <f t="shared" si="149"/>
        <v>82.473523574690645</v>
      </c>
      <c r="J483" s="3">
        <f>1.304</f>
        <v>1.304</v>
      </c>
      <c r="K483" s="3"/>
      <c r="L483" s="3"/>
      <c r="T483" s="3">
        <f>($F$38)*($F$39)*($C$15/2)</f>
        <v>14.751787499999999</v>
      </c>
      <c r="U483" s="3">
        <f t="shared" si="151"/>
        <v>495.66005999999999</v>
      </c>
      <c r="V483" s="3">
        <f t="shared" si="152"/>
        <v>930.89870601457869</v>
      </c>
      <c r="W483" s="3">
        <f t="shared" si="150"/>
        <v>2.7972001316094555</v>
      </c>
      <c r="X483" s="3">
        <f t="shared" si="153"/>
        <v>15.590880518161004</v>
      </c>
      <c r="AB483" s="3">
        <f>0.069</f>
        <v>6.9000000000000006E-2</v>
      </c>
      <c r="AC483" s="3">
        <v>3</v>
      </c>
      <c r="AD483" s="3" t="s">
        <v>33</v>
      </c>
    </row>
    <row r="484" spans="2:30">
      <c r="B484" s="3">
        <f>($F$38)*($F$39)*($C$29/2)</f>
        <v>49.172624999999996</v>
      </c>
      <c r="C484" s="3">
        <f t="shared" si="154"/>
        <v>1652.2002</v>
      </c>
      <c r="D484" s="3">
        <f t="shared" si="148"/>
        <v>2087.4388460145788</v>
      </c>
      <c r="E484" s="3">
        <f t="shared" si="146"/>
        <v>6.2799072632055601</v>
      </c>
      <c r="F484" s="3">
        <f t="shared" si="149"/>
        <v>89.410283395694265</v>
      </c>
      <c r="J484" s="3">
        <f>1.445</f>
        <v>1.4450000000000001</v>
      </c>
      <c r="K484" s="3"/>
      <c r="L484" s="3"/>
      <c r="T484" s="3">
        <f>($F$38)*($F$39)*($C$16/2)</f>
        <v>17.210418749999999</v>
      </c>
      <c r="U484" s="3">
        <f t="shared" si="151"/>
        <v>578.27007000000003</v>
      </c>
      <c r="V484" s="3">
        <f t="shared" si="152"/>
        <v>1013.5087160145788</v>
      </c>
      <c r="W484" s="3">
        <f t="shared" si="150"/>
        <v>3.0454298577346091</v>
      </c>
      <c r="X484" s="3">
        <f t="shared" si="153"/>
        <v>18.480799948333011</v>
      </c>
      <c r="AB484" s="3">
        <f>0.093</f>
        <v>9.2999999999999999E-2</v>
      </c>
      <c r="AC484" s="3">
        <v>3.5</v>
      </c>
      <c r="AD484" s="3" t="s">
        <v>33</v>
      </c>
    </row>
    <row r="485" spans="2:30">
      <c r="B485" s="3">
        <f>($F$38)*($F$39)*($C$30/2)</f>
        <v>51.631256249999993</v>
      </c>
      <c r="C485" s="3">
        <f t="shared" si="154"/>
        <v>1734.8102099999999</v>
      </c>
      <c r="D485" s="3">
        <f t="shared" si="148"/>
        <v>2170.0488560145786</v>
      </c>
      <c r="E485" s="3">
        <f t="shared" si="146"/>
        <v>6.5284334429319575</v>
      </c>
      <c r="F485" s="3">
        <f t="shared" si="149"/>
        <v>96.627105931410895</v>
      </c>
      <c r="J485" s="3">
        <f>1.593</f>
        <v>1.593</v>
      </c>
      <c r="K485" s="3"/>
      <c r="L485" s="3"/>
      <c r="T485" s="3">
        <f>($F$38)*($F$39)*($C$17/2)</f>
        <v>19.669049999999999</v>
      </c>
      <c r="U485" s="3">
        <f t="shared" si="151"/>
        <v>660.88008000000002</v>
      </c>
      <c r="V485" s="3">
        <f t="shared" si="152"/>
        <v>1096.1187260145787</v>
      </c>
      <c r="W485" s="3">
        <f t="shared" si="150"/>
        <v>3.2936595838597622</v>
      </c>
      <c r="X485" s="3">
        <f t="shared" si="153"/>
        <v>21.616281363427454</v>
      </c>
      <c r="AB485" s="3">
        <f>0.122</f>
        <v>0.122</v>
      </c>
      <c r="AC485" s="3">
        <v>4</v>
      </c>
      <c r="AD485" s="3" t="s">
        <v>33</v>
      </c>
    </row>
    <row r="486" spans="2:30">
      <c r="B486" s="3">
        <f>($F$38)*($F$39)*($C$31/2)</f>
        <v>54.089887499999996</v>
      </c>
      <c r="C486" s="3">
        <f t="shared" si="154"/>
        <v>1817.42022</v>
      </c>
      <c r="D486" s="3">
        <f t="shared" si="148"/>
        <v>2252.6588660145785</v>
      </c>
      <c r="E486" s="3">
        <f t="shared" si="146"/>
        <v>6.7769596226583548</v>
      </c>
      <c r="F486" s="3">
        <f t="shared" si="149"/>
        <v>104.12399118184057</v>
      </c>
      <c r="J486" s="3">
        <f>1.749</f>
        <v>1.7490000000000001</v>
      </c>
      <c r="K486" s="3"/>
      <c r="L486" s="3"/>
      <c r="T486" s="3">
        <f>($F$38)*($F$39)*($C$18/2)</f>
        <v>22.127681249999998</v>
      </c>
      <c r="U486" s="3">
        <f t="shared" si="151"/>
        <v>743.49009000000001</v>
      </c>
      <c r="V486" s="3">
        <f t="shared" si="152"/>
        <v>1178.7287360145788</v>
      </c>
      <c r="W486" s="3">
        <f t="shared" si="150"/>
        <v>3.5418893099849158</v>
      </c>
      <c r="X486" s="3">
        <f t="shared" si="153"/>
        <v>24.997324763444343</v>
      </c>
      <c r="AB486" s="3">
        <f>0.1154</f>
        <v>0.1154</v>
      </c>
      <c r="AC486" s="3">
        <v>4.5</v>
      </c>
      <c r="AD486" s="3" t="s">
        <v>33</v>
      </c>
    </row>
    <row r="487" spans="2:30">
      <c r="B487" s="3">
        <f>($F$38)*($F$39)*($C$32/2)</f>
        <v>56.548518749999999</v>
      </c>
      <c r="C487" s="3">
        <f t="shared" si="154"/>
        <v>1900.0302300000001</v>
      </c>
      <c r="D487" s="3">
        <f t="shared" si="148"/>
        <v>2335.2688760145788</v>
      </c>
      <c r="E487" s="3">
        <f t="shared" si="146"/>
        <v>7.025485802384754</v>
      </c>
      <c r="F487" s="3">
        <f t="shared" si="149"/>
        <v>111.9009391469833</v>
      </c>
      <c r="J487" s="3">
        <f>1.911</f>
        <v>1.911</v>
      </c>
      <c r="K487" s="3"/>
      <c r="L487" s="3"/>
      <c r="T487" s="3">
        <f>($F$38)*($F$39)*($C$19/2)</f>
        <v>24.586312499999998</v>
      </c>
      <c r="U487" s="3">
        <f t="shared" si="151"/>
        <v>826.1001</v>
      </c>
      <c r="V487" s="3">
        <f t="shared" si="152"/>
        <v>1261.3387460145786</v>
      </c>
      <c r="W487" s="3">
        <f t="shared" si="150"/>
        <v>3.7901190361100685</v>
      </c>
      <c r="X487" s="3">
        <f t="shared" si="153"/>
        <v>28.623930148383664</v>
      </c>
      <c r="AB487" s="3">
        <f>0.19</f>
        <v>0.19</v>
      </c>
      <c r="AC487" s="3">
        <v>5</v>
      </c>
      <c r="AD487" s="3" t="s">
        <v>33</v>
      </c>
    </row>
    <row r="488" spans="2:30">
      <c r="B488" s="3">
        <f>($F$38)*($F$39)*($C$33/2)</f>
        <v>59.007149999999996</v>
      </c>
      <c r="C488" s="3">
        <f t="shared" si="154"/>
        <v>1982.6402399999999</v>
      </c>
      <c r="D488" s="3">
        <f t="shared" si="148"/>
        <v>2417.8788860145787</v>
      </c>
      <c r="E488" s="3">
        <f t="shared" si="146"/>
        <v>7.2740119821111513</v>
      </c>
      <c r="F488" s="3">
        <f t="shared" si="149"/>
        <v>119.95794982683897</v>
      </c>
      <c r="J488" s="3">
        <f>2.081</f>
        <v>2.081</v>
      </c>
      <c r="K488" s="3"/>
      <c r="L488" s="3"/>
      <c r="T488" s="3">
        <f>($F$38)*($F$39)*($C$20/2)</f>
        <v>27.044943749999998</v>
      </c>
      <c r="U488" s="3">
        <f t="shared" si="151"/>
        <v>908.71010999999999</v>
      </c>
      <c r="V488" s="3">
        <f t="shared" si="152"/>
        <v>1343.9487560145787</v>
      </c>
      <c r="W488" s="3">
        <f t="shared" si="150"/>
        <v>4.0383487622352225</v>
      </c>
      <c r="X488" s="3">
        <f t="shared" si="153"/>
        <v>32.496097518245442</v>
      </c>
      <c r="AB488" s="3">
        <f>0.23</f>
        <v>0.23</v>
      </c>
      <c r="AC488" s="3">
        <v>5.5</v>
      </c>
      <c r="AD488" s="3" t="s">
        <v>33</v>
      </c>
    </row>
    <row r="489" spans="2:30">
      <c r="B489" s="3">
        <f>($F$38)*($F$39)*($C$34/2)</f>
        <v>0</v>
      </c>
      <c r="C489" s="3">
        <f>$C$46*B489</f>
        <v>0</v>
      </c>
      <c r="D489" s="3">
        <f t="shared" si="148"/>
        <v>435.23864601457871</v>
      </c>
      <c r="E489" s="3">
        <f t="shared" si="146"/>
        <v>1.3093836686776008</v>
      </c>
      <c r="F489" s="3">
        <f t="shared" si="149"/>
        <v>3.887002771093961</v>
      </c>
      <c r="J489" s="29"/>
      <c r="K489" s="4"/>
      <c r="L489" s="30"/>
      <c r="T489" s="3">
        <f>($F$38)*($F$39)*($C$21/2)</f>
        <v>29.503574999999998</v>
      </c>
      <c r="U489" s="3">
        <f t="shared" si="151"/>
        <v>991.32011999999997</v>
      </c>
      <c r="V489" s="3">
        <f t="shared" si="152"/>
        <v>1426.5587660145786</v>
      </c>
      <c r="W489" s="3">
        <f t="shared" si="150"/>
        <v>4.2865784883603748</v>
      </c>
      <c r="X489" s="3">
        <f t="shared" si="153"/>
        <v>36.613826873029645</v>
      </c>
      <c r="AB489" s="3">
        <f>0.274</f>
        <v>0.27400000000000002</v>
      </c>
      <c r="AC489" s="3">
        <v>6</v>
      </c>
      <c r="AD489" s="3" t="s">
        <v>33</v>
      </c>
    </row>
    <row r="490" spans="2:30">
      <c r="B490" s="29"/>
      <c r="C490" s="4"/>
      <c r="D490" s="4"/>
      <c r="E490" s="4"/>
      <c r="F490" s="30"/>
      <c r="J490" s="29"/>
      <c r="K490" s="4"/>
      <c r="L490" s="30"/>
      <c r="T490" s="3">
        <f>($F$38)*($F$39)*($C$22/2)</f>
        <v>31.962206249999998</v>
      </c>
      <c r="U490" s="3">
        <f t="shared" si="151"/>
        <v>1073.93013</v>
      </c>
      <c r="V490" s="3">
        <f t="shared" si="152"/>
        <v>1509.1687760145787</v>
      </c>
      <c r="W490" s="3">
        <f t="shared" si="150"/>
        <v>4.5348082144855288</v>
      </c>
      <c r="X490" s="3">
        <f t="shared" si="153"/>
        <v>40.977118212736315</v>
      </c>
      <c r="AB490" s="3">
        <f>0.322</f>
        <v>0.32200000000000001</v>
      </c>
      <c r="AC490" s="3">
        <v>6.5</v>
      </c>
      <c r="AD490" s="3" t="s">
        <v>33</v>
      </c>
    </row>
    <row r="491" spans="2:30">
      <c r="B491" s="29" t="s">
        <v>146</v>
      </c>
      <c r="C491" s="4"/>
      <c r="D491" s="4"/>
      <c r="E491" s="4"/>
      <c r="F491" s="30"/>
      <c r="J491" s="29" t="s">
        <v>147</v>
      </c>
      <c r="K491" s="4"/>
      <c r="L491" s="30"/>
      <c r="T491" s="3">
        <f>($F$38)*($F$39)*($C$23/2)</f>
        <v>34.420837499999998</v>
      </c>
      <c r="U491" s="3">
        <f>$C$46*T491</f>
        <v>1156.5401400000001</v>
      </c>
      <c r="V491" s="3">
        <f t="shared" si="152"/>
        <v>1591.7787860145788</v>
      </c>
      <c r="W491" s="3">
        <f t="shared" si="150"/>
        <v>4.783037940610682</v>
      </c>
      <c r="X491" s="3">
        <f t="shared" si="153"/>
        <v>45.58597153736541</v>
      </c>
      <c r="AB491" s="3">
        <f>0.373</f>
        <v>0.373</v>
      </c>
      <c r="AC491" s="3">
        <v>7</v>
      </c>
      <c r="AD491" s="3" t="s">
        <v>33</v>
      </c>
    </row>
    <row r="492" spans="2:30">
      <c r="B492" s="45" t="s">
        <v>75</v>
      </c>
      <c r="C492" s="45" t="s">
        <v>76</v>
      </c>
      <c r="D492" s="45" t="s">
        <v>77</v>
      </c>
      <c r="E492" s="45" t="s">
        <v>78</v>
      </c>
      <c r="F492" s="45" t="s">
        <v>32</v>
      </c>
      <c r="J492" s="45" t="s">
        <v>32</v>
      </c>
      <c r="K492" s="3"/>
      <c r="L492" s="3"/>
      <c r="T492" s="3">
        <f>($F$38)*($F$39)*($C$24/2)</f>
        <v>36.879468750000001</v>
      </c>
      <c r="U492" s="3">
        <f t="shared" ref="U492:U501" si="155">$C$46*T492</f>
        <v>1239.1501500000002</v>
      </c>
      <c r="V492" s="3">
        <f t="shared" si="152"/>
        <v>1674.3887960145789</v>
      </c>
      <c r="W492" s="3">
        <f t="shared" si="150"/>
        <v>5.031267666735836</v>
      </c>
      <c r="X492" s="3">
        <f t="shared" si="153"/>
        <v>50.440386846916958</v>
      </c>
      <c r="AB492" s="3">
        <f>0.428</f>
        <v>0.42799999999999999</v>
      </c>
      <c r="AC492" s="3">
        <v>7.5</v>
      </c>
      <c r="AD492" s="3" t="s">
        <v>33</v>
      </c>
    </row>
    <row r="493" spans="2:30">
      <c r="B493" s="3">
        <f>($F$38)*($F$39)*($C$9/2)</f>
        <v>0</v>
      </c>
      <c r="C493" s="3">
        <f>$C$46*B493</f>
        <v>0</v>
      </c>
      <c r="D493" s="3">
        <f>C493+($C$50*$C$52)</f>
        <v>435.23864601457871</v>
      </c>
      <c r="E493" s="3">
        <f t="shared" ref="E493:E518" si="156">(D493)/($C$48+((($F$40)*($C$52))*$F$24)-(($C$49+$C$50)*$F$24^2))</f>
        <v>1.3078217748585359</v>
      </c>
      <c r="F493" s="3">
        <f>($F$24*E493)*($F$24*E493*$C$52)/2</f>
        <v>3.408165620500248</v>
      </c>
      <c r="J493" s="3">
        <v>0</v>
      </c>
      <c r="K493" s="3"/>
      <c r="L493" s="3"/>
      <c r="T493" s="3">
        <f>($F$38)*($F$39)*($C$25/2)</f>
        <v>39.338099999999997</v>
      </c>
      <c r="U493" s="3">
        <f t="shared" si="155"/>
        <v>1321.76016</v>
      </c>
      <c r="V493" s="3">
        <f t="shared" si="152"/>
        <v>1756.9988060145788</v>
      </c>
      <c r="W493" s="3">
        <f t="shared" si="150"/>
        <v>5.2794973928609892</v>
      </c>
      <c r="X493" s="3">
        <f t="shared" si="153"/>
        <v>55.540364141390938</v>
      </c>
      <c r="AB493" s="3">
        <f>0.487</f>
        <v>0.48699999999999999</v>
      </c>
      <c r="AC493" s="3">
        <v>8</v>
      </c>
      <c r="AD493" s="3" t="s">
        <v>33</v>
      </c>
    </row>
    <row r="494" spans="2:30">
      <c r="B494" s="3">
        <f>($F$38)*($F$39)*($C$10/2)</f>
        <v>2.4586312499999998</v>
      </c>
      <c r="C494" s="3">
        <f t="shared" ref="C494:C506" si="157">$C$46*B494</f>
        <v>82.610010000000003</v>
      </c>
      <c r="D494" s="3">
        <f t="shared" ref="D494:D518" si="158">C494+($C$50*$C$52)</f>
        <v>517.84865601457875</v>
      </c>
      <c r="E494" s="3">
        <f t="shared" si="156"/>
        <v>1.5560515009836895</v>
      </c>
      <c r="F494" s="3">
        <f t="shared" ref="F494:F518" si="159">($F$24*E494)*($F$24*E494*$C$52)/2</f>
        <v>4.8247131411376056</v>
      </c>
      <c r="J494" s="3">
        <f>0.002</f>
        <v>2E-3</v>
      </c>
      <c r="K494" s="3"/>
      <c r="L494" s="3"/>
      <c r="T494" s="3">
        <f>($F$38)*($F$39)*($C$26/2)</f>
        <v>41.796731249999993</v>
      </c>
      <c r="U494" s="3">
        <f t="shared" si="155"/>
        <v>1404.3701699999999</v>
      </c>
      <c r="V494" s="3">
        <f t="shared" si="152"/>
        <v>1839.6088160145787</v>
      </c>
      <c r="W494" s="3">
        <f t="shared" si="150"/>
        <v>5.5277271189861414</v>
      </c>
      <c r="X494" s="3">
        <f t="shared" si="153"/>
        <v>60.885903420787336</v>
      </c>
      <c r="AB494" s="3">
        <f>0.55</f>
        <v>0.55000000000000004</v>
      </c>
      <c r="AC494" s="3">
        <v>8.5</v>
      </c>
      <c r="AD494" s="3" t="s">
        <v>33</v>
      </c>
    </row>
    <row r="495" spans="2:30">
      <c r="B495" s="3">
        <f>($F$38)*($F$39)*($C$11/2)</f>
        <v>4.9172624999999996</v>
      </c>
      <c r="C495" s="3">
        <f t="shared" si="157"/>
        <v>165.22002000000001</v>
      </c>
      <c r="D495" s="3">
        <f t="shared" si="158"/>
        <v>600.45866601457874</v>
      </c>
      <c r="E495" s="3">
        <f t="shared" si="156"/>
        <v>1.8042812271088426</v>
      </c>
      <c r="F495" s="3">
        <f t="shared" si="159"/>
        <v>6.4868226466974024</v>
      </c>
      <c r="J495" s="3">
        <f>0.008</f>
        <v>8.0000000000000002E-3</v>
      </c>
      <c r="K495" s="3"/>
      <c r="L495" s="3"/>
      <c r="T495" s="3">
        <f>($F$38)*($F$39)*($C$27/2)</f>
        <v>44.255362499999997</v>
      </c>
      <c r="U495" s="3">
        <f t="shared" si="155"/>
        <v>1486.98018</v>
      </c>
      <c r="V495" s="3">
        <f t="shared" si="152"/>
        <v>1922.2188260145788</v>
      </c>
      <c r="W495" s="3">
        <f t="shared" si="150"/>
        <v>5.7759568451112955</v>
      </c>
      <c r="X495" s="3">
        <f t="shared" si="153"/>
        <v>66.477004685106195</v>
      </c>
      <c r="AB495" s="3">
        <f>0.617</f>
        <v>0.61699999999999999</v>
      </c>
      <c r="AC495" s="3">
        <v>9</v>
      </c>
      <c r="AD495" s="3" t="s">
        <v>33</v>
      </c>
    </row>
    <row r="496" spans="2:30">
      <c r="B496" s="3">
        <f>($F$38)*($F$39)*($C$12/2)</f>
        <v>7.3758937499999995</v>
      </c>
      <c r="C496" s="3">
        <f t="shared" si="157"/>
        <v>247.83002999999999</v>
      </c>
      <c r="D496" s="3">
        <f t="shared" si="158"/>
        <v>683.06867601457873</v>
      </c>
      <c r="E496" s="3">
        <f t="shared" si="156"/>
        <v>2.052510953233996</v>
      </c>
      <c r="F496" s="3">
        <f t="shared" si="159"/>
        <v>8.39449413717964</v>
      </c>
      <c r="J496" s="3">
        <f>0.017</f>
        <v>1.7000000000000001E-2</v>
      </c>
      <c r="K496" s="3"/>
      <c r="L496" s="3"/>
      <c r="T496" s="3">
        <f>($F$38)*($F$39)*($C$28/2)</f>
        <v>46.71399375</v>
      </c>
      <c r="U496" s="3">
        <f t="shared" si="155"/>
        <v>1569.5901900000001</v>
      </c>
      <c r="V496" s="3">
        <f t="shared" si="152"/>
        <v>2004.8288360145789</v>
      </c>
      <c r="W496" s="3">
        <f t="shared" si="150"/>
        <v>6.0241865712364486</v>
      </c>
      <c r="X496" s="3">
        <f t="shared" si="153"/>
        <v>72.313667934347507</v>
      </c>
      <c r="AB496" s="3">
        <f>0.687</f>
        <v>0.68700000000000006</v>
      </c>
      <c r="AC496" s="3">
        <v>9.5</v>
      </c>
      <c r="AD496" s="3" t="s">
        <v>33</v>
      </c>
    </row>
    <row r="497" spans="2:30">
      <c r="B497" s="3">
        <f>($F$38)*($F$39)*($C$13/2)</f>
        <v>9.8345249999999993</v>
      </c>
      <c r="C497" s="3">
        <f t="shared" si="157"/>
        <v>330.44004000000001</v>
      </c>
      <c r="D497" s="3">
        <f t="shared" si="158"/>
        <v>765.67868601457872</v>
      </c>
      <c r="E497" s="3">
        <f t="shared" si="156"/>
        <v>2.3007406793591492</v>
      </c>
      <c r="F497" s="3">
        <f t="shared" si="159"/>
        <v>10.547727612584321</v>
      </c>
      <c r="J497" s="3">
        <f>0.03</f>
        <v>0.03</v>
      </c>
      <c r="K497" s="3"/>
      <c r="L497" s="3"/>
      <c r="T497" s="3">
        <f>($F$38)*($F$39)*($C$29/2)</f>
        <v>49.172624999999996</v>
      </c>
      <c r="U497" s="3">
        <f t="shared" si="155"/>
        <v>1652.2002</v>
      </c>
      <c r="V497" s="3">
        <f t="shared" si="152"/>
        <v>2087.4388460145788</v>
      </c>
      <c r="W497" s="3">
        <f t="shared" si="150"/>
        <v>6.2724162973616018</v>
      </c>
      <c r="X497" s="3">
        <f t="shared" si="153"/>
        <v>78.39589316851125</v>
      </c>
      <c r="AB497" s="3">
        <f>0.761</f>
        <v>0.76100000000000001</v>
      </c>
      <c r="AC497" s="3">
        <v>10</v>
      </c>
      <c r="AD497" s="3" t="s">
        <v>33</v>
      </c>
    </row>
    <row r="498" spans="2:30">
      <c r="B498" s="3">
        <f>($F$38)*($F$39)*($C$14/2)</f>
        <v>12.293156249999999</v>
      </c>
      <c r="C498" s="3">
        <f t="shared" si="157"/>
        <v>413.05005</v>
      </c>
      <c r="D498" s="3">
        <f t="shared" si="158"/>
        <v>848.2886960145787</v>
      </c>
      <c r="E498" s="3">
        <f t="shared" si="156"/>
        <v>2.5489704054843023</v>
      </c>
      <c r="F498" s="3">
        <f t="shared" si="159"/>
        <v>12.946523072911441</v>
      </c>
      <c r="J498" s="3">
        <f>0.048</f>
        <v>4.8000000000000001E-2</v>
      </c>
      <c r="K498" s="3"/>
      <c r="L498" s="3"/>
      <c r="T498" s="3">
        <f>($F$38)*($F$39)*($C$30/2)</f>
        <v>51.631256249999993</v>
      </c>
      <c r="U498" s="3">
        <f t="shared" si="155"/>
        <v>1734.8102099999999</v>
      </c>
      <c r="V498" s="3">
        <f t="shared" si="152"/>
        <v>2170.0488560145786</v>
      </c>
      <c r="W498" s="3">
        <f t="shared" si="150"/>
        <v>6.5206460234867549</v>
      </c>
      <c r="X498" s="3">
        <f t="shared" si="153"/>
        <v>84.723680387597426</v>
      </c>
      <c r="AB498" s="3">
        <f>0.839</f>
        <v>0.83899999999999997</v>
      </c>
      <c r="AC498" s="3">
        <v>10.5</v>
      </c>
      <c r="AD498" s="3" t="s">
        <v>33</v>
      </c>
    </row>
    <row r="499" spans="2:30">
      <c r="B499" s="3">
        <f>($F$38)*($F$39)*($C$15/2)</f>
        <v>14.751787499999999</v>
      </c>
      <c r="C499" s="3">
        <f t="shared" si="157"/>
        <v>495.66005999999999</v>
      </c>
      <c r="D499" s="3">
        <f t="shared" si="158"/>
        <v>930.89870601457869</v>
      </c>
      <c r="E499" s="3">
        <f t="shared" si="156"/>
        <v>2.7972001316094555</v>
      </c>
      <c r="F499" s="3">
        <f t="shared" si="159"/>
        <v>15.590880518161004</v>
      </c>
      <c r="J499" s="3">
        <f>0.069</f>
        <v>6.9000000000000006E-2</v>
      </c>
      <c r="K499" s="3"/>
      <c r="L499" s="3"/>
      <c r="T499" s="3">
        <f>($F$38)*($F$39)*($C$31/2)</f>
        <v>54.089887499999996</v>
      </c>
      <c r="U499" s="3">
        <f t="shared" si="155"/>
        <v>1817.42022</v>
      </c>
      <c r="V499" s="3">
        <f t="shared" si="152"/>
        <v>2252.6588660145785</v>
      </c>
      <c r="W499" s="3">
        <f t="shared" si="150"/>
        <v>6.7688757496119072</v>
      </c>
      <c r="X499" s="3">
        <f t="shared" si="153"/>
        <v>91.297029591606019</v>
      </c>
      <c r="AB499" s="3">
        <f>0.921</f>
        <v>0.92100000000000004</v>
      </c>
      <c r="AC499" s="3">
        <v>11</v>
      </c>
      <c r="AD499" s="3" t="s">
        <v>33</v>
      </c>
    </row>
    <row r="500" spans="2:30">
      <c r="B500" s="3">
        <f>($F$38)*($F$39)*($C$16/2)</f>
        <v>17.210418749999999</v>
      </c>
      <c r="C500" s="3">
        <f t="shared" si="157"/>
        <v>578.27007000000003</v>
      </c>
      <c r="D500" s="3">
        <f t="shared" si="158"/>
        <v>1013.5087160145788</v>
      </c>
      <c r="E500" s="3">
        <f t="shared" si="156"/>
        <v>3.0454298577346091</v>
      </c>
      <c r="F500" s="3">
        <f t="shared" si="159"/>
        <v>18.480799948333011</v>
      </c>
      <c r="J500" s="3">
        <f>0.093</f>
        <v>9.2999999999999999E-2</v>
      </c>
      <c r="K500" s="3"/>
      <c r="L500" s="3"/>
      <c r="T500" s="3">
        <f>($F$38)*($F$39)*($C$32/2)</f>
        <v>56.548518749999999</v>
      </c>
      <c r="U500" s="3">
        <f t="shared" si="155"/>
        <v>1900.0302300000001</v>
      </c>
      <c r="V500" s="3">
        <f t="shared" si="152"/>
        <v>2335.2688760145788</v>
      </c>
      <c r="W500" s="3">
        <f t="shared" si="150"/>
        <v>7.0171054757370621</v>
      </c>
      <c r="X500" s="3">
        <f t="shared" si="153"/>
        <v>98.11594078053713</v>
      </c>
      <c r="AB500" s="3">
        <f>1.007</f>
        <v>1.0069999999999999</v>
      </c>
      <c r="AC500" s="3">
        <v>11.5</v>
      </c>
      <c r="AD500" s="3" t="s">
        <v>33</v>
      </c>
    </row>
    <row r="501" spans="2:30">
      <c r="B501" s="3">
        <f>($F$38)*($F$39)*($C$17/2)</f>
        <v>19.669049999999999</v>
      </c>
      <c r="C501" s="3">
        <f t="shared" si="157"/>
        <v>660.88008000000002</v>
      </c>
      <c r="D501" s="3">
        <f t="shared" si="158"/>
        <v>1096.1187260145787</v>
      </c>
      <c r="E501" s="3">
        <f t="shared" si="156"/>
        <v>3.2936595838597622</v>
      </c>
      <c r="F501" s="3">
        <f t="shared" si="159"/>
        <v>21.616281363427454</v>
      </c>
      <c r="J501" s="3">
        <f>0.122</f>
        <v>0.122</v>
      </c>
      <c r="K501" s="3"/>
      <c r="L501" s="3"/>
      <c r="T501" s="3">
        <f>($F$38)*($F$39)*($C$33/2)</f>
        <v>59.007149999999996</v>
      </c>
      <c r="U501" s="3">
        <f t="shared" si="155"/>
        <v>1982.6402399999999</v>
      </c>
      <c r="V501" s="3">
        <f t="shared" si="152"/>
        <v>2417.8788860145787</v>
      </c>
      <c r="W501" s="3">
        <f t="shared" si="150"/>
        <v>7.2653352018622144</v>
      </c>
      <c r="X501" s="3">
        <f t="shared" si="153"/>
        <v>105.1804139543906</v>
      </c>
      <c r="AB501" s="3">
        <f>1.096</f>
        <v>1.0960000000000001</v>
      </c>
      <c r="AC501" s="3">
        <v>12</v>
      </c>
      <c r="AD501" s="3" t="s">
        <v>33</v>
      </c>
    </row>
    <row r="502" spans="2:30">
      <c r="B502" s="3">
        <f>($F$38)*($F$39)*($C$18/2)</f>
        <v>22.127681249999998</v>
      </c>
      <c r="C502" s="3">
        <f t="shared" si="157"/>
        <v>743.49009000000001</v>
      </c>
      <c r="D502" s="3">
        <f t="shared" si="158"/>
        <v>1178.7287360145788</v>
      </c>
      <c r="E502" s="3">
        <f t="shared" si="156"/>
        <v>3.5418893099849158</v>
      </c>
      <c r="F502" s="3">
        <f t="shared" si="159"/>
        <v>24.997324763444343</v>
      </c>
      <c r="J502" s="3">
        <f>1.154</f>
        <v>1.1539999999999999</v>
      </c>
      <c r="K502" s="3"/>
      <c r="L502" s="3"/>
      <c r="T502" s="3"/>
      <c r="U502" s="3"/>
      <c r="V502" s="3"/>
      <c r="W502" s="3"/>
      <c r="X502" s="3"/>
      <c r="AB502" s="29"/>
      <c r="AC502" s="4"/>
      <c r="AD502" s="30"/>
    </row>
    <row r="503" spans="2:30">
      <c r="B503" s="3">
        <f>($F$38)*($F$39)*($C$19/2)</f>
        <v>24.586312499999998</v>
      </c>
      <c r="C503" s="3">
        <f t="shared" si="157"/>
        <v>826.1001</v>
      </c>
      <c r="D503" s="3">
        <f t="shared" si="158"/>
        <v>1261.3387460145786</v>
      </c>
      <c r="E503" s="3">
        <f t="shared" si="156"/>
        <v>3.7901190361100685</v>
      </c>
      <c r="F503" s="3">
        <f t="shared" si="159"/>
        <v>28.623930148383664</v>
      </c>
      <c r="J503" s="3">
        <f>0.19</f>
        <v>0.19</v>
      </c>
      <c r="K503" s="3"/>
      <c r="L503" s="3"/>
      <c r="T503" s="29"/>
      <c r="U503" s="4"/>
      <c r="V503" s="4"/>
      <c r="W503" s="4"/>
      <c r="X503" s="30"/>
      <c r="AB503" s="29"/>
      <c r="AC503" s="4"/>
      <c r="AD503" s="30"/>
    </row>
    <row r="504" spans="2:30">
      <c r="B504" s="3">
        <f>($F$38)*($F$39)*($C$20/2)</f>
        <v>27.044943749999998</v>
      </c>
      <c r="C504" s="3">
        <f t="shared" si="157"/>
        <v>908.71010999999999</v>
      </c>
      <c r="D504" s="3">
        <f t="shared" si="158"/>
        <v>1343.9487560145787</v>
      </c>
      <c r="E504" s="3">
        <f t="shared" si="156"/>
        <v>4.0383487622352225</v>
      </c>
      <c r="F504" s="3">
        <f t="shared" si="159"/>
        <v>32.496097518245442</v>
      </c>
      <c r="J504" s="3">
        <f>0.23</f>
        <v>0.23</v>
      </c>
      <c r="K504" s="3">
        <v>5.5</v>
      </c>
      <c r="L504" s="3" t="s">
        <v>33</v>
      </c>
      <c r="T504" s="29" t="s">
        <v>148</v>
      </c>
      <c r="U504" s="4"/>
      <c r="V504" s="4"/>
      <c r="W504" s="4"/>
      <c r="X504" s="30"/>
      <c r="AB504" s="29" t="s">
        <v>149</v>
      </c>
      <c r="AC504" s="4"/>
      <c r="AD504" s="30"/>
    </row>
    <row r="505" spans="2:30">
      <c r="B505" s="3">
        <f>($F$38)*($F$39)*($C$21/2)</f>
        <v>29.503574999999998</v>
      </c>
      <c r="C505" s="3">
        <f t="shared" si="157"/>
        <v>991.32011999999997</v>
      </c>
      <c r="D505" s="3">
        <f t="shared" si="158"/>
        <v>1426.5587660145786</v>
      </c>
      <c r="E505" s="3">
        <f t="shared" si="156"/>
        <v>4.2865784883603748</v>
      </c>
      <c r="F505" s="3">
        <f t="shared" si="159"/>
        <v>36.613826873029645</v>
      </c>
      <c r="J505" s="3">
        <f>0.274</f>
        <v>0.27400000000000002</v>
      </c>
      <c r="K505" s="3"/>
      <c r="L505" s="3"/>
      <c r="T505" s="45" t="s">
        <v>75</v>
      </c>
      <c r="U505" s="45" t="s">
        <v>76</v>
      </c>
      <c r="V505" s="45" t="s">
        <v>77</v>
      </c>
      <c r="W505" s="45" t="s">
        <v>78</v>
      </c>
      <c r="X505" s="45" t="s">
        <v>32</v>
      </c>
      <c r="AB505" s="45" t="s">
        <v>32</v>
      </c>
      <c r="AC505" s="3"/>
      <c r="AD505" s="3"/>
    </row>
    <row r="506" spans="2:30">
      <c r="B506" s="3">
        <f>($F$38)*($F$39)*($C$22/2)</f>
        <v>31.962206249999998</v>
      </c>
      <c r="C506" s="3">
        <f t="shared" si="157"/>
        <v>1073.93013</v>
      </c>
      <c r="D506" s="3">
        <f t="shared" si="158"/>
        <v>1509.1687760145787</v>
      </c>
      <c r="E506" s="3">
        <f t="shared" si="156"/>
        <v>4.5348082144855288</v>
      </c>
      <c r="F506" s="3">
        <f t="shared" si="159"/>
        <v>40.977118212736315</v>
      </c>
      <c r="J506" s="3">
        <f>0.322</f>
        <v>0.32200000000000001</v>
      </c>
      <c r="K506" s="3"/>
      <c r="L506" s="3"/>
      <c r="T506" s="3">
        <f>($F$38)*($F$39)*($C$9/2)</f>
        <v>0</v>
      </c>
      <c r="U506" s="3">
        <f>$C$46*T506</f>
        <v>0</v>
      </c>
      <c r="V506" s="3">
        <f>U506+($C$50*$C$52)</f>
        <v>435.23864601457871</v>
      </c>
      <c r="W506" s="3">
        <f t="shared" ref="W506:W530" si="160">(V506)/($C$48+((($F$40)*($C$52))*$F$25)-(($C$49+$C$50)*$F$25^2))</f>
        <v>1.306672317884092</v>
      </c>
      <c r="X506" s="3">
        <f>($F$25*W506)*($F$25*W506*$C$52)/2</f>
        <v>3.0136934001421434</v>
      </c>
      <c r="AB506" s="3">
        <v>0</v>
      </c>
      <c r="AC506" s="3">
        <v>0</v>
      </c>
      <c r="AD506" s="3" t="s">
        <v>33</v>
      </c>
    </row>
    <row r="507" spans="2:30">
      <c r="B507" s="3">
        <f>($F$38)*($F$39)*($C$23/2)</f>
        <v>34.420837499999998</v>
      </c>
      <c r="C507" s="3">
        <f>$C$46*B507</f>
        <v>1156.5401400000001</v>
      </c>
      <c r="D507" s="3">
        <f t="shared" si="158"/>
        <v>1591.7787860145788</v>
      </c>
      <c r="E507" s="3">
        <f t="shared" si="156"/>
        <v>4.783037940610682</v>
      </c>
      <c r="F507" s="3">
        <f t="shared" si="159"/>
        <v>45.58597153736541</v>
      </c>
      <c r="J507" s="3">
        <f>0.373</f>
        <v>0.373</v>
      </c>
      <c r="K507" s="3"/>
      <c r="L507" s="3"/>
      <c r="T507" s="3">
        <f>($F$38)*($F$39)*($C$10/2)</f>
        <v>2.4586312499999998</v>
      </c>
      <c r="U507" s="3">
        <f t="shared" ref="U507:U519" si="161">$C$46*T507</f>
        <v>82.610010000000003</v>
      </c>
      <c r="V507" s="3">
        <f t="shared" ref="V507:V530" si="162">U507+($C$50*$C$52)</f>
        <v>517.84865601457875</v>
      </c>
      <c r="W507" s="3">
        <f t="shared" si="160"/>
        <v>1.5546838725462495</v>
      </c>
      <c r="X507" s="3">
        <f t="shared" ref="X507:X530" si="163">($F$25*W507)*($F$25*W507*$C$52)/2</f>
        <v>4.2662850841419102</v>
      </c>
      <c r="AB507" s="3">
        <f>0.001</f>
        <v>1E-3</v>
      </c>
      <c r="AC507" s="3">
        <v>0.5</v>
      </c>
      <c r="AD507" s="3" t="s">
        <v>33</v>
      </c>
    </row>
    <row r="508" spans="2:30">
      <c r="B508" s="3">
        <f>($F$38)*($F$39)*($C$24/2)</f>
        <v>36.879468750000001</v>
      </c>
      <c r="C508" s="3">
        <f t="shared" ref="C508:C517" si="164">$C$46*B508</f>
        <v>1239.1501500000002</v>
      </c>
      <c r="D508" s="3">
        <f t="shared" si="158"/>
        <v>1674.3887960145789</v>
      </c>
      <c r="E508" s="3">
        <f t="shared" si="156"/>
        <v>5.031267666735836</v>
      </c>
      <c r="F508" s="3">
        <f t="shared" si="159"/>
        <v>50.440386846916958</v>
      </c>
      <c r="J508" s="3">
        <f>0.428</f>
        <v>0.42799999999999999</v>
      </c>
      <c r="K508" s="3"/>
      <c r="L508" s="3"/>
      <c r="T508" s="3">
        <f>($F$38)*($F$39)*($C$11/2)</f>
        <v>4.9172624999999996</v>
      </c>
      <c r="U508" s="3">
        <f t="shared" si="161"/>
        <v>165.22002000000001</v>
      </c>
      <c r="V508" s="3">
        <f t="shared" si="162"/>
        <v>600.45866601457874</v>
      </c>
      <c r="W508" s="3">
        <f t="shared" si="160"/>
        <v>1.8026954272084068</v>
      </c>
      <c r="X508" s="3">
        <f t="shared" si="163"/>
        <v>5.7360166068969152</v>
      </c>
      <c r="AB508" s="3">
        <f>0.004</f>
        <v>4.0000000000000001E-3</v>
      </c>
      <c r="AC508" s="3">
        <v>1</v>
      </c>
      <c r="AD508" s="3" t="s">
        <v>33</v>
      </c>
    </row>
    <row r="509" spans="2:30">
      <c r="B509" s="3">
        <f>($F$38)*($F$39)*($C$25/2)</f>
        <v>39.338099999999997</v>
      </c>
      <c r="C509" s="3">
        <f t="shared" si="164"/>
        <v>1321.76016</v>
      </c>
      <c r="D509" s="3">
        <f t="shared" si="158"/>
        <v>1756.9988060145788</v>
      </c>
      <c r="E509" s="3">
        <f t="shared" si="156"/>
        <v>5.2794973928609892</v>
      </c>
      <c r="F509" s="3">
        <f t="shared" si="159"/>
        <v>55.540364141390938</v>
      </c>
      <c r="J509" s="3">
        <f>0.487</f>
        <v>0.48699999999999999</v>
      </c>
      <c r="K509" s="3"/>
      <c r="L509" s="3"/>
      <c r="T509" s="3">
        <f>($F$38)*($F$39)*($C$12/2)</f>
        <v>7.3758937499999995</v>
      </c>
      <c r="U509" s="3">
        <f t="shared" si="161"/>
        <v>247.83002999999999</v>
      </c>
      <c r="V509" s="3">
        <f t="shared" si="162"/>
        <v>683.06867601457873</v>
      </c>
      <c r="W509" s="3">
        <f t="shared" si="160"/>
        <v>2.0507069818705639</v>
      </c>
      <c r="X509" s="3">
        <f t="shared" si="163"/>
        <v>7.4228879684071547</v>
      </c>
      <c r="AB509" s="3">
        <f>0.009</f>
        <v>8.9999999999999993E-3</v>
      </c>
      <c r="AC509" s="3">
        <v>1.5</v>
      </c>
      <c r="AD509" s="3" t="s">
        <v>33</v>
      </c>
    </row>
    <row r="510" spans="2:30">
      <c r="B510" s="3">
        <f>($F$38)*($F$39)*($C$26/2)</f>
        <v>41.796731249999993</v>
      </c>
      <c r="C510" s="3">
        <f t="shared" si="164"/>
        <v>1404.3701699999999</v>
      </c>
      <c r="D510" s="3">
        <f t="shared" si="158"/>
        <v>1839.6088160145787</v>
      </c>
      <c r="E510" s="3">
        <f t="shared" si="156"/>
        <v>5.5277271189861414</v>
      </c>
      <c r="F510" s="3">
        <f t="shared" si="159"/>
        <v>60.885903420787336</v>
      </c>
      <c r="J510" s="3">
        <f>0.55</f>
        <v>0.55000000000000004</v>
      </c>
      <c r="K510" s="3"/>
      <c r="L510" s="3"/>
      <c r="T510" s="3">
        <f>($F$38)*($F$39)*($C$13/2)</f>
        <v>9.8345249999999993</v>
      </c>
      <c r="U510" s="3">
        <f t="shared" si="161"/>
        <v>330.44004000000001</v>
      </c>
      <c r="V510" s="3">
        <f t="shared" si="162"/>
        <v>765.67868601457872</v>
      </c>
      <c r="W510" s="3">
        <f t="shared" si="160"/>
        <v>2.2987185365327214</v>
      </c>
      <c r="X510" s="3">
        <f t="shared" si="163"/>
        <v>9.3268991686726341</v>
      </c>
      <c r="AB510" s="3">
        <f>0.017</f>
        <v>1.7000000000000001E-2</v>
      </c>
      <c r="AC510" s="3">
        <v>2</v>
      </c>
      <c r="AD510" s="3" t="s">
        <v>33</v>
      </c>
    </row>
    <row r="511" spans="2:30">
      <c r="B511" s="3">
        <f>($F$38)*($F$39)*($C$27/2)</f>
        <v>44.255362499999997</v>
      </c>
      <c r="C511" s="3">
        <f t="shared" si="164"/>
        <v>1486.98018</v>
      </c>
      <c r="D511" s="3">
        <f t="shared" si="158"/>
        <v>1922.2188260145788</v>
      </c>
      <c r="E511" s="3">
        <f t="shared" si="156"/>
        <v>5.7759568451112955</v>
      </c>
      <c r="F511" s="3">
        <f t="shared" si="159"/>
        <v>66.477004685106195</v>
      </c>
      <c r="J511" s="3">
        <f>0.617</f>
        <v>0.61699999999999999</v>
      </c>
      <c r="K511" s="3"/>
      <c r="L511" s="3"/>
      <c r="T511" s="3">
        <f>($F$38)*($F$39)*($C$14/2)</f>
        <v>12.293156249999999</v>
      </c>
      <c r="U511" s="3">
        <f t="shared" si="161"/>
        <v>413.05005</v>
      </c>
      <c r="V511" s="3">
        <f t="shared" si="162"/>
        <v>848.2886960145787</v>
      </c>
      <c r="W511" s="3">
        <f t="shared" si="160"/>
        <v>2.5467300911948785</v>
      </c>
      <c r="X511" s="3">
        <f t="shared" si="163"/>
        <v>11.448050207693347</v>
      </c>
      <c r="AB511" s="3">
        <f>0.026</f>
        <v>2.5999999999999999E-2</v>
      </c>
      <c r="AC511" s="3">
        <v>2.5</v>
      </c>
      <c r="AD511" s="3" t="s">
        <v>33</v>
      </c>
    </row>
    <row r="512" spans="2:30">
      <c r="B512" s="3">
        <f>($F$38)*($F$39)*($C$28/2)</f>
        <v>46.71399375</v>
      </c>
      <c r="C512" s="3">
        <f t="shared" si="164"/>
        <v>1569.5901900000001</v>
      </c>
      <c r="D512" s="3">
        <f t="shared" si="158"/>
        <v>2004.8288360145789</v>
      </c>
      <c r="E512" s="3">
        <f t="shared" si="156"/>
        <v>6.0241865712364486</v>
      </c>
      <c r="F512" s="3">
        <f t="shared" si="159"/>
        <v>72.313667934347507</v>
      </c>
      <c r="J512" s="3">
        <f>0.687</f>
        <v>0.68700000000000006</v>
      </c>
      <c r="K512" s="3"/>
      <c r="L512" s="3"/>
      <c r="T512" s="3">
        <f>($F$38)*($F$39)*($C$15/2)</f>
        <v>14.751787499999999</v>
      </c>
      <c r="U512" s="3">
        <f t="shared" si="161"/>
        <v>495.66005999999999</v>
      </c>
      <c r="V512" s="3">
        <f t="shared" si="162"/>
        <v>930.89870601457869</v>
      </c>
      <c r="W512" s="3">
        <f t="shared" si="160"/>
        <v>2.794741645857036</v>
      </c>
      <c r="X512" s="3">
        <f t="shared" si="163"/>
        <v>13.786341085469303</v>
      </c>
      <c r="AB512" s="3">
        <f>0.037</f>
        <v>3.6999999999999998E-2</v>
      </c>
      <c r="AC512" s="3">
        <v>3</v>
      </c>
      <c r="AD512" s="3" t="s">
        <v>33</v>
      </c>
    </row>
    <row r="513" spans="2:30">
      <c r="B513" s="3">
        <f>($F$38)*($F$39)*($C$29/2)</f>
        <v>49.172624999999996</v>
      </c>
      <c r="C513" s="3">
        <f t="shared" si="164"/>
        <v>1652.2002</v>
      </c>
      <c r="D513" s="3">
        <f t="shared" si="158"/>
        <v>2087.4388460145788</v>
      </c>
      <c r="E513" s="3">
        <f t="shared" si="156"/>
        <v>6.2724162973616018</v>
      </c>
      <c r="F513" s="3">
        <f t="shared" si="159"/>
        <v>78.39589316851125</v>
      </c>
      <c r="J513" s="3">
        <f>0.761</f>
        <v>0.76100000000000001</v>
      </c>
      <c r="K513" s="3"/>
      <c r="L513" s="3"/>
      <c r="T513" s="3">
        <f>($F$38)*($F$39)*($C$16/2)</f>
        <v>17.210418749999999</v>
      </c>
      <c r="U513" s="3">
        <f t="shared" si="161"/>
        <v>578.27007000000003</v>
      </c>
      <c r="V513" s="3">
        <f t="shared" si="162"/>
        <v>1013.5087160145788</v>
      </c>
      <c r="W513" s="3">
        <f t="shared" si="160"/>
        <v>3.0427532005191935</v>
      </c>
      <c r="X513" s="3">
        <f t="shared" si="163"/>
        <v>16.341771802000494</v>
      </c>
      <c r="AB513" s="3">
        <f>0.051</f>
        <v>5.0999999999999997E-2</v>
      </c>
      <c r="AC513" s="3">
        <v>3.5</v>
      </c>
      <c r="AD513" s="3" t="s">
        <v>33</v>
      </c>
    </row>
    <row r="514" spans="2:30">
      <c r="B514" s="3">
        <f>($F$38)*($F$39)*($C$30/2)</f>
        <v>51.631256249999993</v>
      </c>
      <c r="C514" s="3">
        <f t="shared" si="164"/>
        <v>1734.8102099999999</v>
      </c>
      <c r="D514" s="3">
        <f t="shared" si="158"/>
        <v>2170.0488560145786</v>
      </c>
      <c r="E514" s="3">
        <f t="shared" si="156"/>
        <v>6.5206460234867549</v>
      </c>
      <c r="F514" s="3">
        <f t="shared" si="159"/>
        <v>84.723680387597426</v>
      </c>
      <c r="J514" s="3">
        <f>0.839</f>
        <v>0.83899999999999997</v>
      </c>
      <c r="K514" s="3"/>
      <c r="L514" s="3"/>
      <c r="T514" s="3">
        <f>($F$38)*($F$39)*($C$17/2)</f>
        <v>19.669049999999999</v>
      </c>
      <c r="U514" s="3">
        <f t="shared" si="161"/>
        <v>660.88008000000002</v>
      </c>
      <c r="V514" s="3">
        <f t="shared" si="162"/>
        <v>1096.1187260145787</v>
      </c>
      <c r="W514" s="3">
        <f t="shared" si="160"/>
        <v>3.2907647551813506</v>
      </c>
      <c r="X514" s="3">
        <f t="shared" si="163"/>
        <v>19.114342357286915</v>
      </c>
      <c r="AB514" s="3">
        <f>0.067</f>
        <v>6.7000000000000004E-2</v>
      </c>
      <c r="AC514" s="3">
        <v>4</v>
      </c>
      <c r="AD514" s="3" t="s">
        <v>33</v>
      </c>
    </row>
    <row r="515" spans="2:30">
      <c r="B515" s="3">
        <f>($F$38)*($F$39)*($C$31/2)</f>
        <v>54.089887499999996</v>
      </c>
      <c r="C515" s="3">
        <f t="shared" si="164"/>
        <v>1817.42022</v>
      </c>
      <c r="D515" s="3">
        <f t="shared" si="158"/>
        <v>2252.6588660145785</v>
      </c>
      <c r="E515" s="3">
        <f t="shared" si="156"/>
        <v>6.7688757496119072</v>
      </c>
      <c r="F515" s="3">
        <f t="shared" si="159"/>
        <v>91.297029591606019</v>
      </c>
      <c r="J515" s="3">
        <f>0.921</f>
        <v>0.92100000000000004</v>
      </c>
      <c r="K515" s="3"/>
      <c r="L515" s="3"/>
      <c r="T515" s="3">
        <f>($F$38)*($F$39)*($C$18/2)</f>
        <v>22.127681249999998</v>
      </c>
      <c r="U515" s="3">
        <f t="shared" si="161"/>
        <v>743.49009000000001</v>
      </c>
      <c r="V515" s="3">
        <f t="shared" si="162"/>
        <v>1178.7287360145788</v>
      </c>
      <c r="W515" s="3">
        <f t="shared" si="160"/>
        <v>3.5387763098435081</v>
      </c>
      <c r="X515" s="3">
        <f t="shared" si="163"/>
        <v>22.104052751328584</v>
      </c>
      <c r="AB515" s="3">
        <f>0.084</f>
        <v>8.4000000000000005E-2</v>
      </c>
      <c r="AC515" s="3">
        <v>4.5</v>
      </c>
      <c r="AD515" s="3" t="s">
        <v>33</v>
      </c>
    </row>
    <row r="516" spans="2:30">
      <c r="B516" s="3">
        <f>($F$38)*($F$39)*($C$32/2)</f>
        <v>56.548518749999999</v>
      </c>
      <c r="C516" s="3">
        <f t="shared" si="164"/>
        <v>1900.0302300000001</v>
      </c>
      <c r="D516" s="3">
        <f t="shared" si="158"/>
        <v>2335.2688760145788</v>
      </c>
      <c r="E516" s="3">
        <f t="shared" si="156"/>
        <v>7.0171054757370621</v>
      </c>
      <c r="F516" s="3">
        <f t="shared" si="159"/>
        <v>98.11594078053713</v>
      </c>
      <c r="J516" s="3">
        <f>1.007</f>
        <v>1.0069999999999999</v>
      </c>
      <c r="K516" s="3"/>
      <c r="L516" s="3"/>
      <c r="T516" s="3">
        <f>($F$38)*($F$39)*($C$19/2)</f>
        <v>24.586312499999998</v>
      </c>
      <c r="U516" s="3">
        <f t="shared" si="161"/>
        <v>826.1001</v>
      </c>
      <c r="V516" s="3">
        <f t="shared" si="162"/>
        <v>1261.3387460145786</v>
      </c>
      <c r="W516" s="3">
        <f t="shared" si="160"/>
        <v>3.7867878645056652</v>
      </c>
      <c r="X516" s="3">
        <f t="shared" si="163"/>
        <v>25.31090298412548</v>
      </c>
      <c r="AB516" s="3">
        <f>0.104</f>
        <v>0.104</v>
      </c>
      <c r="AC516" s="3">
        <v>5</v>
      </c>
      <c r="AD516" s="3" t="s">
        <v>33</v>
      </c>
    </row>
    <row r="517" spans="2:30">
      <c r="B517" s="3">
        <f>($F$38)*($F$39)*($C$33/2)</f>
        <v>59.007149999999996</v>
      </c>
      <c r="C517" s="3">
        <f t="shared" si="164"/>
        <v>1982.6402399999999</v>
      </c>
      <c r="D517" s="3">
        <f t="shared" si="158"/>
        <v>2417.8788860145787</v>
      </c>
      <c r="E517" s="3">
        <f t="shared" si="156"/>
        <v>7.2653352018622144</v>
      </c>
      <c r="F517" s="3">
        <f t="shared" si="159"/>
        <v>105.1804139543906</v>
      </c>
      <c r="J517" s="3">
        <f>1.096</f>
        <v>1.0960000000000001</v>
      </c>
      <c r="K517" s="3"/>
      <c r="L517" s="3"/>
      <c r="T517" s="3">
        <f>($F$38)*($F$39)*($C$20/2)</f>
        <v>27.044943749999998</v>
      </c>
      <c r="U517" s="3">
        <f t="shared" si="161"/>
        <v>908.71010999999999</v>
      </c>
      <c r="V517" s="3">
        <f t="shared" si="162"/>
        <v>1343.9487560145787</v>
      </c>
      <c r="W517" s="3">
        <f t="shared" si="160"/>
        <v>4.0347994191678227</v>
      </c>
      <c r="X517" s="3">
        <f t="shared" si="163"/>
        <v>28.734893055677617</v>
      </c>
      <c r="AB517" s="3">
        <f>0.126</f>
        <v>0.126</v>
      </c>
      <c r="AC517" s="3">
        <v>5.5</v>
      </c>
      <c r="AD517" s="3" t="s">
        <v>33</v>
      </c>
    </row>
    <row r="518" spans="2:30">
      <c r="B518" s="3">
        <f>($F$38)*($F$39)*($C$34/2)</f>
        <v>0</v>
      </c>
      <c r="C518" s="3">
        <f>$C$46*B518</f>
        <v>0</v>
      </c>
      <c r="D518" s="3">
        <f t="shared" si="158"/>
        <v>435.23864601457871</v>
      </c>
      <c r="E518" s="3">
        <f t="shared" si="156"/>
        <v>1.3078217748585359</v>
      </c>
      <c r="F518" s="3">
        <f t="shared" si="159"/>
        <v>3.408165620500248</v>
      </c>
      <c r="J518" s="29"/>
      <c r="K518" s="4"/>
      <c r="L518" s="30"/>
      <c r="T518" s="3">
        <f>($F$38)*($F$39)*($C$21/2)</f>
        <v>29.503574999999998</v>
      </c>
      <c r="U518" s="3">
        <f t="shared" si="161"/>
        <v>991.32011999999997</v>
      </c>
      <c r="V518" s="3">
        <f t="shared" si="162"/>
        <v>1426.5587660145786</v>
      </c>
      <c r="W518" s="3">
        <f t="shared" si="160"/>
        <v>4.2828109738299798</v>
      </c>
      <c r="X518" s="3">
        <f t="shared" si="163"/>
        <v>32.376022965984994</v>
      </c>
      <c r="AB518" s="3">
        <f>0.15</f>
        <v>0.15</v>
      </c>
      <c r="AC518" s="3">
        <v>6</v>
      </c>
      <c r="AD518" s="3" t="s">
        <v>33</v>
      </c>
    </row>
    <row r="519" spans="2:30">
      <c r="B519" s="29"/>
      <c r="C519" s="4"/>
      <c r="D519" s="4"/>
      <c r="E519" s="4"/>
      <c r="F519" s="30"/>
      <c r="J519" s="29"/>
      <c r="K519" s="4"/>
      <c r="L519" s="30"/>
      <c r="T519" s="3">
        <f>($F$38)*($F$39)*($C$22/2)</f>
        <v>31.962206249999998</v>
      </c>
      <c r="U519" s="3">
        <f t="shared" si="161"/>
        <v>1073.93013</v>
      </c>
      <c r="V519" s="3">
        <f t="shared" si="162"/>
        <v>1509.1687760145787</v>
      </c>
      <c r="W519" s="3">
        <f t="shared" si="160"/>
        <v>4.5308225284921368</v>
      </c>
      <c r="X519" s="3">
        <f t="shared" si="163"/>
        <v>36.234292715047594</v>
      </c>
      <c r="AB519" s="3">
        <f>0.176</f>
        <v>0.17599999999999999</v>
      </c>
      <c r="AC519" s="3">
        <v>6.5</v>
      </c>
      <c r="AD519" s="3" t="s">
        <v>33</v>
      </c>
    </row>
    <row r="520" spans="2:30">
      <c r="B520" s="29" t="s">
        <v>148</v>
      </c>
      <c r="C520" s="4"/>
      <c r="D520" s="4"/>
      <c r="E520" s="4"/>
      <c r="F520" s="30"/>
      <c r="J520" s="29" t="s">
        <v>149</v>
      </c>
      <c r="K520" s="4"/>
      <c r="L520" s="30"/>
      <c r="T520" s="3">
        <f>($F$38)*($F$39)*($C$23/2)</f>
        <v>34.420837499999998</v>
      </c>
      <c r="U520" s="3">
        <f>$C$46*T520</f>
        <v>1156.5401400000001</v>
      </c>
      <c r="V520" s="3">
        <f t="shared" si="162"/>
        <v>1591.7787860145788</v>
      </c>
      <c r="W520" s="3">
        <f t="shared" si="160"/>
        <v>4.7788340831542948</v>
      </c>
      <c r="X520" s="3">
        <f t="shared" si="163"/>
        <v>40.30970230286546</v>
      </c>
      <c r="AB520" s="3">
        <f>0.204</f>
        <v>0.20399999999999999</v>
      </c>
      <c r="AC520" s="3">
        <v>7</v>
      </c>
      <c r="AD520" s="3" t="s">
        <v>33</v>
      </c>
    </row>
    <row r="521" spans="2:30">
      <c r="B521" s="45" t="s">
        <v>75</v>
      </c>
      <c r="C521" s="45" t="s">
        <v>76</v>
      </c>
      <c r="D521" s="45" t="s">
        <v>77</v>
      </c>
      <c r="E521" s="45" t="s">
        <v>78</v>
      </c>
      <c r="F521" s="45" t="s">
        <v>32</v>
      </c>
      <c r="J521" s="45" t="s">
        <v>32</v>
      </c>
      <c r="K521" s="3"/>
      <c r="L521" s="3"/>
      <c r="T521" s="3">
        <f>($F$38)*($F$39)*($C$24/2)</f>
        <v>36.879468750000001</v>
      </c>
      <c r="U521" s="3">
        <f t="shared" ref="U521:U530" si="165">$C$46*T521</f>
        <v>1239.1501500000002</v>
      </c>
      <c r="V521" s="3">
        <f t="shared" si="162"/>
        <v>1674.3887960145789</v>
      </c>
      <c r="W521" s="3">
        <f t="shared" si="160"/>
        <v>5.0268456378164528</v>
      </c>
      <c r="X521" s="3">
        <f t="shared" si="163"/>
        <v>44.602251729438557</v>
      </c>
      <c r="AB521" s="3">
        <f>0.234</f>
        <v>0.23400000000000001</v>
      </c>
      <c r="AC521" s="3">
        <v>7.5</v>
      </c>
      <c r="AD521" s="3" t="s">
        <v>33</v>
      </c>
    </row>
    <row r="522" spans="2:30">
      <c r="B522" s="3">
        <f>($F$38)*($F$39)*($C$9/2)</f>
        <v>0</v>
      </c>
      <c r="C522" s="3">
        <f>$C$46*B522</f>
        <v>0</v>
      </c>
      <c r="D522" s="3">
        <f>C522+($C$50*$C$52)</f>
        <v>435.23864601457871</v>
      </c>
      <c r="E522" s="3">
        <f t="shared" ref="E522:E547" si="166">(D522)/($C$48+((($F$40)*($C$52))*$F$25)-(($C$49+$C$50)*$F$25^2))</f>
        <v>1.306672317884092</v>
      </c>
      <c r="F522" s="3">
        <f>($F$25*E522)*($F$25*E522*$C$52)/2</f>
        <v>3.0136934001421434</v>
      </c>
      <c r="J522" s="3">
        <v>0</v>
      </c>
      <c r="K522" s="3"/>
      <c r="L522" s="3"/>
      <c r="T522" s="3">
        <f>($F$38)*($F$39)*($C$25/2)</f>
        <v>39.338099999999997</v>
      </c>
      <c r="U522" s="3">
        <f t="shared" si="165"/>
        <v>1321.76016</v>
      </c>
      <c r="V522" s="3">
        <f t="shared" si="162"/>
        <v>1756.9988060145788</v>
      </c>
      <c r="W522" s="3">
        <f t="shared" si="160"/>
        <v>5.274857192478609</v>
      </c>
      <c r="X522" s="3">
        <f t="shared" si="163"/>
        <v>49.111940994766861</v>
      </c>
      <c r="AB522" s="3">
        <f>0.267</f>
        <v>0.26700000000000002</v>
      </c>
      <c r="AC522" s="3">
        <v>8</v>
      </c>
      <c r="AD522" s="3" t="s">
        <v>33</v>
      </c>
    </row>
    <row r="523" spans="2:30">
      <c r="B523" s="3">
        <f>($F$38)*($F$39)*($C$10/2)</f>
        <v>2.4586312499999998</v>
      </c>
      <c r="C523" s="3">
        <f t="shared" ref="C523:C535" si="167">$C$46*B523</f>
        <v>82.610010000000003</v>
      </c>
      <c r="D523" s="3">
        <f t="shared" ref="D523:D547" si="168">C523+($C$50*$C$52)</f>
        <v>517.84865601457875</v>
      </c>
      <c r="E523" s="3">
        <f t="shared" si="166"/>
        <v>1.5546838725462495</v>
      </c>
      <c r="F523" s="3">
        <f t="shared" ref="F523:F547" si="169">($F$25*E523)*($F$25*E523*$C$52)/2</f>
        <v>4.2662850841419102</v>
      </c>
      <c r="J523" s="3">
        <f>0.001</f>
        <v>1E-3</v>
      </c>
      <c r="K523" s="3"/>
      <c r="L523" s="3"/>
      <c r="T523" s="3">
        <f>($F$38)*($F$39)*($C$26/2)</f>
        <v>41.796731249999993</v>
      </c>
      <c r="U523" s="3">
        <f t="shared" si="165"/>
        <v>1404.3701699999999</v>
      </c>
      <c r="V523" s="3">
        <f t="shared" si="162"/>
        <v>1839.6088160145787</v>
      </c>
      <c r="W523" s="3">
        <f t="shared" si="160"/>
        <v>5.522868747140766</v>
      </c>
      <c r="X523" s="3">
        <f t="shared" si="163"/>
        <v>53.838770098850425</v>
      </c>
      <c r="AB523" s="3">
        <f>0.301</f>
        <v>0.30099999999999999</v>
      </c>
      <c r="AC523" s="3">
        <v>8.5</v>
      </c>
      <c r="AD523" s="3" t="s">
        <v>33</v>
      </c>
    </row>
    <row r="524" spans="2:30">
      <c r="B524" s="3">
        <f>($F$38)*($F$39)*($C$11/2)</f>
        <v>4.9172624999999996</v>
      </c>
      <c r="C524" s="3">
        <f t="shared" si="167"/>
        <v>165.22002000000001</v>
      </c>
      <c r="D524" s="3">
        <f t="shared" si="168"/>
        <v>600.45866601457874</v>
      </c>
      <c r="E524" s="3">
        <f t="shared" si="166"/>
        <v>1.8026954272084068</v>
      </c>
      <c r="F524" s="3">
        <f t="shared" si="169"/>
        <v>5.7360166068969152</v>
      </c>
      <c r="J524" s="3">
        <f>0.004</f>
        <v>4.0000000000000001E-3</v>
      </c>
      <c r="K524" s="3"/>
      <c r="L524" s="3"/>
      <c r="T524" s="3">
        <f>($F$38)*($F$39)*($C$27/2)</f>
        <v>44.255362499999997</v>
      </c>
      <c r="U524" s="3">
        <f t="shared" si="165"/>
        <v>1486.98018</v>
      </c>
      <c r="V524" s="3">
        <f t="shared" si="162"/>
        <v>1922.2188260145788</v>
      </c>
      <c r="W524" s="3">
        <f t="shared" si="160"/>
        <v>5.770880301802924</v>
      </c>
      <c r="X524" s="3">
        <f t="shared" si="163"/>
        <v>58.782739041689226</v>
      </c>
      <c r="AB524" s="3">
        <f>0.337</f>
        <v>0.33700000000000002</v>
      </c>
      <c r="AC524" s="3">
        <v>9</v>
      </c>
      <c r="AD524" s="3" t="s">
        <v>33</v>
      </c>
    </row>
    <row r="525" spans="2:30">
      <c r="B525" s="3">
        <f>($F$38)*($F$39)*($C$12/2)</f>
        <v>7.3758937499999995</v>
      </c>
      <c r="C525" s="3">
        <f t="shared" si="167"/>
        <v>247.83002999999999</v>
      </c>
      <c r="D525" s="3">
        <f t="shared" si="168"/>
        <v>683.06867601457873</v>
      </c>
      <c r="E525" s="3">
        <f t="shared" si="166"/>
        <v>2.0507069818705639</v>
      </c>
      <c r="F525" s="3">
        <f t="shared" si="169"/>
        <v>7.4228879684071547</v>
      </c>
      <c r="J525" s="3">
        <f>0.009</f>
        <v>8.9999999999999993E-3</v>
      </c>
      <c r="K525" s="3"/>
      <c r="L525" s="3"/>
      <c r="T525" s="3">
        <f>($F$38)*($F$39)*($C$28/2)</f>
        <v>46.71399375</v>
      </c>
      <c r="U525" s="3">
        <f t="shared" si="165"/>
        <v>1569.5901900000001</v>
      </c>
      <c r="V525" s="3">
        <f t="shared" si="162"/>
        <v>2004.8288360145789</v>
      </c>
      <c r="W525" s="3">
        <f t="shared" si="160"/>
        <v>6.0188918564650811</v>
      </c>
      <c r="X525" s="3">
        <f t="shared" si="163"/>
        <v>63.943847823283257</v>
      </c>
      <c r="AB525" s="3">
        <f>0.376</f>
        <v>0.376</v>
      </c>
      <c r="AC525" s="3">
        <v>9.5</v>
      </c>
      <c r="AD525" s="3" t="s">
        <v>33</v>
      </c>
    </row>
    <row r="526" spans="2:30">
      <c r="B526" s="3">
        <f>($F$38)*($F$39)*($C$13/2)</f>
        <v>9.8345249999999993</v>
      </c>
      <c r="C526" s="3">
        <f t="shared" si="167"/>
        <v>330.44004000000001</v>
      </c>
      <c r="D526" s="3">
        <f t="shared" si="168"/>
        <v>765.67868601457872</v>
      </c>
      <c r="E526" s="3">
        <f t="shared" si="166"/>
        <v>2.2987185365327214</v>
      </c>
      <c r="F526" s="3">
        <f t="shared" si="169"/>
        <v>9.3268991686726341</v>
      </c>
      <c r="J526" s="3">
        <f>0.017</f>
        <v>1.7000000000000001E-2</v>
      </c>
      <c r="K526" s="3"/>
      <c r="L526" s="3"/>
      <c r="T526" s="3">
        <f>($F$38)*($F$39)*($C$29/2)</f>
        <v>49.172624999999996</v>
      </c>
      <c r="U526" s="3">
        <f t="shared" si="165"/>
        <v>1652.2002</v>
      </c>
      <c r="V526" s="3">
        <f t="shared" si="162"/>
        <v>2087.4388460145788</v>
      </c>
      <c r="W526" s="3">
        <f t="shared" si="160"/>
        <v>6.2669034111272381</v>
      </c>
      <c r="X526" s="3">
        <f t="shared" si="163"/>
        <v>69.322096443632532</v>
      </c>
      <c r="AB526" s="3">
        <f>0.416</f>
        <v>0.41599999999999998</v>
      </c>
      <c r="AC526" s="3">
        <v>10</v>
      </c>
      <c r="AD526" s="3" t="s">
        <v>33</v>
      </c>
    </row>
    <row r="527" spans="2:30">
      <c r="B527" s="3">
        <f>($F$38)*($F$39)*($C$14/2)</f>
        <v>12.293156249999999</v>
      </c>
      <c r="C527" s="3">
        <f t="shared" si="167"/>
        <v>413.05005</v>
      </c>
      <c r="D527" s="3">
        <f t="shared" si="168"/>
        <v>848.2886960145787</v>
      </c>
      <c r="E527" s="3">
        <f t="shared" si="166"/>
        <v>2.5467300911948785</v>
      </c>
      <c r="F527" s="3">
        <f t="shared" si="169"/>
        <v>11.448050207693347</v>
      </c>
      <c r="J527" s="3">
        <f>0.026</f>
        <v>2.5999999999999999E-2</v>
      </c>
      <c r="K527" s="3"/>
      <c r="L527" s="3"/>
      <c r="T527" s="3">
        <f>($F$38)*($F$39)*($C$30/2)</f>
        <v>51.631256249999993</v>
      </c>
      <c r="U527" s="3">
        <f t="shared" si="165"/>
        <v>1734.8102099999999</v>
      </c>
      <c r="V527" s="3">
        <f t="shared" si="162"/>
        <v>2170.0488560145786</v>
      </c>
      <c r="W527" s="3">
        <f t="shared" si="160"/>
        <v>6.5149149657893952</v>
      </c>
      <c r="X527" s="3">
        <f t="shared" si="163"/>
        <v>74.917484902737016</v>
      </c>
      <c r="AB527" s="3">
        <f>0.459</f>
        <v>0.45900000000000002</v>
      </c>
      <c r="AC527" s="3">
        <v>10.5</v>
      </c>
      <c r="AD527" s="3" t="s">
        <v>33</v>
      </c>
    </row>
    <row r="528" spans="2:30">
      <c r="B528" s="3">
        <f>($F$38)*($F$39)*($C$15/2)</f>
        <v>14.751787499999999</v>
      </c>
      <c r="C528" s="3">
        <f t="shared" si="167"/>
        <v>495.66005999999999</v>
      </c>
      <c r="D528" s="3">
        <f t="shared" si="168"/>
        <v>930.89870601457869</v>
      </c>
      <c r="E528" s="3">
        <f t="shared" si="166"/>
        <v>2.794741645857036</v>
      </c>
      <c r="F528" s="3">
        <f t="shared" si="169"/>
        <v>13.786341085469303</v>
      </c>
      <c r="J528" s="3">
        <f>0.037</f>
        <v>3.6999999999999998E-2</v>
      </c>
      <c r="K528" s="3"/>
      <c r="L528" s="3"/>
      <c r="T528" s="3">
        <f>($F$38)*($F$39)*($C$31/2)</f>
        <v>54.089887499999996</v>
      </c>
      <c r="U528" s="3">
        <f t="shared" si="165"/>
        <v>1817.42022</v>
      </c>
      <c r="V528" s="3">
        <f t="shared" si="162"/>
        <v>2252.6588660145785</v>
      </c>
      <c r="W528" s="3">
        <f t="shared" si="160"/>
        <v>6.7629265204515523</v>
      </c>
      <c r="X528" s="3">
        <f t="shared" si="163"/>
        <v>80.730013200596758</v>
      </c>
      <c r="AB528" s="3">
        <f>0.504</f>
        <v>0.504</v>
      </c>
      <c r="AC528" s="3">
        <v>11</v>
      </c>
      <c r="AD528" s="3" t="s">
        <v>33</v>
      </c>
    </row>
    <row r="529" spans="2:30">
      <c r="B529" s="3">
        <f>($F$38)*($F$39)*($C$16/2)</f>
        <v>17.210418749999999</v>
      </c>
      <c r="C529" s="3">
        <f t="shared" si="167"/>
        <v>578.27007000000003</v>
      </c>
      <c r="D529" s="3">
        <f t="shared" si="168"/>
        <v>1013.5087160145788</v>
      </c>
      <c r="E529" s="3">
        <f t="shared" si="166"/>
        <v>3.0427532005191935</v>
      </c>
      <c r="F529" s="3">
        <f t="shared" si="169"/>
        <v>16.341771802000494</v>
      </c>
      <c r="J529" s="3">
        <f>0.051</f>
        <v>5.0999999999999997E-2</v>
      </c>
      <c r="K529" s="3"/>
      <c r="L529" s="3"/>
      <c r="T529" s="3">
        <f>($F$38)*($F$39)*($C$32/2)</f>
        <v>56.548518749999999</v>
      </c>
      <c r="U529" s="3">
        <f t="shared" si="165"/>
        <v>1900.0302300000001</v>
      </c>
      <c r="V529" s="3">
        <f t="shared" si="162"/>
        <v>2335.2688760145788</v>
      </c>
      <c r="W529" s="3">
        <f t="shared" si="160"/>
        <v>7.0109380751137103</v>
      </c>
      <c r="X529" s="3">
        <f t="shared" si="163"/>
        <v>86.759681337211774</v>
      </c>
      <c r="AB529" s="3">
        <f>0.551</f>
        <v>0.55100000000000005</v>
      </c>
      <c r="AC529" s="3">
        <v>11.5</v>
      </c>
      <c r="AD529" s="3" t="s">
        <v>33</v>
      </c>
    </row>
    <row r="530" spans="2:30">
      <c r="B530" s="3">
        <f>($F$38)*($F$39)*($C$17/2)</f>
        <v>19.669049999999999</v>
      </c>
      <c r="C530" s="3">
        <f t="shared" si="167"/>
        <v>660.88008000000002</v>
      </c>
      <c r="D530" s="3">
        <f t="shared" si="168"/>
        <v>1096.1187260145787</v>
      </c>
      <c r="E530" s="3">
        <f t="shared" si="166"/>
        <v>3.2907647551813506</v>
      </c>
      <c r="F530" s="3">
        <f t="shared" si="169"/>
        <v>19.114342357286915</v>
      </c>
      <c r="J530" s="3">
        <f>0.067</f>
        <v>6.7000000000000004E-2</v>
      </c>
      <c r="K530" s="3"/>
      <c r="L530" s="3"/>
      <c r="T530" s="3">
        <f>($F$38)*($F$39)*($C$33/2)</f>
        <v>59.007149999999996</v>
      </c>
      <c r="U530" s="3">
        <f t="shared" si="165"/>
        <v>1982.6402399999999</v>
      </c>
      <c r="V530" s="3">
        <f t="shared" si="162"/>
        <v>2417.8788860145787</v>
      </c>
      <c r="W530" s="3">
        <f t="shared" si="160"/>
        <v>7.2589496297758673</v>
      </c>
      <c r="X530" s="3">
        <f t="shared" si="163"/>
        <v>93.006489312581976</v>
      </c>
      <c r="AB530" s="3">
        <f>0.6</f>
        <v>0.6</v>
      </c>
      <c r="AC530" s="3">
        <v>12</v>
      </c>
      <c r="AD530" s="3" t="s">
        <v>33</v>
      </c>
    </row>
    <row r="531" spans="2:30">
      <c r="B531" s="3">
        <f>($F$38)*($F$39)*($C$18/2)</f>
        <v>22.127681249999998</v>
      </c>
      <c r="C531" s="3">
        <f t="shared" si="167"/>
        <v>743.49009000000001</v>
      </c>
      <c r="D531" s="3">
        <f t="shared" si="168"/>
        <v>1178.7287360145788</v>
      </c>
      <c r="E531" s="3">
        <f t="shared" si="166"/>
        <v>3.5387763098435081</v>
      </c>
      <c r="F531" s="3">
        <f t="shared" si="169"/>
        <v>22.104052751328584</v>
      </c>
      <c r="J531" s="3">
        <f>0.084</f>
        <v>8.4000000000000005E-2</v>
      </c>
      <c r="K531" s="3"/>
      <c r="L531" s="3"/>
      <c r="T531" s="3"/>
      <c r="U531" s="3"/>
      <c r="V531" s="3"/>
      <c r="W531" s="3"/>
      <c r="X531" s="3"/>
      <c r="AB531" s="29"/>
      <c r="AC531" s="4"/>
      <c r="AD531" s="30"/>
    </row>
    <row r="532" spans="2:30">
      <c r="B532" s="3">
        <f>($F$38)*($F$39)*($C$19/2)</f>
        <v>24.586312499999998</v>
      </c>
      <c r="C532" s="3">
        <f t="shared" si="167"/>
        <v>826.1001</v>
      </c>
      <c r="D532" s="3">
        <f t="shared" si="168"/>
        <v>1261.3387460145786</v>
      </c>
      <c r="E532" s="3">
        <f t="shared" si="166"/>
        <v>3.7867878645056652</v>
      </c>
      <c r="F532" s="3">
        <f t="shared" si="169"/>
        <v>25.31090298412548</v>
      </c>
      <c r="J532" s="3">
        <f>0.104</f>
        <v>0.104</v>
      </c>
      <c r="K532" s="3"/>
      <c r="L532" s="3"/>
      <c r="T532" s="29"/>
      <c r="U532" s="4"/>
      <c r="V532" s="4"/>
      <c r="W532" s="4"/>
      <c r="X532" s="30"/>
      <c r="AB532" s="29"/>
      <c r="AC532" s="4"/>
      <c r="AD532" s="30"/>
    </row>
    <row r="533" spans="2:30">
      <c r="B533" s="3">
        <f>($F$38)*($F$39)*($C$20/2)</f>
        <v>27.044943749999998</v>
      </c>
      <c r="C533" s="3">
        <f t="shared" si="167"/>
        <v>908.71010999999999</v>
      </c>
      <c r="D533" s="3">
        <f t="shared" si="168"/>
        <v>1343.9487560145787</v>
      </c>
      <c r="E533" s="3">
        <f t="shared" si="166"/>
        <v>4.0347994191678227</v>
      </c>
      <c r="F533" s="3">
        <f t="shared" si="169"/>
        <v>28.734893055677617</v>
      </c>
      <c r="J533" s="3">
        <f>0.126</f>
        <v>0.126</v>
      </c>
      <c r="K533" s="3">
        <v>5.5</v>
      </c>
      <c r="L533" s="3" t="s">
        <v>33</v>
      </c>
      <c r="T533" s="29" t="s">
        <v>150</v>
      </c>
      <c r="U533" s="4"/>
      <c r="V533" s="4"/>
      <c r="W533" s="4"/>
      <c r="X533" s="30"/>
      <c r="AB533" s="29" t="s">
        <v>151</v>
      </c>
      <c r="AC533" s="4"/>
      <c r="AD533" s="30"/>
    </row>
    <row r="534" spans="2:30">
      <c r="B534" s="3">
        <f>($F$38)*($F$39)*($C$21/2)</f>
        <v>29.503574999999998</v>
      </c>
      <c r="C534" s="3">
        <f t="shared" si="167"/>
        <v>991.32011999999997</v>
      </c>
      <c r="D534" s="3">
        <f t="shared" si="168"/>
        <v>1426.5587660145786</v>
      </c>
      <c r="E534" s="3">
        <f t="shared" si="166"/>
        <v>4.2828109738299798</v>
      </c>
      <c r="F534" s="3">
        <f t="shared" si="169"/>
        <v>32.376022965984994</v>
      </c>
      <c r="J534" s="3">
        <f>0.15</f>
        <v>0.15</v>
      </c>
      <c r="K534" s="3"/>
      <c r="L534" s="3"/>
      <c r="T534" s="45" t="s">
        <v>75</v>
      </c>
      <c r="U534" s="45" t="s">
        <v>76</v>
      </c>
      <c r="V534" s="45" t="s">
        <v>77</v>
      </c>
      <c r="W534" s="45" t="s">
        <v>78</v>
      </c>
      <c r="X534" s="45" t="s">
        <v>32</v>
      </c>
      <c r="AB534" s="45" t="s">
        <v>32</v>
      </c>
      <c r="AC534" s="3"/>
      <c r="AD534" s="3"/>
    </row>
    <row r="535" spans="2:30">
      <c r="B535" s="3">
        <f>($F$38)*($F$39)*($C$22/2)</f>
        <v>31.962206249999998</v>
      </c>
      <c r="C535" s="3">
        <f t="shared" si="167"/>
        <v>1073.93013</v>
      </c>
      <c r="D535" s="3">
        <f t="shared" si="168"/>
        <v>1509.1687760145787</v>
      </c>
      <c r="E535" s="3">
        <f t="shared" si="166"/>
        <v>4.5308225284921368</v>
      </c>
      <c r="F535" s="3">
        <f t="shared" si="169"/>
        <v>36.234292715047594</v>
      </c>
      <c r="J535" s="3">
        <f>0.176</f>
        <v>0.17599999999999999</v>
      </c>
      <c r="K535" s="3"/>
      <c r="L535" s="3"/>
      <c r="T535" s="3">
        <f>($F$38)*($F$39)*($C$9/2)</f>
        <v>0</v>
      </c>
      <c r="U535" s="3">
        <f>$C$46*T535</f>
        <v>0</v>
      </c>
      <c r="V535" s="3">
        <f>U535+($C$50*$C$52)</f>
        <v>435.23864601457871</v>
      </c>
      <c r="W535" s="3">
        <f t="shared" ref="W535:W559" si="170">(V535)/($C$48+((($F$40)*($C$52))*$F$26)-(($C$49+$C$50)*$F$26^2))</f>
        <v>1.3058296012838226</v>
      </c>
      <c r="X535" s="3">
        <f>($F$26*W535)*($F$26*W535*$C$52)/2</f>
        <v>2.6846738762607596</v>
      </c>
      <c r="AB535" s="3">
        <v>0</v>
      </c>
      <c r="AC535" s="3">
        <v>0</v>
      </c>
      <c r="AD535" s="3" t="s">
        <v>33</v>
      </c>
    </row>
    <row r="536" spans="2:30">
      <c r="B536" s="3">
        <f>($F$38)*($F$39)*($C$23/2)</f>
        <v>34.420837499999998</v>
      </c>
      <c r="C536" s="3">
        <f>$C$46*B536</f>
        <v>1156.5401400000001</v>
      </c>
      <c r="D536" s="3">
        <f t="shared" si="168"/>
        <v>1591.7787860145788</v>
      </c>
      <c r="E536" s="3">
        <f t="shared" si="166"/>
        <v>4.7788340831542948</v>
      </c>
      <c r="F536" s="3">
        <f t="shared" si="169"/>
        <v>40.30970230286546</v>
      </c>
      <c r="J536" s="3">
        <f>0.204</f>
        <v>0.20399999999999999</v>
      </c>
      <c r="K536" s="3"/>
      <c r="L536" s="3"/>
      <c r="T536" s="3">
        <f>($F$38)*($F$39)*($C$10/2)</f>
        <v>2.4586312499999998</v>
      </c>
      <c r="U536" s="3">
        <f t="shared" ref="U536:U548" si="171">$C$46*T536</f>
        <v>82.610010000000003</v>
      </c>
      <c r="V536" s="3">
        <f t="shared" ref="V536:V559" si="172">U536+($C$50*$C$52)</f>
        <v>517.84865601457875</v>
      </c>
      <c r="W536" s="3">
        <f t="shared" si="170"/>
        <v>1.5536812050146627</v>
      </c>
      <c r="X536" s="3">
        <f t="shared" ref="X536:X559" si="173">($F$26*W536)*($F$26*W536*$C$52)/2</f>
        <v>3.8005140514746825</v>
      </c>
      <c r="AB536" s="3">
        <f>5.891*10^-4</f>
        <v>5.8910000000000006E-4</v>
      </c>
      <c r="AC536" s="3">
        <v>0.5</v>
      </c>
      <c r="AD536" s="3" t="s">
        <v>33</v>
      </c>
    </row>
    <row r="537" spans="2:30">
      <c r="B537" s="3">
        <f>($F$38)*($F$39)*($C$24/2)</f>
        <v>36.879468750000001</v>
      </c>
      <c r="C537" s="3">
        <f t="shared" ref="C537:C546" si="174">$C$46*B537</f>
        <v>1239.1501500000002</v>
      </c>
      <c r="D537" s="3">
        <f t="shared" si="168"/>
        <v>1674.3887960145789</v>
      </c>
      <c r="E537" s="3">
        <f t="shared" si="166"/>
        <v>5.0268456378164528</v>
      </c>
      <c r="F537" s="3">
        <f t="shared" si="169"/>
        <v>44.602251729438557</v>
      </c>
      <c r="J537" s="3">
        <f>0.234</f>
        <v>0.23400000000000001</v>
      </c>
      <c r="K537" s="3"/>
      <c r="L537" s="3"/>
      <c r="T537" s="3">
        <f>($F$38)*($F$39)*($C$11/2)</f>
        <v>4.9172624999999996</v>
      </c>
      <c r="U537" s="3">
        <f t="shared" si="171"/>
        <v>165.22002000000001</v>
      </c>
      <c r="V537" s="3">
        <f t="shared" si="172"/>
        <v>600.45866601457874</v>
      </c>
      <c r="W537" s="3">
        <f t="shared" si="170"/>
        <v>1.8015328087455023</v>
      </c>
      <c r="X537" s="3">
        <f t="shared" si="173"/>
        <v>5.1097878561925745</v>
      </c>
      <c r="AB537" s="3">
        <f>0.002</f>
        <v>2E-3</v>
      </c>
      <c r="AC537" s="3">
        <v>1</v>
      </c>
      <c r="AD537" s="3" t="s">
        <v>33</v>
      </c>
    </row>
    <row r="538" spans="2:30">
      <c r="B538" s="3">
        <f>($F$38)*($F$39)*($C$25/2)</f>
        <v>39.338099999999997</v>
      </c>
      <c r="C538" s="3">
        <f t="shared" si="174"/>
        <v>1321.76016</v>
      </c>
      <c r="D538" s="3">
        <f t="shared" si="168"/>
        <v>1756.9988060145788</v>
      </c>
      <c r="E538" s="3">
        <f t="shared" si="166"/>
        <v>5.274857192478609</v>
      </c>
      <c r="F538" s="3">
        <f t="shared" si="169"/>
        <v>49.111940994766861</v>
      </c>
      <c r="J538" s="3">
        <f>0.267</f>
        <v>0.26700000000000002</v>
      </c>
      <c r="K538" s="3"/>
      <c r="L538" s="3"/>
      <c r="T538" s="3">
        <f>($F$38)*($F$39)*($C$12/2)</f>
        <v>7.3758937499999995</v>
      </c>
      <c r="U538" s="3">
        <f t="shared" si="171"/>
        <v>247.83002999999999</v>
      </c>
      <c r="V538" s="3">
        <f t="shared" si="172"/>
        <v>683.06867601457873</v>
      </c>
      <c r="W538" s="3">
        <f t="shared" si="170"/>
        <v>2.0493844124763418</v>
      </c>
      <c r="X538" s="3">
        <f t="shared" si="173"/>
        <v>6.6124952904144374</v>
      </c>
      <c r="AB538" s="3">
        <f>0.005</f>
        <v>5.0000000000000001E-3</v>
      </c>
      <c r="AC538" s="3">
        <v>1.5</v>
      </c>
      <c r="AD538" s="3" t="s">
        <v>33</v>
      </c>
    </row>
    <row r="539" spans="2:30">
      <c r="B539" s="3">
        <f>($F$38)*($F$39)*($C$26/2)</f>
        <v>41.796731249999993</v>
      </c>
      <c r="C539" s="3">
        <f t="shared" si="174"/>
        <v>1404.3701699999999</v>
      </c>
      <c r="D539" s="3">
        <f t="shared" si="168"/>
        <v>1839.6088160145787</v>
      </c>
      <c r="E539" s="3">
        <f t="shared" si="166"/>
        <v>5.522868747140766</v>
      </c>
      <c r="F539" s="3">
        <f t="shared" si="169"/>
        <v>53.838770098850425</v>
      </c>
      <c r="J539" s="3">
        <f>0.301</f>
        <v>0.30099999999999999</v>
      </c>
      <c r="K539" s="3"/>
      <c r="L539" s="3"/>
      <c r="T539" s="3">
        <f>($F$38)*($F$39)*($C$13/2)</f>
        <v>9.8345249999999993</v>
      </c>
      <c r="U539" s="3">
        <f t="shared" si="171"/>
        <v>330.44004000000001</v>
      </c>
      <c r="V539" s="3">
        <f t="shared" si="172"/>
        <v>765.67868601457872</v>
      </c>
      <c r="W539" s="3">
        <f t="shared" si="170"/>
        <v>2.2972360162071817</v>
      </c>
      <c r="X539" s="3">
        <f t="shared" si="173"/>
        <v>8.3086363541402726</v>
      </c>
      <c r="AB539" s="3">
        <f>0.009</f>
        <v>8.9999999999999993E-3</v>
      </c>
      <c r="AC539" s="3">
        <v>2</v>
      </c>
      <c r="AD539" s="3" t="s">
        <v>33</v>
      </c>
    </row>
    <row r="540" spans="2:30">
      <c r="B540" s="3">
        <f>($F$38)*($F$39)*($C$27/2)</f>
        <v>44.255362499999997</v>
      </c>
      <c r="C540" s="3">
        <f t="shared" si="174"/>
        <v>1486.98018</v>
      </c>
      <c r="D540" s="3">
        <f t="shared" si="168"/>
        <v>1922.2188260145788</v>
      </c>
      <c r="E540" s="3">
        <f t="shared" si="166"/>
        <v>5.770880301802924</v>
      </c>
      <c r="F540" s="3">
        <f t="shared" si="169"/>
        <v>58.782739041689226</v>
      </c>
      <c r="J540" s="3">
        <f>0.337</f>
        <v>0.33700000000000002</v>
      </c>
      <c r="K540" s="3"/>
      <c r="L540" s="3"/>
      <c r="T540" s="3">
        <f>($F$38)*($F$39)*($C$14/2)</f>
        <v>12.293156249999999</v>
      </c>
      <c r="U540" s="3">
        <f t="shared" si="171"/>
        <v>413.05005</v>
      </c>
      <c r="V540" s="3">
        <f t="shared" si="172"/>
        <v>848.2886960145787</v>
      </c>
      <c r="W540" s="3">
        <f t="shared" si="170"/>
        <v>2.5450876199380215</v>
      </c>
      <c r="X540" s="3">
        <f t="shared" si="173"/>
        <v>10.19821104737008</v>
      </c>
      <c r="AB540" s="3">
        <f>0.015</f>
        <v>1.4999999999999999E-2</v>
      </c>
      <c r="AC540" s="3">
        <v>2.5</v>
      </c>
      <c r="AD540" s="3" t="s">
        <v>33</v>
      </c>
    </row>
    <row r="541" spans="2:30">
      <c r="B541" s="3">
        <f>($F$38)*($F$39)*($C$28/2)</f>
        <v>46.71399375</v>
      </c>
      <c r="C541" s="3">
        <f t="shared" si="174"/>
        <v>1569.5901900000001</v>
      </c>
      <c r="D541" s="3">
        <f t="shared" si="168"/>
        <v>2004.8288360145789</v>
      </c>
      <c r="E541" s="3">
        <f t="shared" si="166"/>
        <v>6.0188918564650811</v>
      </c>
      <c r="F541" s="3">
        <f t="shared" si="169"/>
        <v>63.943847823283257</v>
      </c>
      <c r="J541" s="3">
        <f>0.376</f>
        <v>0.376</v>
      </c>
      <c r="K541" s="3"/>
      <c r="L541" s="3"/>
      <c r="T541" s="3">
        <f>($F$38)*($F$39)*($C$15/2)</f>
        <v>14.751787499999999</v>
      </c>
      <c r="U541" s="3">
        <f t="shared" si="171"/>
        <v>495.66005999999999</v>
      </c>
      <c r="V541" s="3">
        <f t="shared" si="172"/>
        <v>930.89870601457869</v>
      </c>
      <c r="W541" s="3">
        <f t="shared" si="170"/>
        <v>2.7929392236688613</v>
      </c>
      <c r="X541" s="3">
        <f t="shared" si="173"/>
        <v>12.281219370103857</v>
      </c>
      <c r="AB541" s="3">
        <f>0.021</f>
        <v>2.1000000000000001E-2</v>
      </c>
      <c r="AC541" s="3">
        <v>3</v>
      </c>
      <c r="AD541" s="3" t="s">
        <v>33</v>
      </c>
    </row>
    <row r="542" spans="2:30">
      <c r="B542" s="3">
        <f>($F$38)*($F$39)*($C$29/2)</f>
        <v>49.172624999999996</v>
      </c>
      <c r="C542" s="3">
        <f t="shared" si="174"/>
        <v>1652.2002</v>
      </c>
      <c r="D542" s="3">
        <f t="shared" si="168"/>
        <v>2087.4388460145788</v>
      </c>
      <c r="E542" s="3">
        <f t="shared" si="166"/>
        <v>6.2669034111272381</v>
      </c>
      <c r="F542" s="3">
        <f t="shared" si="169"/>
        <v>69.322096443632532</v>
      </c>
      <c r="J542" s="3">
        <f>0.416</f>
        <v>0.41599999999999998</v>
      </c>
      <c r="K542" s="3"/>
      <c r="L542" s="3"/>
      <c r="T542" s="3">
        <f>($F$38)*($F$39)*($C$16/2)</f>
        <v>17.210418749999999</v>
      </c>
      <c r="U542" s="3">
        <f t="shared" si="171"/>
        <v>578.27007000000003</v>
      </c>
      <c r="V542" s="3">
        <f t="shared" si="172"/>
        <v>1013.5087160145788</v>
      </c>
      <c r="W542" s="3">
        <f t="shared" si="170"/>
        <v>3.0407908273997011</v>
      </c>
      <c r="X542" s="3">
        <f t="shared" si="173"/>
        <v>14.557661322341604</v>
      </c>
      <c r="AB542" s="3">
        <f>0.029</f>
        <v>2.9000000000000001E-2</v>
      </c>
      <c r="AC542" s="3">
        <v>3.5</v>
      </c>
      <c r="AD542" s="3" t="s">
        <v>33</v>
      </c>
    </row>
    <row r="543" spans="2:30">
      <c r="B543" s="3">
        <f>($F$38)*($F$39)*($C$30/2)</f>
        <v>51.631256249999993</v>
      </c>
      <c r="C543" s="3">
        <f t="shared" si="174"/>
        <v>1734.8102099999999</v>
      </c>
      <c r="D543" s="3">
        <f t="shared" si="168"/>
        <v>2170.0488560145786</v>
      </c>
      <c r="E543" s="3">
        <f t="shared" si="166"/>
        <v>6.5149149657893952</v>
      </c>
      <c r="F543" s="3">
        <f t="shared" si="169"/>
        <v>74.917484902737016</v>
      </c>
      <c r="J543" s="3">
        <f>0.459</f>
        <v>0.45900000000000002</v>
      </c>
      <c r="K543" s="3"/>
      <c r="L543" s="3"/>
      <c r="T543" s="3">
        <f>($F$38)*($F$39)*($C$17/2)</f>
        <v>19.669049999999999</v>
      </c>
      <c r="U543" s="3">
        <f t="shared" si="171"/>
        <v>660.88008000000002</v>
      </c>
      <c r="V543" s="3">
        <f t="shared" si="172"/>
        <v>1096.1187260145787</v>
      </c>
      <c r="W543" s="3">
        <f t="shared" si="170"/>
        <v>3.2886424311305409</v>
      </c>
      <c r="X543" s="3">
        <f t="shared" si="173"/>
        <v>17.027536904083323</v>
      </c>
      <c r="AB543" s="3">
        <f>0.038</f>
        <v>3.7999999999999999E-2</v>
      </c>
      <c r="AC543" s="3">
        <v>4</v>
      </c>
      <c r="AD543" s="3" t="s">
        <v>33</v>
      </c>
    </row>
    <row r="544" spans="2:30">
      <c r="B544" s="3">
        <f>($F$38)*($F$39)*($C$31/2)</f>
        <v>54.089887499999996</v>
      </c>
      <c r="C544" s="3">
        <f t="shared" si="174"/>
        <v>1817.42022</v>
      </c>
      <c r="D544" s="3">
        <f t="shared" si="168"/>
        <v>2252.6588660145785</v>
      </c>
      <c r="E544" s="3">
        <f t="shared" si="166"/>
        <v>6.7629265204515523</v>
      </c>
      <c r="F544" s="3">
        <f t="shared" si="169"/>
        <v>80.730013200596758</v>
      </c>
      <c r="J544" s="3">
        <f>0.504</f>
        <v>0.504</v>
      </c>
      <c r="K544" s="3"/>
      <c r="L544" s="3"/>
      <c r="T544" s="3">
        <f>($F$38)*($F$39)*($C$18/2)</f>
        <v>22.127681249999998</v>
      </c>
      <c r="U544" s="3">
        <f t="shared" si="171"/>
        <v>743.49009000000001</v>
      </c>
      <c r="V544" s="3">
        <f t="shared" si="172"/>
        <v>1178.7287360145788</v>
      </c>
      <c r="W544" s="3">
        <f t="shared" si="170"/>
        <v>3.5364940348613807</v>
      </c>
      <c r="X544" s="3">
        <f t="shared" si="173"/>
        <v>19.690846115329016</v>
      </c>
      <c r="AB544" s="3">
        <f>0.048</f>
        <v>4.8000000000000001E-2</v>
      </c>
      <c r="AC544" s="3">
        <v>4.5</v>
      </c>
      <c r="AD544" s="3" t="s">
        <v>33</v>
      </c>
    </row>
    <row r="545" spans="2:30">
      <c r="B545" s="3">
        <f>($F$38)*($F$39)*($C$32/2)</f>
        <v>56.548518749999999</v>
      </c>
      <c r="C545" s="3">
        <f t="shared" si="174"/>
        <v>1900.0302300000001</v>
      </c>
      <c r="D545" s="3">
        <f t="shared" si="168"/>
        <v>2335.2688760145788</v>
      </c>
      <c r="E545" s="3">
        <f t="shared" si="166"/>
        <v>7.0109380751137103</v>
      </c>
      <c r="F545" s="3">
        <f t="shared" si="169"/>
        <v>86.759681337211774</v>
      </c>
      <c r="J545" s="3">
        <f>0.551</f>
        <v>0.55100000000000005</v>
      </c>
      <c r="K545" s="3"/>
      <c r="L545" s="3"/>
      <c r="T545" s="3">
        <f>($F$38)*($F$39)*($C$19/2)</f>
        <v>24.586312499999998</v>
      </c>
      <c r="U545" s="3">
        <f t="shared" si="171"/>
        <v>826.1001</v>
      </c>
      <c r="V545" s="3">
        <f t="shared" si="172"/>
        <v>1261.3387460145786</v>
      </c>
      <c r="W545" s="3">
        <f t="shared" si="170"/>
        <v>3.7843456385922201</v>
      </c>
      <c r="X545" s="3">
        <f t="shared" si="173"/>
        <v>22.54758895607868</v>
      </c>
      <c r="AB545" s="3">
        <f>0.059</f>
        <v>5.8999999999999997E-2</v>
      </c>
      <c r="AC545" s="3">
        <v>5</v>
      </c>
      <c r="AD545" s="3" t="s">
        <v>33</v>
      </c>
    </row>
    <row r="546" spans="2:30">
      <c r="B546" s="3">
        <f>($F$38)*($F$39)*($C$33/2)</f>
        <v>59.007149999999996</v>
      </c>
      <c r="C546" s="3">
        <f t="shared" si="174"/>
        <v>1982.6402399999999</v>
      </c>
      <c r="D546" s="3">
        <f t="shared" si="168"/>
        <v>2417.8788860145787</v>
      </c>
      <c r="E546" s="3">
        <f t="shared" si="166"/>
        <v>7.2589496297758673</v>
      </c>
      <c r="F546" s="3">
        <f t="shared" si="169"/>
        <v>93.006489312581976</v>
      </c>
      <c r="J546" s="3">
        <f>0.6</f>
        <v>0.6</v>
      </c>
      <c r="K546" s="3"/>
      <c r="L546" s="3"/>
      <c r="T546" s="3">
        <f>($F$38)*($F$39)*($C$20/2)</f>
        <v>27.044943749999998</v>
      </c>
      <c r="U546" s="3">
        <f t="shared" si="171"/>
        <v>908.71010999999999</v>
      </c>
      <c r="V546" s="3">
        <f t="shared" si="172"/>
        <v>1343.9487560145787</v>
      </c>
      <c r="W546" s="3">
        <f t="shared" si="170"/>
        <v>4.0321972423230603</v>
      </c>
      <c r="X546" s="3">
        <f t="shared" si="173"/>
        <v>25.597765426332316</v>
      </c>
      <c r="AB546" s="3">
        <f>0.071</f>
        <v>7.0999999999999994E-2</v>
      </c>
      <c r="AC546" s="3">
        <v>5.5</v>
      </c>
      <c r="AD546" s="3" t="s">
        <v>33</v>
      </c>
    </row>
    <row r="547" spans="2:30">
      <c r="B547" s="3">
        <f>($F$38)*($F$39)*($C$34/2)</f>
        <v>0</v>
      </c>
      <c r="C547" s="3">
        <f>$C$46*B547</f>
        <v>0</v>
      </c>
      <c r="D547" s="3">
        <f t="shared" si="168"/>
        <v>435.23864601457871</v>
      </c>
      <c r="E547" s="3">
        <f t="shared" si="166"/>
        <v>1.306672317884092</v>
      </c>
      <c r="F547" s="3">
        <f t="shared" si="169"/>
        <v>3.0136934001421434</v>
      </c>
      <c r="J547" s="29"/>
      <c r="K547" s="4"/>
      <c r="L547" s="30"/>
      <c r="T547" s="3">
        <f>($F$38)*($F$39)*($C$21/2)</f>
        <v>29.503574999999998</v>
      </c>
      <c r="U547" s="3">
        <f t="shared" si="171"/>
        <v>991.32011999999997</v>
      </c>
      <c r="V547" s="3">
        <f t="shared" si="172"/>
        <v>1426.5587660145786</v>
      </c>
      <c r="W547" s="3">
        <f t="shared" si="170"/>
        <v>4.2800488460538997</v>
      </c>
      <c r="X547" s="3">
        <f t="shared" si="173"/>
        <v>28.841375526089923</v>
      </c>
      <c r="AB547" s="3">
        <f>0.085</f>
        <v>8.5000000000000006E-2</v>
      </c>
      <c r="AC547" s="3">
        <v>6</v>
      </c>
      <c r="AD547" s="3" t="s">
        <v>33</v>
      </c>
    </row>
    <row r="548" spans="2:30">
      <c r="B548" s="29"/>
      <c r="C548" s="4"/>
      <c r="D548" s="4"/>
      <c r="E548" s="4"/>
      <c r="F548" s="30"/>
      <c r="J548" s="29"/>
      <c r="K548" s="4"/>
      <c r="L548" s="30"/>
      <c r="T548" s="3">
        <f>($F$38)*($F$39)*($C$22/2)</f>
        <v>31.962206249999998</v>
      </c>
      <c r="U548" s="3">
        <f t="shared" si="171"/>
        <v>1073.93013</v>
      </c>
      <c r="V548" s="3">
        <f t="shared" si="172"/>
        <v>1509.1687760145787</v>
      </c>
      <c r="W548" s="3">
        <f t="shared" si="170"/>
        <v>4.5279004497847399</v>
      </c>
      <c r="X548" s="3">
        <f t="shared" si="173"/>
        <v>32.278419255351501</v>
      </c>
      <c r="AB548" s="3">
        <f>0.1</f>
        <v>0.1</v>
      </c>
      <c r="AC548" s="3">
        <v>6.5</v>
      </c>
      <c r="AD548" s="3" t="s">
        <v>33</v>
      </c>
    </row>
    <row r="549" spans="2:30">
      <c r="B549" s="29" t="s">
        <v>150</v>
      </c>
      <c r="C549" s="4"/>
      <c r="D549" s="4"/>
      <c r="E549" s="4"/>
      <c r="F549" s="30"/>
      <c r="J549" s="29" t="s">
        <v>151</v>
      </c>
      <c r="K549" s="4"/>
      <c r="L549" s="30"/>
      <c r="T549" s="3">
        <f>($F$38)*($F$39)*($C$23/2)</f>
        <v>34.420837499999998</v>
      </c>
      <c r="U549" s="3">
        <f>$C$46*T549</f>
        <v>1156.5401400000001</v>
      </c>
      <c r="V549" s="3">
        <f t="shared" si="172"/>
        <v>1591.7787860145788</v>
      </c>
      <c r="W549" s="3">
        <f t="shared" si="170"/>
        <v>4.7757520535155793</v>
      </c>
      <c r="X549" s="3">
        <f t="shared" si="173"/>
        <v>35.90889661411704</v>
      </c>
      <c r="AB549" s="3">
        <f>0.115</f>
        <v>0.115</v>
      </c>
      <c r="AC549" s="3">
        <v>7</v>
      </c>
      <c r="AD549" s="3" t="s">
        <v>33</v>
      </c>
    </row>
    <row r="550" spans="2:30">
      <c r="B550" s="45" t="s">
        <v>75</v>
      </c>
      <c r="C550" s="45" t="s">
        <v>76</v>
      </c>
      <c r="D550" s="45" t="s">
        <v>77</v>
      </c>
      <c r="E550" s="45" t="s">
        <v>78</v>
      </c>
      <c r="F550" s="45" t="s">
        <v>32</v>
      </c>
      <c r="J550" s="45" t="s">
        <v>32</v>
      </c>
      <c r="K550" s="3"/>
      <c r="L550" s="3"/>
      <c r="T550" s="3">
        <f>($F$38)*($F$39)*($C$24/2)</f>
        <v>36.879468750000001</v>
      </c>
      <c r="U550" s="3">
        <f t="shared" ref="U550:U559" si="175">$C$46*T550</f>
        <v>1239.1501500000002</v>
      </c>
      <c r="V550" s="3">
        <f t="shared" si="172"/>
        <v>1674.3887960145789</v>
      </c>
      <c r="W550" s="3">
        <f t="shared" si="170"/>
        <v>5.0236036572464196</v>
      </c>
      <c r="X550" s="3">
        <f t="shared" si="173"/>
        <v>39.732807602386565</v>
      </c>
      <c r="AB550" s="3">
        <f>0.133</f>
        <v>0.13300000000000001</v>
      </c>
      <c r="AC550" s="3">
        <v>7.5</v>
      </c>
      <c r="AD550" s="3" t="s">
        <v>33</v>
      </c>
    </row>
    <row r="551" spans="2:30">
      <c r="B551" s="3">
        <f>($F$38)*($F$39)*($C$9/2)</f>
        <v>0</v>
      </c>
      <c r="C551" s="3">
        <f>$C$46*B551</f>
        <v>0</v>
      </c>
      <c r="D551" s="3">
        <f>C551+($C$50*$C$52)</f>
        <v>435.23864601457871</v>
      </c>
      <c r="E551" s="3">
        <f t="shared" ref="E551:E576" si="176">(D551)/($C$48+((($F$40)*($C$52))*$F$26)-(($C$49+$C$50)*$F$26^2))</f>
        <v>1.3058296012838226</v>
      </c>
      <c r="F551" s="3">
        <f>($F$26*E551)*($F$26*E551*$C$52)/2</f>
        <v>2.6846738762607596</v>
      </c>
      <c r="J551" s="3">
        <v>0</v>
      </c>
      <c r="K551" s="3"/>
      <c r="L551" s="3"/>
      <c r="T551" s="3">
        <f>($F$38)*($F$39)*($C$25/2)</f>
        <v>39.338099999999997</v>
      </c>
      <c r="U551" s="3">
        <f t="shared" si="175"/>
        <v>1321.76016</v>
      </c>
      <c r="V551" s="3">
        <f t="shared" si="172"/>
        <v>1756.9988060145788</v>
      </c>
      <c r="W551" s="3">
        <f t="shared" si="170"/>
        <v>5.2714552609772589</v>
      </c>
      <c r="X551" s="3">
        <f t="shared" si="173"/>
        <v>43.750152220160047</v>
      </c>
      <c r="AB551" s="3">
        <v>0.151</v>
      </c>
      <c r="AC551" s="3">
        <v>8</v>
      </c>
      <c r="AD551" s="3" t="s">
        <v>33</v>
      </c>
    </row>
    <row r="552" spans="2:30">
      <c r="B552" s="3">
        <f>($F$38)*($F$39)*($C$10/2)</f>
        <v>2.4586312499999998</v>
      </c>
      <c r="C552" s="3">
        <f t="shared" ref="C552:C564" si="177">$C$46*B552</f>
        <v>82.610010000000003</v>
      </c>
      <c r="D552" s="3">
        <f t="shared" ref="D552:D576" si="178">C552+($C$50*$C$52)</f>
        <v>517.84865601457875</v>
      </c>
      <c r="E552" s="3">
        <f t="shared" si="176"/>
        <v>1.5536812050146627</v>
      </c>
      <c r="F552" s="3">
        <f t="shared" ref="F552:F576" si="179">($F$26*E552)*($F$26*E552*$C$52)/2</f>
        <v>3.8005140514746825</v>
      </c>
      <c r="J552" s="3">
        <f>5.891*10^-4</f>
        <v>5.8910000000000006E-4</v>
      </c>
      <c r="K552" s="3"/>
      <c r="L552" s="3"/>
      <c r="T552" s="3">
        <f>($F$38)*($F$39)*($C$26/2)</f>
        <v>41.796731249999993</v>
      </c>
      <c r="U552" s="3">
        <f t="shared" si="175"/>
        <v>1404.3701699999999</v>
      </c>
      <c r="V552" s="3">
        <f t="shared" si="172"/>
        <v>1839.6088160145787</v>
      </c>
      <c r="W552" s="3">
        <f t="shared" si="170"/>
        <v>5.5193068647080983</v>
      </c>
      <c r="X552" s="3">
        <f t="shared" si="173"/>
        <v>47.960930467437514</v>
      </c>
      <c r="AB552" s="3">
        <f>0.17</f>
        <v>0.17</v>
      </c>
      <c r="AC552" s="3">
        <v>8.5</v>
      </c>
      <c r="AD552" s="3" t="s">
        <v>33</v>
      </c>
    </row>
    <row r="553" spans="2:30">
      <c r="B553" s="3">
        <f>($F$38)*($F$39)*($C$11/2)</f>
        <v>4.9172624999999996</v>
      </c>
      <c r="C553" s="3">
        <f t="shared" si="177"/>
        <v>165.22002000000001</v>
      </c>
      <c r="D553" s="3">
        <f t="shared" si="178"/>
        <v>600.45866601457874</v>
      </c>
      <c r="E553" s="3">
        <f t="shared" si="176"/>
        <v>1.8015328087455023</v>
      </c>
      <c r="F553" s="3">
        <f t="shared" si="179"/>
        <v>5.1097878561925745</v>
      </c>
      <c r="J553" s="3">
        <f>0.002</f>
        <v>2E-3</v>
      </c>
      <c r="K553" s="3"/>
      <c r="L553" s="3"/>
      <c r="T553" s="3">
        <f>($F$38)*($F$39)*($C$27/2)</f>
        <v>44.255362499999997</v>
      </c>
      <c r="U553" s="3">
        <f t="shared" si="175"/>
        <v>1486.98018</v>
      </c>
      <c r="V553" s="3">
        <f t="shared" si="172"/>
        <v>1922.2188260145788</v>
      </c>
      <c r="W553" s="3">
        <f t="shared" si="170"/>
        <v>5.7671584684389385</v>
      </c>
      <c r="X553" s="3">
        <f t="shared" si="173"/>
        <v>52.365142344218938</v>
      </c>
      <c r="AB553" s="3">
        <f>0.191</f>
        <v>0.191</v>
      </c>
      <c r="AC553" s="3">
        <v>9</v>
      </c>
      <c r="AD553" s="3" t="s">
        <v>33</v>
      </c>
    </row>
    <row r="554" spans="2:30">
      <c r="B554" s="3">
        <f>($F$38)*($F$39)*($C$12/2)</f>
        <v>7.3758937499999995</v>
      </c>
      <c r="C554" s="3">
        <f t="shared" si="177"/>
        <v>247.83002999999999</v>
      </c>
      <c r="D554" s="3">
        <f t="shared" si="178"/>
        <v>683.06867601457873</v>
      </c>
      <c r="E554" s="3">
        <f t="shared" si="176"/>
        <v>2.0493844124763418</v>
      </c>
      <c r="F554" s="3">
        <f t="shared" si="179"/>
        <v>6.6124952904144374</v>
      </c>
      <c r="J554" s="3">
        <f>0.005</f>
        <v>5.0000000000000001E-3</v>
      </c>
      <c r="K554" s="3"/>
      <c r="L554" s="3"/>
      <c r="T554" s="3">
        <f>($F$38)*($F$39)*($C$28/2)</f>
        <v>46.71399375</v>
      </c>
      <c r="U554" s="3">
        <f t="shared" si="175"/>
        <v>1569.5901900000001</v>
      </c>
      <c r="V554" s="3">
        <f t="shared" si="172"/>
        <v>2004.8288360145789</v>
      </c>
      <c r="W554" s="3">
        <f t="shared" si="170"/>
        <v>6.0150100721697788</v>
      </c>
      <c r="X554" s="3">
        <f t="shared" si="173"/>
        <v>56.96278785050437</v>
      </c>
      <c r="AB554" s="3">
        <f>0.213</f>
        <v>0.21299999999999999</v>
      </c>
      <c r="AC554" s="3">
        <v>9.5</v>
      </c>
      <c r="AD554" s="3" t="s">
        <v>33</v>
      </c>
    </row>
    <row r="555" spans="2:30">
      <c r="B555" s="3">
        <f>($F$38)*($F$39)*($C$13/2)</f>
        <v>9.8345249999999993</v>
      </c>
      <c r="C555" s="3">
        <f t="shared" si="177"/>
        <v>330.44004000000001</v>
      </c>
      <c r="D555" s="3">
        <f t="shared" si="178"/>
        <v>765.67868601457872</v>
      </c>
      <c r="E555" s="3">
        <f t="shared" si="176"/>
        <v>2.2972360162071817</v>
      </c>
      <c r="F555" s="3">
        <f t="shared" si="179"/>
        <v>8.3086363541402726</v>
      </c>
      <c r="J555" s="3">
        <f>0.009</f>
        <v>8.9999999999999993E-3</v>
      </c>
      <c r="K555" s="3"/>
      <c r="L555" s="3"/>
      <c r="T555" s="3">
        <f>($F$38)*($F$39)*($C$29/2)</f>
        <v>49.172624999999996</v>
      </c>
      <c r="U555" s="3">
        <f t="shared" si="175"/>
        <v>1652.2002</v>
      </c>
      <c r="V555" s="3">
        <f t="shared" si="172"/>
        <v>2087.4388460145788</v>
      </c>
      <c r="W555" s="3">
        <f t="shared" si="170"/>
        <v>6.2628616759006182</v>
      </c>
      <c r="X555" s="3">
        <f t="shared" si="173"/>
        <v>61.753866986293723</v>
      </c>
      <c r="AB555" s="3">
        <f>0.236</f>
        <v>0.23599999999999999</v>
      </c>
      <c r="AC555" s="3">
        <v>10</v>
      </c>
      <c r="AD555" s="3" t="s">
        <v>33</v>
      </c>
    </row>
    <row r="556" spans="2:30">
      <c r="B556" s="3">
        <f>($F$38)*($F$39)*($C$14/2)</f>
        <v>12.293156249999999</v>
      </c>
      <c r="C556" s="3">
        <f t="shared" si="177"/>
        <v>413.05005</v>
      </c>
      <c r="D556" s="3">
        <f t="shared" si="178"/>
        <v>848.2886960145787</v>
      </c>
      <c r="E556" s="3">
        <f t="shared" si="176"/>
        <v>2.5450876199380215</v>
      </c>
      <c r="F556" s="3">
        <f t="shared" si="179"/>
        <v>10.19821104737008</v>
      </c>
      <c r="J556" s="3">
        <f>0.015</f>
        <v>1.4999999999999999E-2</v>
      </c>
      <c r="K556" s="3"/>
      <c r="L556" s="3"/>
      <c r="T556" s="3">
        <f>($F$38)*($F$39)*($C$30/2)</f>
        <v>51.631256249999993</v>
      </c>
      <c r="U556" s="3">
        <f t="shared" si="175"/>
        <v>1734.8102099999999</v>
      </c>
      <c r="V556" s="3">
        <f t="shared" si="172"/>
        <v>2170.0488560145786</v>
      </c>
      <c r="W556" s="3">
        <f t="shared" si="170"/>
        <v>6.5107132796314575</v>
      </c>
      <c r="X556" s="3">
        <f t="shared" si="173"/>
        <v>66.738379751587061</v>
      </c>
      <c r="AB556" s="3">
        <f>0.26</f>
        <v>0.26</v>
      </c>
      <c r="AC556" s="3">
        <v>10.5</v>
      </c>
      <c r="AD556" s="3" t="s">
        <v>33</v>
      </c>
    </row>
    <row r="557" spans="2:30">
      <c r="B557" s="3">
        <f>($F$38)*($F$39)*($C$15/2)</f>
        <v>14.751787499999999</v>
      </c>
      <c r="C557" s="3">
        <f t="shared" si="177"/>
        <v>495.66005999999999</v>
      </c>
      <c r="D557" s="3">
        <f t="shared" si="178"/>
        <v>930.89870601457869</v>
      </c>
      <c r="E557" s="3">
        <f t="shared" si="176"/>
        <v>2.7929392236688613</v>
      </c>
      <c r="F557" s="3">
        <f t="shared" si="179"/>
        <v>12.281219370103857</v>
      </c>
      <c r="J557" s="3">
        <f>0.021</f>
        <v>2.1000000000000001E-2</v>
      </c>
      <c r="K557" s="3"/>
      <c r="L557" s="3"/>
      <c r="T557" s="3">
        <f>($F$38)*($F$39)*($C$31/2)</f>
        <v>54.089887499999996</v>
      </c>
      <c r="U557" s="3">
        <f t="shared" si="175"/>
        <v>1817.42022</v>
      </c>
      <c r="V557" s="3">
        <f t="shared" si="172"/>
        <v>2252.6588660145785</v>
      </c>
      <c r="W557" s="3">
        <f t="shared" si="170"/>
        <v>6.7585648833622969</v>
      </c>
      <c r="X557" s="3">
        <f t="shared" si="173"/>
        <v>71.916326146384364</v>
      </c>
      <c r="AB557" s="3">
        <f>0.285</f>
        <v>0.28499999999999998</v>
      </c>
      <c r="AC557" s="3">
        <v>11</v>
      </c>
      <c r="AD557" s="3" t="s">
        <v>33</v>
      </c>
    </row>
    <row r="558" spans="2:30">
      <c r="B558" s="3">
        <f>($F$38)*($F$39)*($C$16/2)</f>
        <v>17.210418749999999</v>
      </c>
      <c r="C558" s="3">
        <f t="shared" si="177"/>
        <v>578.27007000000003</v>
      </c>
      <c r="D558" s="3">
        <f t="shared" si="178"/>
        <v>1013.5087160145788</v>
      </c>
      <c r="E558" s="3">
        <f t="shared" si="176"/>
        <v>3.0407908273997011</v>
      </c>
      <c r="F558" s="3">
        <f t="shared" si="179"/>
        <v>14.557661322341604</v>
      </c>
      <c r="J558" s="3">
        <f>0.029</f>
        <v>2.9000000000000001E-2</v>
      </c>
      <c r="K558" s="3"/>
      <c r="L558" s="3"/>
      <c r="T558" s="3">
        <f>($F$38)*($F$39)*($C$32/2)</f>
        <v>56.548518749999999</v>
      </c>
      <c r="U558" s="3">
        <f t="shared" si="175"/>
        <v>1900.0302300000001</v>
      </c>
      <c r="V558" s="3">
        <f t="shared" si="172"/>
        <v>2335.2688760145788</v>
      </c>
      <c r="W558" s="3">
        <f t="shared" si="170"/>
        <v>7.006416487093138</v>
      </c>
      <c r="X558" s="3">
        <f t="shared" si="173"/>
        <v>77.287706170685681</v>
      </c>
      <c r="AB558" s="3">
        <f>0.312</f>
        <v>0.312</v>
      </c>
      <c r="AC558" s="3">
        <v>11.5</v>
      </c>
      <c r="AD558" s="3" t="s">
        <v>33</v>
      </c>
    </row>
    <row r="559" spans="2:30">
      <c r="B559" s="3">
        <f>($F$38)*($F$39)*($C$17/2)</f>
        <v>19.669049999999999</v>
      </c>
      <c r="C559" s="3">
        <f t="shared" si="177"/>
        <v>660.88008000000002</v>
      </c>
      <c r="D559" s="3">
        <f t="shared" si="178"/>
        <v>1096.1187260145787</v>
      </c>
      <c r="E559" s="3">
        <f t="shared" si="176"/>
        <v>3.2886424311305409</v>
      </c>
      <c r="F559" s="3">
        <f t="shared" si="179"/>
        <v>17.027536904083323</v>
      </c>
      <c r="J559" s="3">
        <f>0.038</f>
        <v>3.7999999999999999E-2</v>
      </c>
      <c r="K559" s="3"/>
      <c r="L559" s="3"/>
      <c r="T559" s="3">
        <f>($F$38)*($F$39)*($C$33/2)</f>
        <v>59.007149999999996</v>
      </c>
      <c r="U559" s="3">
        <f t="shared" si="175"/>
        <v>1982.6402399999999</v>
      </c>
      <c r="V559" s="3">
        <f t="shared" si="172"/>
        <v>2417.8788860145787</v>
      </c>
      <c r="W559" s="3">
        <f t="shared" si="170"/>
        <v>7.2542680908239774</v>
      </c>
      <c r="X559" s="3">
        <f t="shared" si="173"/>
        <v>82.85251982449094</v>
      </c>
      <c r="AB559" s="3">
        <f>0.339</f>
        <v>0.33900000000000002</v>
      </c>
      <c r="AC559" s="3">
        <v>12</v>
      </c>
      <c r="AD559" s="3" t="s">
        <v>33</v>
      </c>
    </row>
    <row r="560" spans="2:30">
      <c r="B560" s="3">
        <f>($F$38)*($F$39)*($C$18/2)</f>
        <v>22.127681249999998</v>
      </c>
      <c r="C560" s="3">
        <f t="shared" si="177"/>
        <v>743.49009000000001</v>
      </c>
      <c r="D560" s="3">
        <f t="shared" si="178"/>
        <v>1178.7287360145788</v>
      </c>
      <c r="E560" s="3">
        <f t="shared" si="176"/>
        <v>3.5364940348613807</v>
      </c>
      <c r="F560" s="3">
        <f t="shared" si="179"/>
        <v>19.690846115329016</v>
      </c>
      <c r="J560" s="3">
        <f>0.048</f>
        <v>4.8000000000000001E-2</v>
      </c>
      <c r="K560" s="3"/>
      <c r="L560" s="3"/>
      <c r="T560" s="3"/>
      <c r="U560" s="3"/>
      <c r="V560" s="3"/>
      <c r="W560" s="3"/>
      <c r="X560" s="3"/>
      <c r="AB560" s="29"/>
      <c r="AC560" s="4"/>
      <c r="AD560" s="30"/>
    </row>
    <row r="561" spans="2:30">
      <c r="B561" s="3">
        <f>($F$38)*($F$39)*($C$19/2)</f>
        <v>24.586312499999998</v>
      </c>
      <c r="C561" s="3">
        <f t="shared" si="177"/>
        <v>826.1001</v>
      </c>
      <c r="D561" s="3">
        <f t="shared" si="178"/>
        <v>1261.3387460145786</v>
      </c>
      <c r="E561" s="3">
        <f t="shared" si="176"/>
        <v>3.7843456385922201</v>
      </c>
      <c r="F561" s="3">
        <f t="shared" si="179"/>
        <v>22.54758895607868</v>
      </c>
      <c r="J561" s="3">
        <f>0.059</f>
        <v>5.8999999999999997E-2</v>
      </c>
      <c r="K561" s="3"/>
      <c r="L561" s="3"/>
      <c r="T561" s="29"/>
      <c r="U561" s="4"/>
      <c r="V561" s="4"/>
      <c r="W561" s="4"/>
      <c r="X561" s="30"/>
      <c r="AB561" s="29"/>
      <c r="AC561" s="4"/>
      <c r="AD561" s="30"/>
    </row>
    <row r="562" spans="2:30">
      <c r="B562" s="3">
        <f>($F$38)*($F$39)*($C$20/2)</f>
        <v>27.044943749999998</v>
      </c>
      <c r="C562" s="3">
        <f t="shared" si="177"/>
        <v>908.71010999999999</v>
      </c>
      <c r="D562" s="3">
        <f t="shared" si="178"/>
        <v>1343.9487560145787</v>
      </c>
      <c r="E562" s="3">
        <f t="shared" si="176"/>
        <v>4.0321972423230603</v>
      </c>
      <c r="F562" s="3">
        <f t="shared" si="179"/>
        <v>25.597765426332316</v>
      </c>
      <c r="J562" s="3">
        <f>0.071</f>
        <v>7.0999999999999994E-2</v>
      </c>
      <c r="K562" s="3">
        <v>5.5</v>
      </c>
      <c r="L562" s="3" t="s">
        <v>33</v>
      </c>
      <c r="T562" s="29" t="s">
        <v>152</v>
      </c>
      <c r="U562" s="4"/>
      <c r="V562" s="4"/>
      <c r="W562" s="4"/>
      <c r="X562" s="30"/>
      <c r="AB562" s="29" t="s">
        <v>153</v>
      </c>
      <c r="AC562" s="4"/>
      <c r="AD562" s="30"/>
    </row>
    <row r="563" spans="2:30">
      <c r="B563" s="3">
        <f>($F$38)*($F$39)*($C$21/2)</f>
        <v>29.503574999999998</v>
      </c>
      <c r="C563" s="3">
        <f t="shared" si="177"/>
        <v>991.32011999999997</v>
      </c>
      <c r="D563" s="3">
        <f t="shared" si="178"/>
        <v>1426.5587660145786</v>
      </c>
      <c r="E563" s="3">
        <f t="shared" si="176"/>
        <v>4.2800488460538997</v>
      </c>
      <c r="F563" s="3">
        <f t="shared" si="179"/>
        <v>28.841375526089923</v>
      </c>
      <c r="J563" s="3">
        <f>0.085</f>
        <v>8.5000000000000006E-2</v>
      </c>
      <c r="K563" s="3"/>
      <c r="L563" s="3"/>
      <c r="T563" s="45" t="s">
        <v>75</v>
      </c>
      <c r="U563" s="45" t="s">
        <v>76</v>
      </c>
      <c r="V563" s="45" t="s">
        <v>77</v>
      </c>
      <c r="W563" s="45" t="s">
        <v>78</v>
      </c>
      <c r="X563" s="45" t="s">
        <v>32</v>
      </c>
      <c r="AB563" s="45" t="s">
        <v>32</v>
      </c>
      <c r="AC563" s="3"/>
      <c r="AD563" s="3"/>
    </row>
    <row r="564" spans="2:30">
      <c r="B564" s="3">
        <f>($F$38)*($F$39)*($C$22/2)</f>
        <v>31.962206249999998</v>
      </c>
      <c r="C564" s="3">
        <f t="shared" si="177"/>
        <v>1073.93013</v>
      </c>
      <c r="D564" s="3">
        <f t="shared" si="178"/>
        <v>1509.1687760145787</v>
      </c>
      <c r="E564" s="3">
        <f t="shared" si="176"/>
        <v>4.5279004497847399</v>
      </c>
      <c r="F564" s="3">
        <f t="shared" si="179"/>
        <v>32.278419255351501</v>
      </c>
      <c r="J564" s="3">
        <f>0.1</f>
        <v>0.1</v>
      </c>
      <c r="K564" s="3"/>
      <c r="L564" s="3"/>
      <c r="T564" s="3">
        <f>($F$38)*($F$39)*($C$9/2)</f>
        <v>0</v>
      </c>
      <c r="U564" s="3">
        <f>$C$46*T564</f>
        <v>0</v>
      </c>
      <c r="V564" s="3">
        <f>U564+($C$50*$C$52)</f>
        <v>435.23864601457871</v>
      </c>
      <c r="W564" s="3">
        <f t="shared" ref="W564:W588" si="180">(V564)/($C$48+((($F$40)*($C$52))*$F$27)-(($C$49+$C$50)*$F$27^2))</f>
        <v>1.3052178533484078</v>
      </c>
      <c r="X564" s="3">
        <f>($F$27*W564)*($F$27*W564*$C$52)/2</f>
        <v>2.4072563332706181</v>
      </c>
      <c r="AB564" s="3">
        <v>0</v>
      </c>
      <c r="AC564" s="3">
        <v>0</v>
      </c>
      <c r="AD564" s="3" t="s">
        <v>33</v>
      </c>
    </row>
    <row r="565" spans="2:30">
      <c r="B565" s="3">
        <f>($F$38)*($F$39)*($C$23/2)</f>
        <v>34.420837499999998</v>
      </c>
      <c r="C565" s="3">
        <f>$C$46*B565</f>
        <v>1156.5401400000001</v>
      </c>
      <c r="D565" s="3">
        <f t="shared" si="178"/>
        <v>1591.7787860145788</v>
      </c>
      <c r="E565" s="3">
        <f t="shared" si="176"/>
        <v>4.7757520535155793</v>
      </c>
      <c r="F565" s="3">
        <f t="shared" si="179"/>
        <v>35.90889661411704</v>
      </c>
      <c r="J565" s="3">
        <f>0.115</f>
        <v>0.115</v>
      </c>
      <c r="K565" s="3"/>
      <c r="L565" s="3"/>
      <c r="T565" s="3">
        <f>($F$38)*($F$39)*($C$10/2)</f>
        <v>2.4586312499999998</v>
      </c>
      <c r="U565" s="3">
        <f t="shared" ref="U565:U577" si="181">$C$46*T565</f>
        <v>82.610010000000003</v>
      </c>
      <c r="V565" s="3">
        <f t="shared" ref="V565:V588" si="182">U565+($C$50*$C$52)</f>
        <v>517.84865601457875</v>
      </c>
      <c r="W565" s="3">
        <f t="shared" si="180"/>
        <v>1.5529533449106137</v>
      </c>
      <c r="X565" s="3">
        <f t="shared" ref="X565:X588" si="183">($F$27*W565)*($F$27*W565*$C$52)/2</f>
        <v>3.4077925073115236</v>
      </c>
      <c r="AB565" s="3">
        <f>3.436*10^-4</f>
        <v>3.436E-4</v>
      </c>
      <c r="AC565" s="3">
        <v>0.5</v>
      </c>
      <c r="AD565" s="3" t="s">
        <v>33</v>
      </c>
    </row>
    <row r="566" spans="2:30">
      <c r="B566" s="3">
        <f>($F$38)*($F$39)*($C$24/2)</f>
        <v>36.879468750000001</v>
      </c>
      <c r="C566" s="3">
        <f t="shared" ref="C566:C575" si="184">$C$46*B566</f>
        <v>1239.1501500000002</v>
      </c>
      <c r="D566" s="3">
        <f t="shared" si="178"/>
        <v>1674.3887960145789</v>
      </c>
      <c r="E566" s="3">
        <f t="shared" si="176"/>
        <v>5.0236036572464196</v>
      </c>
      <c r="F566" s="3">
        <f t="shared" si="179"/>
        <v>39.732807602386565</v>
      </c>
      <c r="J566" s="3">
        <f>0.133</f>
        <v>0.13300000000000001</v>
      </c>
      <c r="K566" s="3"/>
      <c r="L566" s="3"/>
      <c r="T566" s="3">
        <f>($F$38)*($F$39)*($C$11/2)</f>
        <v>4.9172624999999996</v>
      </c>
      <c r="U566" s="3">
        <f t="shared" si="181"/>
        <v>165.22002000000001</v>
      </c>
      <c r="V566" s="3">
        <f t="shared" si="182"/>
        <v>600.45866601457874</v>
      </c>
      <c r="W566" s="3">
        <f t="shared" si="180"/>
        <v>1.8006888364728193</v>
      </c>
      <c r="X566" s="3">
        <f t="shared" si="183"/>
        <v>4.581774079621626</v>
      </c>
      <c r="AB566" s="3">
        <f>0.001</f>
        <v>1E-3</v>
      </c>
      <c r="AC566" s="3">
        <v>1</v>
      </c>
      <c r="AD566" s="3" t="s">
        <v>33</v>
      </c>
    </row>
    <row r="567" spans="2:30">
      <c r="B567" s="3">
        <f>($F$38)*($F$39)*($C$25/2)</f>
        <v>39.338099999999997</v>
      </c>
      <c r="C567" s="3">
        <f t="shared" si="184"/>
        <v>1321.76016</v>
      </c>
      <c r="D567" s="3">
        <f t="shared" si="178"/>
        <v>1756.9988060145788</v>
      </c>
      <c r="E567" s="3">
        <f t="shared" si="176"/>
        <v>5.2714552609772589</v>
      </c>
      <c r="F567" s="3">
        <f t="shared" si="179"/>
        <v>43.750152220160047</v>
      </c>
      <c r="J567" s="3">
        <v>0.151</v>
      </c>
      <c r="K567" s="3"/>
      <c r="L567" s="3"/>
      <c r="T567" s="3">
        <f>($F$38)*($F$39)*($C$12/2)</f>
        <v>7.3758937499999995</v>
      </c>
      <c r="U567" s="3">
        <f t="shared" si="181"/>
        <v>247.83002999999999</v>
      </c>
      <c r="V567" s="3">
        <f t="shared" si="182"/>
        <v>683.06867601457873</v>
      </c>
      <c r="W567" s="3">
        <f t="shared" si="180"/>
        <v>2.0484243280350252</v>
      </c>
      <c r="X567" s="3">
        <f t="shared" si="183"/>
        <v>5.9292010502009278</v>
      </c>
      <c r="AB567" s="3">
        <f>0.003</f>
        <v>3.0000000000000001E-3</v>
      </c>
      <c r="AC567" s="3">
        <v>1.5</v>
      </c>
      <c r="AD567" s="3" t="s">
        <v>33</v>
      </c>
    </row>
    <row r="568" spans="2:30">
      <c r="B568" s="3">
        <f>($F$38)*($F$39)*($C$26/2)</f>
        <v>41.796731249999993</v>
      </c>
      <c r="C568" s="3">
        <f t="shared" si="184"/>
        <v>1404.3701699999999</v>
      </c>
      <c r="D568" s="3">
        <f t="shared" si="178"/>
        <v>1839.6088160145787</v>
      </c>
      <c r="E568" s="3">
        <f t="shared" si="176"/>
        <v>5.5193068647080983</v>
      </c>
      <c r="F568" s="3">
        <f t="shared" si="179"/>
        <v>47.960930467437514</v>
      </c>
      <c r="J568" s="3">
        <f>0.17</f>
        <v>0.17</v>
      </c>
      <c r="K568" s="3"/>
      <c r="L568" s="3"/>
      <c r="T568" s="3">
        <f>($F$38)*($F$39)*($C$13/2)</f>
        <v>9.8345249999999993</v>
      </c>
      <c r="U568" s="3">
        <f t="shared" si="181"/>
        <v>330.44004000000001</v>
      </c>
      <c r="V568" s="3">
        <f t="shared" si="182"/>
        <v>765.67868601457872</v>
      </c>
      <c r="W568" s="3">
        <f t="shared" si="180"/>
        <v>2.2961598195972308</v>
      </c>
      <c r="X568" s="3">
        <f t="shared" si="183"/>
        <v>7.4500734190494251</v>
      </c>
      <c r="AB568" s="3">
        <f>0.005</f>
        <v>5.0000000000000001E-3</v>
      </c>
      <c r="AC568" s="3">
        <v>2</v>
      </c>
      <c r="AD568" s="3" t="s">
        <v>33</v>
      </c>
    </row>
    <row r="569" spans="2:30">
      <c r="B569" s="3">
        <f>($F$38)*($F$39)*($C$27/2)</f>
        <v>44.255362499999997</v>
      </c>
      <c r="C569" s="3">
        <f t="shared" si="184"/>
        <v>1486.98018</v>
      </c>
      <c r="D569" s="3">
        <f t="shared" si="178"/>
        <v>1922.2188260145788</v>
      </c>
      <c r="E569" s="3">
        <f t="shared" si="176"/>
        <v>5.7671584684389385</v>
      </c>
      <c r="F569" s="3">
        <f t="shared" si="179"/>
        <v>52.365142344218938</v>
      </c>
      <c r="J569" s="3">
        <f>0.191</f>
        <v>0.191</v>
      </c>
      <c r="K569" s="3"/>
      <c r="L569" s="3"/>
      <c r="T569" s="3">
        <f>($F$38)*($F$39)*($C$14/2)</f>
        <v>12.293156249999999</v>
      </c>
      <c r="U569" s="3">
        <f t="shared" si="181"/>
        <v>413.05005</v>
      </c>
      <c r="V569" s="3">
        <f t="shared" si="182"/>
        <v>848.2886960145787</v>
      </c>
      <c r="W569" s="3">
        <f t="shared" si="180"/>
        <v>2.5438953111594365</v>
      </c>
      <c r="X569" s="3">
        <f t="shared" si="183"/>
        <v>9.1443911861671197</v>
      </c>
      <c r="AB569" s="3">
        <f>0.009</f>
        <v>8.9999999999999993E-3</v>
      </c>
      <c r="AC569" s="3">
        <v>2.5</v>
      </c>
      <c r="AD569" s="3" t="s">
        <v>33</v>
      </c>
    </row>
    <row r="570" spans="2:30">
      <c r="B570" s="3">
        <f>($F$38)*($F$39)*($C$28/2)</f>
        <v>46.71399375</v>
      </c>
      <c r="C570" s="3">
        <f t="shared" si="184"/>
        <v>1569.5901900000001</v>
      </c>
      <c r="D570" s="3">
        <f t="shared" si="178"/>
        <v>2004.8288360145789</v>
      </c>
      <c r="E570" s="3">
        <f t="shared" si="176"/>
        <v>6.0150100721697788</v>
      </c>
      <c r="F570" s="3">
        <f t="shared" si="179"/>
        <v>56.96278785050437</v>
      </c>
      <c r="J570" s="3">
        <f>0.213</f>
        <v>0.21299999999999999</v>
      </c>
      <c r="K570" s="3"/>
      <c r="L570" s="3"/>
      <c r="T570" s="3">
        <f>($F$38)*($F$39)*($C$15/2)</f>
        <v>14.751787499999999</v>
      </c>
      <c r="U570" s="3">
        <f t="shared" si="181"/>
        <v>495.66005999999999</v>
      </c>
      <c r="V570" s="3">
        <f t="shared" si="182"/>
        <v>930.89870601457869</v>
      </c>
      <c r="W570" s="3">
        <f t="shared" si="180"/>
        <v>2.7916308027216421</v>
      </c>
      <c r="X570" s="3">
        <f t="shared" si="183"/>
        <v>11.012154351554011</v>
      </c>
      <c r="AB570" s="3">
        <f>0.012</f>
        <v>1.2E-2</v>
      </c>
      <c r="AC570" s="3">
        <v>3</v>
      </c>
      <c r="AD570" s="3" t="s">
        <v>33</v>
      </c>
    </row>
    <row r="571" spans="2:30">
      <c r="B571" s="3">
        <f>($F$38)*($F$39)*($C$29/2)</f>
        <v>49.172624999999996</v>
      </c>
      <c r="C571" s="3">
        <f t="shared" si="184"/>
        <v>1652.2002</v>
      </c>
      <c r="D571" s="3">
        <f t="shared" si="178"/>
        <v>2087.4388460145788</v>
      </c>
      <c r="E571" s="3">
        <f t="shared" si="176"/>
        <v>6.2628616759006182</v>
      </c>
      <c r="F571" s="3">
        <f t="shared" si="179"/>
        <v>61.753866986293723</v>
      </c>
      <c r="J571" s="3">
        <f>0.236</f>
        <v>0.23599999999999999</v>
      </c>
      <c r="K571" s="3"/>
      <c r="L571" s="3"/>
      <c r="T571" s="3">
        <f>($F$38)*($F$39)*($C$16/2)</f>
        <v>17.210418749999999</v>
      </c>
      <c r="U571" s="3">
        <f t="shared" si="181"/>
        <v>578.27007000000003</v>
      </c>
      <c r="V571" s="3">
        <f t="shared" si="182"/>
        <v>1013.5087160145788</v>
      </c>
      <c r="W571" s="3">
        <f t="shared" si="180"/>
        <v>3.0393662942838482</v>
      </c>
      <c r="X571" s="3">
        <f t="shared" si="183"/>
        <v>13.053362915210103</v>
      </c>
      <c r="AB571" s="3">
        <f>0.017</f>
        <v>1.7000000000000001E-2</v>
      </c>
      <c r="AC571" s="3">
        <v>3.5</v>
      </c>
      <c r="AD571" s="3" t="s">
        <v>33</v>
      </c>
    </row>
    <row r="572" spans="2:30">
      <c r="B572" s="3">
        <f>($F$38)*($F$39)*($C$30/2)</f>
        <v>51.631256249999993</v>
      </c>
      <c r="C572" s="3">
        <f t="shared" si="184"/>
        <v>1734.8102099999999</v>
      </c>
      <c r="D572" s="3">
        <f t="shared" si="178"/>
        <v>2170.0488560145786</v>
      </c>
      <c r="E572" s="3">
        <f t="shared" si="176"/>
        <v>6.5107132796314575</v>
      </c>
      <c r="F572" s="3">
        <f t="shared" si="179"/>
        <v>66.738379751587061</v>
      </c>
      <c r="J572" s="3">
        <f>0.26</f>
        <v>0.26</v>
      </c>
      <c r="K572" s="3"/>
      <c r="L572" s="3"/>
      <c r="T572" s="3">
        <f>($F$38)*($F$39)*($C$17/2)</f>
        <v>19.669049999999999</v>
      </c>
      <c r="U572" s="3">
        <f t="shared" si="181"/>
        <v>660.88008000000002</v>
      </c>
      <c r="V572" s="3">
        <f t="shared" si="182"/>
        <v>1096.1187260145787</v>
      </c>
      <c r="W572" s="3">
        <f t="shared" si="180"/>
        <v>3.2871017858460534</v>
      </c>
      <c r="X572" s="3">
        <f t="shared" si="183"/>
        <v>15.268016877135386</v>
      </c>
      <c r="AB572" s="3">
        <f>0.022</f>
        <v>2.1999999999999999E-2</v>
      </c>
      <c r="AC572" s="3">
        <v>4</v>
      </c>
      <c r="AD572" s="3" t="s">
        <v>33</v>
      </c>
    </row>
    <row r="573" spans="2:30">
      <c r="B573" s="3">
        <f>($F$38)*($F$39)*($C$31/2)</f>
        <v>54.089887499999996</v>
      </c>
      <c r="C573" s="3">
        <f t="shared" si="184"/>
        <v>1817.42022</v>
      </c>
      <c r="D573" s="3">
        <f t="shared" si="178"/>
        <v>2252.6588660145785</v>
      </c>
      <c r="E573" s="3">
        <f t="shared" si="176"/>
        <v>6.7585648833622969</v>
      </c>
      <c r="F573" s="3">
        <f t="shared" si="179"/>
        <v>71.916326146384364</v>
      </c>
      <c r="J573" s="3">
        <f>0.285</f>
        <v>0.28499999999999998</v>
      </c>
      <c r="K573" s="3"/>
      <c r="L573" s="3"/>
      <c r="T573" s="3">
        <f>($F$38)*($F$39)*($C$18/2)</f>
        <v>22.127681249999998</v>
      </c>
      <c r="U573" s="3">
        <f t="shared" si="181"/>
        <v>743.49009000000001</v>
      </c>
      <c r="V573" s="3">
        <f t="shared" si="182"/>
        <v>1178.7287360145788</v>
      </c>
      <c r="W573" s="3">
        <f t="shared" si="180"/>
        <v>3.5348372774082595</v>
      </c>
      <c r="X573" s="3">
        <f t="shared" si="183"/>
        <v>17.656116237329872</v>
      </c>
      <c r="AB573" s="3">
        <f>0.028</f>
        <v>2.8000000000000001E-2</v>
      </c>
      <c r="AC573" s="3">
        <v>4.5</v>
      </c>
      <c r="AD573" s="3" t="s">
        <v>33</v>
      </c>
    </row>
    <row r="574" spans="2:30">
      <c r="B574" s="3">
        <f>($F$38)*($F$39)*($C$32/2)</f>
        <v>56.548518749999999</v>
      </c>
      <c r="C574" s="3">
        <f t="shared" si="184"/>
        <v>1900.0302300000001</v>
      </c>
      <c r="D574" s="3">
        <f t="shared" si="178"/>
        <v>2335.2688760145788</v>
      </c>
      <c r="E574" s="3">
        <f t="shared" si="176"/>
        <v>7.006416487093138</v>
      </c>
      <c r="F574" s="3">
        <f t="shared" si="179"/>
        <v>77.287706170685681</v>
      </c>
      <c r="J574" s="3">
        <f>0.312</f>
        <v>0.312</v>
      </c>
      <c r="K574" s="3"/>
      <c r="L574" s="3"/>
      <c r="T574" s="3">
        <f>($F$38)*($F$39)*($C$19/2)</f>
        <v>24.586312499999998</v>
      </c>
      <c r="U574" s="3">
        <f t="shared" si="181"/>
        <v>826.1001</v>
      </c>
      <c r="V574" s="3">
        <f t="shared" si="182"/>
        <v>1261.3387460145786</v>
      </c>
      <c r="W574" s="3">
        <f t="shared" si="180"/>
        <v>3.7825727689704647</v>
      </c>
      <c r="X574" s="3">
        <f t="shared" si="183"/>
        <v>20.217660995793551</v>
      </c>
      <c r="AB574" s="3">
        <f>0.034</f>
        <v>3.4000000000000002E-2</v>
      </c>
      <c r="AC574" s="3">
        <v>5</v>
      </c>
      <c r="AD574" s="3" t="s">
        <v>33</v>
      </c>
    </row>
    <row r="575" spans="2:30">
      <c r="B575" s="3">
        <f>($F$38)*($F$39)*($C$33/2)</f>
        <v>59.007149999999996</v>
      </c>
      <c r="C575" s="3">
        <f t="shared" si="184"/>
        <v>1982.6402399999999</v>
      </c>
      <c r="D575" s="3">
        <f t="shared" si="178"/>
        <v>2417.8788860145787</v>
      </c>
      <c r="E575" s="3">
        <f t="shared" si="176"/>
        <v>7.2542680908239774</v>
      </c>
      <c r="F575" s="3">
        <f t="shared" si="179"/>
        <v>82.85251982449094</v>
      </c>
      <c r="J575" s="3">
        <f>0.339</f>
        <v>0.33900000000000002</v>
      </c>
      <c r="K575" s="3"/>
      <c r="L575" s="3"/>
      <c r="T575" s="3">
        <f>($F$38)*($F$39)*($C$20/2)</f>
        <v>27.044943749999998</v>
      </c>
      <c r="U575" s="3">
        <f t="shared" si="181"/>
        <v>908.71010999999999</v>
      </c>
      <c r="V575" s="3">
        <f t="shared" si="182"/>
        <v>1343.9487560145787</v>
      </c>
      <c r="W575" s="3">
        <f t="shared" si="180"/>
        <v>4.0303082605326708</v>
      </c>
      <c r="X575" s="3">
        <f t="shared" si="183"/>
        <v>22.952651152526428</v>
      </c>
      <c r="AB575" s="3">
        <f>0.042</f>
        <v>4.2000000000000003E-2</v>
      </c>
      <c r="AC575" s="3">
        <v>5.5</v>
      </c>
      <c r="AD575" s="3" t="s">
        <v>33</v>
      </c>
    </row>
    <row r="576" spans="2:30">
      <c r="B576" s="3">
        <f>($F$38)*($F$39)*($C$34/2)</f>
        <v>0</v>
      </c>
      <c r="C576" s="3">
        <f>$C$46*B576</f>
        <v>0</v>
      </c>
      <c r="D576" s="3">
        <f t="shared" si="178"/>
        <v>435.23864601457871</v>
      </c>
      <c r="E576" s="3">
        <f t="shared" si="176"/>
        <v>1.3058296012838226</v>
      </c>
      <c r="F576" s="3">
        <f t="shared" si="179"/>
        <v>2.6846738762607596</v>
      </c>
      <c r="J576" s="29"/>
      <c r="K576" s="4"/>
      <c r="L576" s="30"/>
      <c r="T576" s="3">
        <f>($F$38)*($F$39)*($C$21/2)</f>
        <v>29.503574999999998</v>
      </c>
      <c r="U576" s="3">
        <f t="shared" si="181"/>
        <v>991.32011999999997</v>
      </c>
      <c r="V576" s="3">
        <f t="shared" si="182"/>
        <v>1426.5587660145786</v>
      </c>
      <c r="W576" s="3">
        <f t="shared" si="180"/>
        <v>4.2780437520948764</v>
      </c>
      <c r="X576" s="3">
        <f t="shared" si="183"/>
        <v>25.8610867075285</v>
      </c>
      <c r="AB576" s="3">
        <f>0.049</f>
        <v>4.9000000000000002E-2</v>
      </c>
      <c r="AC576" s="3">
        <v>6</v>
      </c>
      <c r="AD576" s="3" t="s">
        <v>33</v>
      </c>
    </row>
    <row r="577" spans="2:30">
      <c r="B577" s="29"/>
      <c r="C577" s="4"/>
      <c r="D577" s="4"/>
      <c r="E577" s="4"/>
      <c r="F577" s="30"/>
      <c r="J577" s="29"/>
      <c r="K577" s="4"/>
      <c r="L577" s="30"/>
      <c r="T577" s="3">
        <f>($F$38)*($F$39)*($C$22/2)</f>
        <v>31.962206249999998</v>
      </c>
      <c r="U577" s="3">
        <f t="shared" si="181"/>
        <v>1073.93013</v>
      </c>
      <c r="V577" s="3">
        <f t="shared" si="182"/>
        <v>1509.1687760145787</v>
      </c>
      <c r="W577" s="3">
        <f t="shared" si="180"/>
        <v>4.5257792436570821</v>
      </c>
      <c r="X577" s="3">
        <f t="shared" si="183"/>
        <v>28.942967660799773</v>
      </c>
      <c r="AB577" s="3">
        <f>0.058</f>
        <v>5.8000000000000003E-2</v>
      </c>
      <c r="AC577" s="3">
        <v>6.5</v>
      </c>
      <c r="AD577" s="3" t="s">
        <v>33</v>
      </c>
    </row>
    <row r="578" spans="2:30">
      <c r="B578" s="29" t="s">
        <v>152</v>
      </c>
      <c r="C578" s="4"/>
      <c r="D578" s="4"/>
      <c r="E578" s="4"/>
      <c r="F578" s="30"/>
      <c r="J578" s="29" t="s">
        <v>153</v>
      </c>
      <c r="K578" s="4"/>
      <c r="L578" s="30"/>
      <c r="T578" s="3">
        <f>($F$38)*($F$39)*($C$23/2)</f>
        <v>34.420837499999998</v>
      </c>
      <c r="U578" s="3">
        <f>$C$46*T578</f>
        <v>1156.5401400000001</v>
      </c>
      <c r="V578" s="3">
        <f t="shared" si="182"/>
        <v>1591.7787860145788</v>
      </c>
      <c r="W578" s="3">
        <f t="shared" si="180"/>
        <v>4.7735147352192877</v>
      </c>
      <c r="X578" s="3">
        <f t="shared" si="183"/>
        <v>32.198294012340241</v>
      </c>
      <c r="AB578" s="3">
        <f>0.067</f>
        <v>6.7000000000000004E-2</v>
      </c>
      <c r="AC578" s="3">
        <v>7</v>
      </c>
      <c r="AD578" s="3" t="s">
        <v>33</v>
      </c>
    </row>
    <row r="579" spans="2:30">
      <c r="B579" s="45" t="s">
        <v>75</v>
      </c>
      <c r="C579" s="45" t="s">
        <v>76</v>
      </c>
      <c r="D579" s="45" t="s">
        <v>77</v>
      </c>
      <c r="E579" s="45" t="s">
        <v>78</v>
      </c>
      <c r="F579" s="45" t="s">
        <v>32</v>
      </c>
      <c r="J579" s="45" t="s">
        <v>32</v>
      </c>
      <c r="K579" s="3"/>
      <c r="L579" s="3"/>
      <c r="T579" s="3">
        <f>($F$38)*($F$39)*($C$24/2)</f>
        <v>36.879468750000001</v>
      </c>
      <c r="U579" s="3">
        <f t="shared" ref="U579:U588" si="185">$C$46*T579</f>
        <v>1239.1501500000002</v>
      </c>
      <c r="V579" s="3">
        <f t="shared" si="182"/>
        <v>1674.3887960145789</v>
      </c>
      <c r="W579" s="3">
        <f t="shared" si="180"/>
        <v>5.0212502267814942</v>
      </c>
      <c r="X579" s="3">
        <f t="shared" si="183"/>
        <v>35.627065762149918</v>
      </c>
      <c r="AB579" s="3">
        <f>0.077</f>
        <v>7.6999999999999999E-2</v>
      </c>
      <c r="AC579" s="3">
        <v>7.5</v>
      </c>
      <c r="AD579" s="3" t="s">
        <v>33</v>
      </c>
    </row>
    <row r="580" spans="2:30">
      <c r="B580" s="3">
        <f>($F$38)*($F$39)*($C$9/2)</f>
        <v>0</v>
      </c>
      <c r="C580" s="3">
        <f>$C$46*B580</f>
        <v>0</v>
      </c>
      <c r="D580" s="3">
        <f>C580+($C$50*$C$52)</f>
        <v>435.23864601457871</v>
      </c>
      <c r="E580" s="3">
        <f t="shared" ref="E580:E605" si="186">(D580)/($C$48+((($F$40)*($C$52))*$F$27)-(($C$49+$C$50)*$F$27^2))</f>
        <v>1.3052178533484078</v>
      </c>
      <c r="F580" s="3">
        <f>($F$27*E580)*($F$27*E580*$C$52)/2</f>
        <v>2.4072563332706181</v>
      </c>
      <c r="J580" s="3">
        <v>0</v>
      </c>
      <c r="K580" s="3"/>
      <c r="L580" s="3"/>
      <c r="T580" s="3">
        <f>($F$38)*($F$39)*($C$25/2)</f>
        <v>39.338099999999997</v>
      </c>
      <c r="U580" s="3">
        <f t="shared" si="185"/>
        <v>1321.76016</v>
      </c>
      <c r="V580" s="3">
        <f t="shared" si="182"/>
        <v>1756.9988060145788</v>
      </c>
      <c r="W580" s="3">
        <f t="shared" si="180"/>
        <v>5.2689857183436999</v>
      </c>
      <c r="X580" s="3">
        <f t="shared" si="183"/>
        <v>39.229282910228783</v>
      </c>
      <c r="AB580" s="3">
        <f>0.088</f>
        <v>8.7999999999999995E-2</v>
      </c>
      <c r="AC580" s="3">
        <v>8</v>
      </c>
      <c r="AD580" s="3" t="s">
        <v>33</v>
      </c>
    </row>
    <row r="581" spans="2:30">
      <c r="B581" s="3">
        <f>($F$38)*($F$39)*($C$10/2)</f>
        <v>2.4586312499999998</v>
      </c>
      <c r="C581" s="3">
        <f t="shared" ref="C581:C593" si="187">$C$46*B581</f>
        <v>82.610010000000003</v>
      </c>
      <c r="D581" s="3">
        <f t="shared" ref="D581:D605" si="188">C581+($C$50*$C$52)</f>
        <v>517.84865601457875</v>
      </c>
      <c r="E581" s="3">
        <f t="shared" si="186"/>
        <v>1.5529533449106137</v>
      </c>
      <c r="F581" s="3">
        <f t="shared" ref="F581:F605" si="189">($F$27*E581)*($F$27*E581*$C$52)/2</f>
        <v>3.4077925073115236</v>
      </c>
      <c r="J581" s="3">
        <f>3.436*10^-4</f>
        <v>3.436E-4</v>
      </c>
      <c r="K581" s="3"/>
      <c r="L581" s="3"/>
      <c r="T581" s="3">
        <f>($F$38)*($F$39)*($C$26/2)</f>
        <v>41.796731249999993</v>
      </c>
      <c r="U581" s="3">
        <f t="shared" si="185"/>
        <v>1404.3701699999999</v>
      </c>
      <c r="V581" s="3">
        <f t="shared" si="182"/>
        <v>1839.6088160145787</v>
      </c>
      <c r="W581" s="3">
        <f t="shared" si="180"/>
        <v>5.5167212099059046</v>
      </c>
      <c r="X581" s="3">
        <f t="shared" si="183"/>
        <v>43.004945456576834</v>
      </c>
      <c r="AB581" s="3">
        <f>0.099</f>
        <v>9.9000000000000005E-2</v>
      </c>
      <c r="AC581" s="3">
        <v>8.5</v>
      </c>
      <c r="AD581" s="3" t="s">
        <v>33</v>
      </c>
    </row>
    <row r="582" spans="2:30">
      <c r="B582" s="3">
        <f>($F$38)*($F$39)*($C$11/2)</f>
        <v>4.9172624999999996</v>
      </c>
      <c r="C582" s="3">
        <f t="shared" si="187"/>
        <v>165.22002000000001</v>
      </c>
      <c r="D582" s="3">
        <f t="shared" si="188"/>
        <v>600.45866601457874</v>
      </c>
      <c r="E582" s="3">
        <f t="shared" si="186"/>
        <v>1.8006888364728193</v>
      </c>
      <c r="F582" s="3">
        <f t="shared" si="189"/>
        <v>4.581774079621626</v>
      </c>
      <c r="J582" s="3">
        <f>0.001</f>
        <v>1E-3</v>
      </c>
      <c r="K582" s="3"/>
      <c r="L582" s="3"/>
      <c r="T582" s="3">
        <f>($F$38)*($F$39)*($C$27/2)</f>
        <v>44.255362499999997</v>
      </c>
      <c r="U582" s="3">
        <f t="shared" si="185"/>
        <v>1486.98018</v>
      </c>
      <c r="V582" s="3">
        <f t="shared" si="182"/>
        <v>1922.2188260145788</v>
      </c>
      <c r="W582" s="3">
        <f t="shared" si="180"/>
        <v>5.7644567014681112</v>
      </c>
      <c r="X582" s="3">
        <f t="shared" si="183"/>
        <v>46.954053401194102</v>
      </c>
      <c r="AB582" s="3">
        <f>0.111</f>
        <v>0.111</v>
      </c>
      <c r="AC582" s="3">
        <v>9</v>
      </c>
      <c r="AD582" s="3" t="s">
        <v>33</v>
      </c>
    </row>
    <row r="583" spans="2:30">
      <c r="B583" s="3">
        <f>($F$38)*($F$39)*($C$12/2)</f>
        <v>7.3758937499999995</v>
      </c>
      <c r="C583" s="3">
        <f t="shared" si="187"/>
        <v>247.83002999999999</v>
      </c>
      <c r="D583" s="3">
        <f t="shared" si="188"/>
        <v>683.06867601457873</v>
      </c>
      <c r="E583" s="3">
        <f t="shared" si="186"/>
        <v>2.0484243280350252</v>
      </c>
      <c r="F583" s="3">
        <f t="shared" si="189"/>
        <v>5.9292010502009278</v>
      </c>
      <c r="J583" s="3">
        <f>0.003</f>
        <v>3.0000000000000001E-3</v>
      </c>
      <c r="K583" s="3"/>
      <c r="L583" s="3"/>
      <c r="T583" s="3">
        <f>($F$38)*($F$39)*($C$28/2)</f>
        <v>46.71399375</v>
      </c>
      <c r="U583" s="3">
        <f t="shared" si="185"/>
        <v>1569.5901900000001</v>
      </c>
      <c r="V583" s="3">
        <f t="shared" si="182"/>
        <v>2004.8288360145789</v>
      </c>
      <c r="W583" s="3">
        <f t="shared" si="180"/>
        <v>6.0121921930303168</v>
      </c>
      <c r="X583" s="3">
        <f t="shared" si="183"/>
        <v>51.076606744080564</v>
      </c>
      <c r="AB583" s="3">
        <f>0.124</f>
        <v>0.124</v>
      </c>
      <c r="AC583" s="3">
        <v>9.5</v>
      </c>
      <c r="AD583" s="3" t="s">
        <v>33</v>
      </c>
    </row>
    <row r="584" spans="2:30">
      <c r="B584" s="3">
        <f>($F$38)*($F$39)*($C$13/2)</f>
        <v>9.8345249999999993</v>
      </c>
      <c r="C584" s="3">
        <f t="shared" si="187"/>
        <v>330.44004000000001</v>
      </c>
      <c r="D584" s="3">
        <f t="shared" si="188"/>
        <v>765.67868601457872</v>
      </c>
      <c r="E584" s="3">
        <f t="shared" si="186"/>
        <v>2.2961598195972308</v>
      </c>
      <c r="F584" s="3">
        <f t="shared" si="189"/>
        <v>7.4500734190494251</v>
      </c>
      <c r="J584" s="3">
        <f>0.005</f>
        <v>5.0000000000000001E-3</v>
      </c>
      <c r="K584" s="3"/>
      <c r="L584" s="3"/>
      <c r="T584" s="3">
        <f>($F$38)*($F$39)*($C$29/2)</f>
        <v>49.172624999999996</v>
      </c>
      <c r="U584" s="3">
        <f t="shared" si="185"/>
        <v>1652.2002</v>
      </c>
      <c r="V584" s="3">
        <f t="shared" si="182"/>
        <v>2087.4388460145788</v>
      </c>
      <c r="W584" s="3">
        <f t="shared" si="180"/>
        <v>6.2599276845925225</v>
      </c>
      <c r="X584" s="3">
        <f t="shared" si="183"/>
        <v>55.372605485236221</v>
      </c>
      <c r="AB584" s="3">
        <f>0.137</f>
        <v>0.13700000000000001</v>
      </c>
      <c r="AC584" s="3">
        <v>10</v>
      </c>
      <c r="AD584" s="3" t="s">
        <v>33</v>
      </c>
    </row>
    <row r="585" spans="2:30">
      <c r="B585" s="3">
        <f>($F$38)*($F$39)*($C$14/2)</f>
        <v>12.293156249999999</v>
      </c>
      <c r="C585" s="3">
        <f t="shared" si="187"/>
        <v>413.05005</v>
      </c>
      <c r="D585" s="3">
        <f t="shared" si="188"/>
        <v>848.2886960145787</v>
      </c>
      <c r="E585" s="3">
        <f t="shared" si="186"/>
        <v>2.5438953111594365</v>
      </c>
      <c r="F585" s="3">
        <f t="shared" si="189"/>
        <v>9.1443911861671197</v>
      </c>
      <c r="J585" s="3">
        <f>0.009</f>
        <v>8.9999999999999993E-3</v>
      </c>
      <c r="K585" s="3"/>
      <c r="L585" s="3"/>
      <c r="T585" s="3">
        <f>($F$38)*($F$39)*($C$30/2)</f>
        <v>51.631256249999993</v>
      </c>
      <c r="U585" s="3">
        <f t="shared" si="185"/>
        <v>1734.8102099999999</v>
      </c>
      <c r="V585" s="3">
        <f t="shared" si="182"/>
        <v>2170.0488560145786</v>
      </c>
      <c r="W585" s="3">
        <f t="shared" si="180"/>
        <v>6.5076631761547272</v>
      </c>
      <c r="X585" s="3">
        <f t="shared" si="183"/>
        <v>59.842049624661037</v>
      </c>
      <c r="AB585" s="3">
        <f>0.152</f>
        <v>0.152</v>
      </c>
      <c r="AC585" s="3">
        <v>10.5</v>
      </c>
      <c r="AD585" s="3" t="s">
        <v>33</v>
      </c>
    </row>
    <row r="586" spans="2:30">
      <c r="B586" s="3">
        <f>($F$38)*($F$39)*($C$15/2)</f>
        <v>14.751787499999999</v>
      </c>
      <c r="C586" s="3">
        <f t="shared" si="187"/>
        <v>495.66005999999999</v>
      </c>
      <c r="D586" s="3">
        <f t="shared" si="188"/>
        <v>930.89870601457869</v>
      </c>
      <c r="E586" s="3">
        <f t="shared" si="186"/>
        <v>2.7916308027216421</v>
      </c>
      <c r="F586" s="3">
        <f t="shared" si="189"/>
        <v>11.012154351554011</v>
      </c>
      <c r="J586" s="3">
        <f>0.012</f>
        <v>1.2E-2</v>
      </c>
      <c r="K586" s="3"/>
      <c r="L586" s="3"/>
      <c r="T586" s="3">
        <f>($F$38)*($F$39)*($C$31/2)</f>
        <v>54.089887499999996</v>
      </c>
      <c r="U586" s="3">
        <f t="shared" si="185"/>
        <v>1817.42022</v>
      </c>
      <c r="V586" s="3">
        <f t="shared" si="182"/>
        <v>2252.6588660145785</v>
      </c>
      <c r="W586" s="3">
        <f t="shared" si="180"/>
        <v>6.7553986677169329</v>
      </c>
      <c r="X586" s="3">
        <f t="shared" si="183"/>
        <v>64.484939162355076</v>
      </c>
      <c r="AB586" s="3">
        <f>0.166</f>
        <v>0.16600000000000001</v>
      </c>
      <c r="AC586" s="3">
        <v>11</v>
      </c>
      <c r="AD586" s="3" t="s">
        <v>33</v>
      </c>
    </row>
    <row r="587" spans="2:30">
      <c r="B587" s="3">
        <f>($F$38)*($F$39)*($C$16/2)</f>
        <v>17.210418749999999</v>
      </c>
      <c r="C587" s="3">
        <f t="shared" si="187"/>
        <v>578.27007000000003</v>
      </c>
      <c r="D587" s="3">
        <f t="shared" si="188"/>
        <v>1013.5087160145788</v>
      </c>
      <c r="E587" s="3">
        <f t="shared" si="186"/>
        <v>3.0393662942838482</v>
      </c>
      <c r="F587" s="3">
        <f t="shared" si="189"/>
        <v>13.053362915210103</v>
      </c>
      <c r="J587" s="3">
        <f>0.017</f>
        <v>1.7000000000000001E-2</v>
      </c>
      <c r="K587" s="3"/>
      <c r="L587" s="3"/>
      <c r="T587" s="3">
        <f>($F$38)*($F$39)*($C$32/2)</f>
        <v>56.548518749999999</v>
      </c>
      <c r="U587" s="3">
        <f t="shared" si="185"/>
        <v>1900.0302300000001</v>
      </c>
      <c r="V587" s="3">
        <f t="shared" si="182"/>
        <v>2335.2688760145788</v>
      </c>
      <c r="W587" s="3">
        <f t="shared" si="180"/>
        <v>7.0031341592791394</v>
      </c>
      <c r="X587" s="3">
        <f t="shared" si="183"/>
        <v>69.301274098318345</v>
      </c>
      <c r="AB587" s="3">
        <f>0.182</f>
        <v>0.182</v>
      </c>
      <c r="AC587" s="3">
        <v>11.5</v>
      </c>
      <c r="AD587" s="3" t="s">
        <v>33</v>
      </c>
    </row>
    <row r="588" spans="2:30">
      <c r="B588" s="3">
        <f>($F$38)*($F$39)*($C$17/2)</f>
        <v>19.669049999999999</v>
      </c>
      <c r="C588" s="3">
        <f t="shared" si="187"/>
        <v>660.88008000000002</v>
      </c>
      <c r="D588" s="3">
        <f t="shared" si="188"/>
        <v>1096.1187260145787</v>
      </c>
      <c r="E588" s="3">
        <f t="shared" si="186"/>
        <v>3.2871017858460534</v>
      </c>
      <c r="F588" s="3">
        <f t="shared" si="189"/>
        <v>15.268016877135386</v>
      </c>
      <c r="J588" s="3">
        <f>0.022</f>
        <v>2.1999999999999999E-2</v>
      </c>
      <c r="K588" s="3"/>
      <c r="L588" s="3"/>
      <c r="T588" s="3">
        <f>($F$38)*($F$39)*($C$33/2)</f>
        <v>59.007149999999996</v>
      </c>
      <c r="U588" s="3">
        <f t="shared" si="185"/>
        <v>1982.6402399999999</v>
      </c>
      <c r="V588" s="3">
        <f t="shared" si="182"/>
        <v>2417.8788860145787</v>
      </c>
      <c r="W588" s="3">
        <f t="shared" si="180"/>
        <v>7.250869650841345</v>
      </c>
      <c r="X588" s="3">
        <f t="shared" si="183"/>
        <v>74.291054432550808</v>
      </c>
      <c r="AB588" s="3">
        <f>0.198</f>
        <v>0.19800000000000001</v>
      </c>
      <c r="AC588" s="3">
        <v>12</v>
      </c>
      <c r="AD588" s="3" t="s">
        <v>33</v>
      </c>
    </row>
    <row r="589" spans="2:30">
      <c r="B589" s="3">
        <f>($F$38)*($F$39)*($C$18/2)</f>
        <v>22.127681249999998</v>
      </c>
      <c r="C589" s="3">
        <f t="shared" si="187"/>
        <v>743.49009000000001</v>
      </c>
      <c r="D589" s="3">
        <f t="shared" si="188"/>
        <v>1178.7287360145788</v>
      </c>
      <c r="E589" s="3">
        <f t="shared" si="186"/>
        <v>3.5348372774082595</v>
      </c>
      <c r="F589" s="3">
        <f t="shared" si="189"/>
        <v>17.656116237329872</v>
      </c>
      <c r="J589" s="3">
        <f>0.028</f>
        <v>2.8000000000000001E-2</v>
      </c>
      <c r="K589" s="3"/>
      <c r="L589" s="3"/>
      <c r="T589" s="3"/>
      <c r="U589" s="3"/>
      <c r="V589" s="3"/>
      <c r="W589" s="3"/>
      <c r="X589" s="3"/>
      <c r="AB589" s="29"/>
      <c r="AC589" s="4"/>
      <c r="AD589" s="30"/>
    </row>
    <row r="590" spans="2:30">
      <c r="B590" s="3">
        <f>($F$38)*($F$39)*($C$19/2)</f>
        <v>24.586312499999998</v>
      </c>
      <c r="C590" s="3">
        <f t="shared" si="187"/>
        <v>826.1001</v>
      </c>
      <c r="D590" s="3">
        <f t="shared" si="188"/>
        <v>1261.3387460145786</v>
      </c>
      <c r="E590" s="3">
        <f t="shared" si="186"/>
        <v>3.7825727689704647</v>
      </c>
      <c r="F590" s="3">
        <f t="shared" si="189"/>
        <v>20.217660995793551</v>
      </c>
      <c r="J590" s="3">
        <f>0.034</f>
        <v>3.4000000000000002E-2</v>
      </c>
      <c r="K590" s="3"/>
      <c r="L590" s="3"/>
      <c r="T590" s="29"/>
      <c r="U590" s="4"/>
      <c r="V590" s="4"/>
      <c r="W590" s="4"/>
      <c r="X590" s="30"/>
      <c r="AB590" s="29"/>
      <c r="AC590" s="4"/>
      <c r="AD590" s="30"/>
    </row>
    <row r="591" spans="2:30">
      <c r="B591" s="3">
        <f>($F$38)*($F$39)*($C$20/2)</f>
        <v>27.044943749999998</v>
      </c>
      <c r="C591" s="3">
        <f t="shared" si="187"/>
        <v>908.71010999999999</v>
      </c>
      <c r="D591" s="3">
        <f t="shared" si="188"/>
        <v>1343.9487560145787</v>
      </c>
      <c r="E591" s="3">
        <f t="shared" si="186"/>
        <v>4.0303082605326708</v>
      </c>
      <c r="F591" s="3">
        <f t="shared" si="189"/>
        <v>22.952651152526428</v>
      </c>
      <c r="J591" s="3">
        <f>0.042</f>
        <v>4.2000000000000003E-2</v>
      </c>
      <c r="K591" s="3">
        <v>5.5</v>
      </c>
      <c r="L591" s="3" t="s">
        <v>33</v>
      </c>
      <c r="T591" s="29" t="s">
        <v>154</v>
      </c>
      <c r="U591" s="4"/>
      <c r="V591" s="4"/>
      <c r="W591" s="4"/>
      <c r="X591" s="30"/>
      <c r="AB591" s="29" t="s">
        <v>155</v>
      </c>
      <c r="AC591" s="4"/>
      <c r="AD591" s="30"/>
    </row>
    <row r="592" spans="2:30">
      <c r="B592" s="3">
        <f>($F$38)*($F$39)*($C$21/2)</f>
        <v>29.503574999999998</v>
      </c>
      <c r="C592" s="3">
        <f t="shared" si="187"/>
        <v>991.32011999999997</v>
      </c>
      <c r="D592" s="3">
        <f t="shared" si="188"/>
        <v>1426.5587660145786</v>
      </c>
      <c r="E592" s="3">
        <f t="shared" si="186"/>
        <v>4.2780437520948764</v>
      </c>
      <c r="F592" s="3">
        <f t="shared" si="189"/>
        <v>25.8610867075285</v>
      </c>
      <c r="J592" s="3">
        <f>0.049</f>
        <v>4.9000000000000002E-2</v>
      </c>
      <c r="K592" s="3"/>
      <c r="L592" s="3"/>
      <c r="T592" s="45" t="s">
        <v>75</v>
      </c>
      <c r="U592" s="45" t="s">
        <v>76</v>
      </c>
      <c r="V592" s="45" t="s">
        <v>77</v>
      </c>
      <c r="W592" s="45" t="s">
        <v>78</v>
      </c>
      <c r="X592" s="45" t="s">
        <v>32</v>
      </c>
      <c r="AB592" s="45" t="s">
        <v>32</v>
      </c>
      <c r="AC592" s="3"/>
      <c r="AD592" s="3"/>
    </row>
    <row r="593" spans="2:30">
      <c r="B593" s="3">
        <f>($F$38)*($F$39)*($C$22/2)</f>
        <v>31.962206249999998</v>
      </c>
      <c r="C593" s="3">
        <f t="shared" si="187"/>
        <v>1073.93013</v>
      </c>
      <c r="D593" s="3">
        <f t="shared" si="188"/>
        <v>1509.1687760145787</v>
      </c>
      <c r="E593" s="3">
        <f t="shared" si="186"/>
        <v>4.5257792436570821</v>
      </c>
      <c r="F593" s="3">
        <f t="shared" si="189"/>
        <v>28.942967660799773</v>
      </c>
      <c r="J593" s="3">
        <f>0.058</f>
        <v>5.8000000000000003E-2</v>
      </c>
      <c r="K593" s="3"/>
      <c r="L593" s="3"/>
      <c r="T593" s="3">
        <f>($F$38)*($F$39)*($C$9/2)</f>
        <v>0</v>
      </c>
      <c r="U593" s="3">
        <f>$C$46*T593</f>
        <v>0</v>
      </c>
      <c r="V593" s="3">
        <f>U593+($C$50*$C$52)</f>
        <v>435.23864601457871</v>
      </c>
      <c r="W593" s="3">
        <f t="shared" ref="W593:W617" si="190">(V593)/($C$48+((($F$40)*($C$52))*$F$28)-(($C$49+$C$50)*$F$28^2))</f>
        <v>1.3047818289022455</v>
      </c>
      <c r="X593" s="3">
        <f>($F$28*W593)*($F$28*W593*$C$52)/2</f>
        <v>2.1710975486778801</v>
      </c>
      <c r="AB593" s="3">
        <v>0</v>
      </c>
      <c r="AC593" s="3">
        <v>0</v>
      </c>
      <c r="AD593" s="3" t="s">
        <v>33</v>
      </c>
    </row>
    <row r="594" spans="2:30">
      <c r="B594" s="3">
        <f>($F$38)*($F$39)*($C$23/2)</f>
        <v>34.420837499999998</v>
      </c>
      <c r="C594" s="3">
        <f>$C$46*B594</f>
        <v>1156.5401400000001</v>
      </c>
      <c r="D594" s="3">
        <f t="shared" si="188"/>
        <v>1591.7787860145788</v>
      </c>
      <c r="E594" s="3">
        <f t="shared" si="186"/>
        <v>4.7735147352192877</v>
      </c>
      <c r="F594" s="3">
        <f t="shared" si="189"/>
        <v>32.198294012340241</v>
      </c>
      <c r="J594" s="3">
        <f>0.067</f>
        <v>6.7000000000000004E-2</v>
      </c>
      <c r="K594" s="3"/>
      <c r="L594" s="3"/>
      <c r="T594" s="3">
        <f>($F$38)*($F$39)*($C$10/2)</f>
        <v>2.4586312499999998</v>
      </c>
      <c r="U594" s="3">
        <f t="shared" ref="U594:U606" si="191">$C$46*T594</f>
        <v>82.610010000000003</v>
      </c>
      <c r="V594" s="3">
        <f t="shared" ref="V594:V617" si="192">U594+($C$50*$C$52)</f>
        <v>517.84865601457875</v>
      </c>
      <c r="W594" s="3">
        <f t="shared" si="190"/>
        <v>1.5524345613064869</v>
      </c>
      <c r="X594" s="3">
        <f t="shared" ref="X594:X617" si="193">($F$28*W594)*($F$28*W594*$C$52)/2</f>
        <v>3.0734782402565015</v>
      </c>
      <c r="AB594" s="3">
        <f>2.06*10^-4</f>
        <v>2.0600000000000002E-4</v>
      </c>
      <c r="AC594" s="3">
        <v>0.5</v>
      </c>
      <c r="AD594" s="3" t="s">
        <v>33</v>
      </c>
    </row>
    <row r="595" spans="2:30">
      <c r="B595" s="3">
        <f>($F$38)*($F$39)*($C$24/2)</f>
        <v>36.879468750000001</v>
      </c>
      <c r="C595" s="3">
        <f t="shared" ref="C595:C604" si="194">$C$46*B595</f>
        <v>1239.1501500000002</v>
      </c>
      <c r="D595" s="3">
        <f t="shared" si="188"/>
        <v>1674.3887960145789</v>
      </c>
      <c r="E595" s="3">
        <f t="shared" si="186"/>
        <v>5.0212502267814942</v>
      </c>
      <c r="F595" s="3">
        <f t="shared" si="189"/>
        <v>35.627065762149918</v>
      </c>
      <c r="J595" s="3">
        <f>0.077</f>
        <v>7.6999999999999999E-2</v>
      </c>
      <c r="K595" s="3"/>
      <c r="L595" s="3"/>
      <c r="T595" s="3">
        <f>($F$38)*($F$39)*($C$11/2)</f>
        <v>4.9172624999999996</v>
      </c>
      <c r="U595" s="3">
        <f t="shared" si="191"/>
        <v>165.22002000000001</v>
      </c>
      <c r="V595" s="3">
        <f t="shared" si="192"/>
        <v>600.45866601457874</v>
      </c>
      <c r="W595" s="3">
        <f t="shared" si="190"/>
        <v>1.8000872937107284</v>
      </c>
      <c r="X595" s="3">
        <f t="shared" si="193"/>
        <v>4.1322888366222426</v>
      </c>
      <c r="AB595" s="3">
        <f>8.238*10^-4</f>
        <v>8.2379999999999997E-4</v>
      </c>
      <c r="AC595" s="3">
        <v>1</v>
      </c>
      <c r="AD595" s="3" t="s">
        <v>33</v>
      </c>
    </row>
    <row r="596" spans="2:30">
      <c r="B596" s="3">
        <f>($F$38)*($F$39)*($C$25/2)</f>
        <v>39.338099999999997</v>
      </c>
      <c r="C596" s="3">
        <f t="shared" si="194"/>
        <v>1321.76016</v>
      </c>
      <c r="D596" s="3">
        <f t="shared" si="188"/>
        <v>1756.9988060145788</v>
      </c>
      <c r="E596" s="3">
        <f t="shared" si="186"/>
        <v>5.2689857183436999</v>
      </c>
      <c r="F596" s="3">
        <f t="shared" si="189"/>
        <v>39.229282910228783</v>
      </c>
      <c r="J596" s="3">
        <f>0.088</f>
        <v>8.7999999999999995E-2</v>
      </c>
      <c r="K596" s="3"/>
      <c r="L596" s="3"/>
      <c r="T596" s="3">
        <f>($F$38)*($F$39)*($C$12/2)</f>
        <v>7.3758937499999995</v>
      </c>
      <c r="U596" s="3">
        <f t="shared" si="191"/>
        <v>247.83002999999999</v>
      </c>
      <c r="V596" s="3">
        <f t="shared" si="192"/>
        <v>683.06867601457873</v>
      </c>
      <c r="W596" s="3">
        <f t="shared" si="190"/>
        <v>2.0477400261149699</v>
      </c>
      <c r="X596" s="3">
        <f t="shared" si="193"/>
        <v>5.347529337775101</v>
      </c>
      <c r="AB596" s="3">
        <f>0.002</f>
        <v>2E-3</v>
      </c>
      <c r="AC596" s="3">
        <v>1.5</v>
      </c>
      <c r="AD596" s="3" t="s">
        <v>33</v>
      </c>
    </row>
    <row r="597" spans="2:30">
      <c r="B597" s="3">
        <f>($F$38)*($F$39)*($C$26/2)</f>
        <v>41.796731249999993</v>
      </c>
      <c r="C597" s="3">
        <f t="shared" si="194"/>
        <v>1404.3701699999999</v>
      </c>
      <c r="D597" s="3">
        <f t="shared" si="188"/>
        <v>1839.6088160145787</v>
      </c>
      <c r="E597" s="3">
        <f t="shared" si="186"/>
        <v>5.5167212099059046</v>
      </c>
      <c r="F597" s="3">
        <f t="shared" si="189"/>
        <v>43.004945456576834</v>
      </c>
      <c r="J597" s="3">
        <f>0.099</f>
        <v>9.9000000000000005E-2</v>
      </c>
      <c r="K597" s="3"/>
      <c r="L597" s="3"/>
      <c r="T597" s="3">
        <f>($F$38)*($F$39)*($C$13/2)</f>
        <v>9.8345249999999993</v>
      </c>
      <c r="U597" s="3">
        <f t="shared" si="191"/>
        <v>330.44004000000001</v>
      </c>
      <c r="V597" s="3">
        <f t="shared" si="192"/>
        <v>765.67868601457872</v>
      </c>
      <c r="W597" s="3">
        <f t="shared" si="190"/>
        <v>2.2953927585192111</v>
      </c>
      <c r="X597" s="3">
        <f t="shared" si="193"/>
        <v>6.7191997437150786</v>
      </c>
      <c r="AB597" s="3">
        <f>0.003</f>
        <v>3.0000000000000001E-3</v>
      </c>
      <c r="AC597" s="3">
        <v>2</v>
      </c>
      <c r="AD597" s="3" t="s">
        <v>33</v>
      </c>
    </row>
    <row r="598" spans="2:30">
      <c r="B598" s="3">
        <f>($F$38)*($F$39)*($C$27/2)</f>
        <v>44.255362499999997</v>
      </c>
      <c r="C598" s="3">
        <f t="shared" si="194"/>
        <v>1486.98018</v>
      </c>
      <c r="D598" s="3">
        <f t="shared" si="188"/>
        <v>1922.2188260145788</v>
      </c>
      <c r="E598" s="3">
        <f t="shared" si="186"/>
        <v>5.7644567014681112</v>
      </c>
      <c r="F598" s="3">
        <f t="shared" si="189"/>
        <v>46.954053401194102</v>
      </c>
      <c r="J598" s="3">
        <f>0.111</f>
        <v>0.111</v>
      </c>
      <c r="K598" s="3"/>
      <c r="L598" s="3"/>
      <c r="T598" s="3">
        <f>($F$38)*($F$39)*($C$14/2)</f>
        <v>12.293156249999999</v>
      </c>
      <c r="U598" s="3">
        <f t="shared" si="191"/>
        <v>413.05005</v>
      </c>
      <c r="V598" s="3">
        <f t="shared" si="192"/>
        <v>848.2886960145787</v>
      </c>
      <c r="W598" s="3">
        <f t="shared" si="190"/>
        <v>2.5430454909234523</v>
      </c>
      <c r="X598" s="3">
        <f t="shared" si="193"/>
        <v>8.247300054442178</v>
      </c>
      <c r="AB598" s="3">
        <f>0.005</f>
        <v>5.0000000000000001E-3</v>
      </c>
      <c r="AC598" s="3">
        <v>2.5</v>
      </c>
      <c r="AD598" s="3" t="s">
        <v>33</v>
      </c>
    </row>
    <row r="599" spans="2:30">
      <c r="B599" s="3">
        <f>($F$38)*($F$39)*($C$28/2)</f>
        <v>46.71399375</v>
      </c>
      <c r="C599" s="3">
        <f t="shared" si="194"/>
        <v>1569.5901900000001</v>
      </c>
      <c r="D599" s="3">
        <f t="shared" si="188"/>
        <v>2004.8288360145789</v>
      </c>
      <c r="E599" s="3">
        <f t="shared" si="186"/>
        <v>6.0121921930303168</v>
      </c>
      <c r="F599" s="3">
        <f t="shared" si="189"/>
        <v>51.076606744080564</v>
      </c>
      <c r="J599" s="3">
        <f>0.124</f>
        <v>0.124</v>
      </c>
      <c r="K599" s="3"/>
      <c r="L599" s="3"/>
      <c r="T599" s="3">
        <f>($F$38)*($F$39)*($C$15/2)</f>
        <v>14.751787499999999</v>
      </c>
      <c r="U599" s="3">
        <f t="shared" si="191"/>
        <v>495.66005999999999</v>
      </c>
      <c r="V599" s="3">
        <f t="shared" si="192"/>
        <v>930.89870601457869</v>
      </c>
      <c r="W599" s="3">
        <f t="shared" si="190"/>
        <v>2.7906982233276936</v>
      </c>
      <c r="X599" s="3">
        <f t="shared" si="193"/>
        <v>9.931830269956393</v>
      </c>
      <c r="AB599" s="3">
        <f>0.007</f>
        <v>7.0000000000000001E-3</v>
      </c>
      <c r="AC599" s="3">
        <v>3</v>
      </c>
      <c r="AD599" s="3" t="s">
        <v>33</v>
      </c>
    </row>
    <row r="600" spans="2:30">
      <c r="B600" s="3">
        <f>($F$38)*($F$39)*($C$29/2)</f>
        <v>49.172624999999996</v>
      </c>
      <c r="C600" s="3">
        <f t="shared" si="194"/>
        <v>1652.2002</v>
      </c>
      <c r="D600" s="3">
        <f t="shared" si="188"/>
        <v>2087.4388460145788</v>
      </c>
      <c r="E600" s="3">
        <f t="shared" si="186"/>
        <v>6.2599276845925225</v>
      </c>
      <c r="F600" s="3">
        <f t="shared" si="189"/>
        <v>55.372605485236221</v>
      </c>
      <c r="J600" s="3">
        <f>0.137</f>
        <v>0.13700000000000001</v>
      </c>
      <c r="K600" s="3"/>
      <c r="L600" s="3"/>
      <c r="T600" s="3">
        <f>($F$38)*($F$39)*($C$16/2)</f>
        <v>17.210418749999999</v>
      </c>
      <c r="U600" s="3">
        <f t="shared" si="191"/>
        <v>578.27007000000003</v>
      </c>
      <c r="V600" s="3">
        <f t="shared" si="192"/>
        <v>1013.5087160145788</v>
      </c>
      <c r="W600" s="3">
        <f t="shared" si="190"/>
        <v>3.0383509557319353</v>
      </c>
      <c r="X600" s="3">
        <f t="shared" si="193"/>
        <v>11.772790390257732</v>
      </c>
      <c r="AB600" s="3">
        <f>0.01</f>
        <v>0.01</v>
      </c>
      <c r="AC600" s="3">
        <v>3.5</v>
      </c>
      <c r="AD600" s="3" t="s">
        <v>33</v>
      </c>
    </row>
    <row r="601" spans="2:30">
      <c r="B601" s="3">
        <f>($F$38)*($F$39)*($C$30/2)</f>
        <v>51.631256249999993</v>
      </c>
      <c r="C601" s="3">
        <f t="shared" si="194"/>
        <v>1734.8102099999999</v>
      </c>
      <c r="D601" s="3">
        <f t="shared" si="188"/>
        <v>2170.0488560145786</v>
      </c>
      <c r="E601" s="3">
        <f t="shared" si="186"/>
        <v>6.5076631761547272</v>
      </c>
      <c r="F601" s="3">
        <f t="shared" si="189"/>
        <v>59.842049624661037</v>
      </c>
      <c r="J601" s="3">
        <f>0.152</f>
        <v>0.152</v>
      </c>
      <c r="K601" s="3"/>
      <c r="L601" s="3"/>
      <c r="T601" s="3">
        <f>($F$38)*($F$39)*($C$17/2)</f>
        <v>19.669049999999999</v>
      </c>
      <c r="U601" s="3">
        <f t="shared" si="191"/>
        <v>660.88008000000002</v>
      </c>
      <c r="V601" s="3">
        <f t="shared" si="192"/>
        <v>1096.1187260145787</v>
      </c>
      <c r="W601" s="3">
        <f t="shared" si="190"/>
        <v>3.2860036881361765</v>
      </c>
      <c r="X601" s="3">
        <f t="shared" si="193"/>
        <v>13.770180415346188</v>
      </c>
      <c r="AB601" s="3">
        <f>0.013</f>
        <v>1.2999999999999999E-2</v>
      </c>
      <c r="AC601" s="3">
        <v>4</v>
      </c>
      <c r="AD601" s="3" t="s">
        <v>33</v>
      </c>
    </row>
    <row r="602" spans="2:30">
      <c r="B602" s="3">
        <f>($F$38)*($F$39)*($C$31/2)</f>
        <v>54.089887499999996</v>
      </c>
      <c r="C602" s="3">
        <f t="shared" si="194"/>
        <v>1817.42022</v>
      </c>
      <c r="D602" s="3">
        <f t="shared" si="188"/>
        <v>2252.6588660145785</v>
      </c>
      <c r="E602" s="3">
        <f t="shared" si="186"/>
        <v>6.7553986677169329</v>
      </c>
      <c r="F602" s="3">
        <f t="shared" si="189"/>
        <v>64.484939162355076</v>
      </c>
      <c r="J602" s="3">
        <f>0.166</f>
        <v>0.16600000000000001</v>
      </c>
      <c r="K602" s="3"/>
      <c r="L602" s="3"/>
      <c r="T602" s="3">
        <f>($F$38)*($F$39)*($C$18/2)</f>
        <v>22.127681249999998</v>
      </c>
      <c r="U602" s="3">
        <f t="shared" si="191"/>
        <v>743.49009000000001</v>
      </c>
      <c r="V602" s="3">
        <f t="shared" si="192"/>
        <v>1178.7287360145788</v>
      </c>
      <c r="W602" s="3">
        <f t="shared" si="190"/>
        <v>3.5336564205404182</v>
      </c>
      <c r="X602" s="3">
        <f t="shared" si="193"/>
        <v>15.924000345221762</v>
      </c>
      <c r="AB602" s="3">
        <f>0.017</f>
        <v>1.7000000000000001E-2</v>
      </c>
      <c r="AC602" s="3">
        <v>4.5</v>
      </c>
      <c r="AD602" s="3" t="s">
        <v>33</v>
      </c>
    </row>
    <row r="603" spans="2:30">
      <c r="B603" s="3">
        <f>($F$38)*($F$39)*($C$32/2)</f>
        <v>56.548518749999999</v>
      </c>
      <c r="C603" s="3">
        <f t="shared" si="194"/>
        <v>1900.0302300000001</v>
      </c>
      <c r="D603" s="3">
        <f t="shared" si="188"/>
        <v>2335.2688760145788</v>
      </c>
      <c r="E603" s="3">
        <f t="shared" si="186"/>
        <v>7.0031341592791394</v>
      </c>
      <c r="F603" s="3">
        <f t="shared" si="189"/>
        <v>69.301274098318345</v>
      </c>
      <c r="J603" s="3">
        <f>0.182</f>
        <v>0.182</v>
      </c>
      <c r="K603" s="3"/>
      <c r="L603" s="3"/>
      <c r="T603" s="3">
        <f>($F$38)*($F$39)*($C$19/2)</f>
        <v>24.586312499999998</v>
      </c>
      <c r="U603" s="3">
        <f t="shared" si="191"/>
        <v>826.1001</v>
      </c>
      <c r="V603" s="3">
        <f t="shared" si="192"/>
        <v>1261.3387460145786</v>
      </c>
      <c r="W603" s="3">
        <f t="shared" si="190"/>
        <v>3.781309152944659</v>
      </c>
      <c r="X603" s="3">
        <f t="shared" si="193"/>
        <v>18.234250179884455</v>
      </c>
      <c r="AB603" s="3">
        <f>0.021</f>
        <v>2.1000000000000001E-2</v>
      </c>
      <c r="AC603" s="3">
        <v>5</v>
      </c>
      <c r="AD603" s="3" t="s">
        <v>33</v>
      </c>
    </row>
    <row r="604" spans="2:30">
      <c r="B604" s="3">
        <f>($F$38)*($F$39)*($C$33/2)</f>
        <v>59.007149999999996</v>
      </c>
      <c r="C604" s="3">
        <f t="shared" si="194"/>
        <v>1982.6402399999999</v>
      </c>
      <c r="D604" s="3">
        <f t="shared" si="188"/>
        <v>2417.8788860145787</v>
      </c>
      <c r="E604" s="3">
        <f t="shared" si="186"/>
        <v>7.250869650841345</v>
      </c>
      <c r="F604" s="3">
        <f t="shared" si="189"/>
        <v>74.291054432550808</v>
      </c>
      <c r="J604" s="3">
        <f>0.198</f>
        <v>0.19800000000000001</v>
      </c>
      <c r="K604" s="3"/>
      <c r="L604" s="3"/>
      <c r="T604" s="3">
        <f>($F$38)*($F$39)*($C$20/2)</f>
        <v>27.044943749999998</v>
      </c>
      <c r="U604" s="3">
        <f t="shared" si="191"/>
        <v>908.71010999999999</v>
      </c>
      <c r="V604" s="3">
        <f t="shared" si="192"/>
        <v>1343.9487560145787</v>
      </c>
      <c r="W604" s="3">
        <f t="shared" si="190"/>
        <v>4.0289618853489007</v>
      </c>
      <c r="X604" s="3">
        <f t="shared" si="193"/>
        <v>20.700929919334268</v>
      </c>
      <c r="AB604" s="3">
        <f>0.025</f>
        <v>2.5000000000000001E-2</v>
      </c>
      <c r="AC604" s="3">
        <v>5.5</v>
      </c>
      <c r="AD604" s="3" t="s">
        <v>33</v>
      </c>
    </row>
    <row r="605" spans="2:30">
      <c r="B605" s="3">
        <f>($F$38)*($F$39)*($C$34/2)</f>
        <v>0</v>
      </c>
      <c r="C605" s="3">
        <f>$C$46*B605</f>
        <v>0</v>
      </c>
      <c r="D605" s="3">
        <f t="shared" si="188"/>
        <v>435.23864601457871</v>
      </c>
      <c r="E605" s="3">
        <f t="shared" si="186"/>
        <v>1.3052178533484078</v>
      </c>
      <c r="F605" s="3">
        <f t="shared" si="189"/>
        <v>2.4072563332706181</v>
      </c>
      <c r="J605" s="29"/>
      <c r="K605" s="4"/>
      <c r="L605" s="30"/>
      <c r="T605" s="3">
        <f>($F$38)*($F$39)*($C$21/2)</f>
        <v>29.503574999999998</v>
      </c>
      <c r="U605" s="3">
        <f t="shared" si="191"/>
        <v>991.32011999999997</v>
      </c>
      <c r="V605" s="3">
        <f t="shared" si="192"/>
        <v>1426.5587660145786</v>
      </c>
      <c r="W605" s="3">
        <f t="shared" si="190"/>
        <v>4.2766146177531414</v>
      </c>
      <c r="X605" s="3">
        <f t="shared" si="193"/>
        <v>23.324039563571201</v>
      </c>
      <c r="AB605" s="3">
        <f>0.03</f>
        <v>0.03</v>
      </c>
      <c r="AC605" s="3">
        <v>6</v>
      </c>
      <c r="AD605" s="3" t="s">
        <v>33</v>
      </c>
    </row>
    <row r="606" spans="2:30">
      <c r="B606" s="29"/>
      <c r="C606" s="4"/>
      <c r="D606" s="4"/>
      <c r="E606" s="4"/>
      <c r="F606" s="30"/>
      <c r="J606" s="29"/>
      <c r="K606" s="4"/>
      <c r="L606" s="30"/>
      <c r="T606" s="3">
        <f>($F$38)*($F$39)*($C$22/2)</f>
        <v>31.962206249999998</v>
      </c>
      <c r="U606" s="3">
        <f t="shared" si="191"/>
        <v>1073.93013</v>
      </c>
      <c r="V606" s="3">
        <f t="shared" si="192"/>
        <v>1509.1687760145787</v>
      </c>
      <c r="W606" s="3">
        <f t="shared" si="190"/>
        <v>4.5242673501573831</v>
      </c>
      <c r="X606" s="3">
        <f t="shared" si="193"/>
        <v>26.103579112595259</v>
      </c>
      <c r="AB606" s="3">
        <f>0.035</f>
        <v>3.5000000000000003E-2</v>
      </c>
      <c r="AC606" s="3">
        <v>6.5</v>
      </c>
      <c r="AD606" s="3" t="s">
        <v>33</v>
      </c>
    </row>
    <row r="607" spans="2:30">
      <c r="B607" s="29" t="s">
        <v>154</v>
      </c>
      <c r="C607" s="4"/>
      <c r="D607" s="4"/>
      <c r="E607" s="4"/>
      <c r="F607" s="30"/>
      <c r="J607" s="29" t="s">
        <v>155</v>
      </c>
      <c r="K607" s="4"/>
      <c r="L607" s="30"/>
      <c r="T607" s="3">
        <f>($F$38)*($F$39)*($C$23/2)</f>
        <v>34.420837499999998</v>
      </c>
      <c r="U607" s="3">
        <f>$C$46*T607</f>
        <v>1156.5401400000001</v>
      </c>
      <c r="V607" s="3">
        <f t="shared" si="192"/>
        <v>1591.7787860145788</v>
      </c>
      <c r="W607" s="3">
        <f t="shared" si="190"/>
        <v>4.7719200825616248</v>
      </c>
      <c r="X607" s="3">
        <f t="shared" si="193"/>
        <v>29.039548566406431</v>
      </c>
      <c r="AB607" s="3">
        <f>0.04</f>
        <v>0.04</v>
      </c>
      <c r="AC607" s="3">
        <v>7</v>
      </c>
      <c r="AD607" s="3" t="s">
        <v>33</v>
      </c>
    </row>
    <row r="608" spans="2:30">
      <c r="B608" s="45" t="s">
        <v>75</v>
      </c>
      <c r="C608" s="45" t="s">
        <v>76</v>
      </c>
      <c r="D608" s="45" t="s">
        <v>77</v>
      </c>
      <c r="E608" s="45" t="s">
        <v>78</v>
      </c>
      <c r="F608" s="45" t="s">
        <v>32</v>
      </c>
      <c r="J608" s="45" t="s">
        <v>32</v>
      </c>
      <c r="K608" s="3"/>
      <c r="L608" s="3"/>
      <c r="T608" s="3">
        <f>($F$38)*($F$39)*($C$24/2)</f>
        <v>36.879468750000001</v>
      </c>
      <c r="U608" s="3">
        <f t="shared" ref="U608:U617" si="195">$C$46*T608</f>
        <v>1239.1501500000002</v>
      </c>
      <c r="V608" s="3">
        <f t="shared" si="192"/>
        <v>1674.3887960145789</v>
      </c>
      <c r="W608" s="3">
        <f t="shared" si="190"/>
        <v>5.0195728149658665</v>
      </c>
      <c r="X608" s="3">
        <f t="shared" si="193"/>
        <v>32.131947925004724</v>
      </c>
      <c r="AB608" s="3">
        <f>0.046</f>
        <v>4.5999999999999999E-2</v>
      </c>
      <c r="AC608" s="3">
        <v>7.5</v>
      </c>
      <c r="AD608" s="3" t="s">
        <v>33</v>
      </c>
    </row>
    <row r="609" spans="2:30">
      <c r="B609" s="3">
        <f>($F$38)*($F$39)*($C$9/2)</f>
        <v>0</v>
      </c>
      <c r="C609" s="3">
        <f>$C$46*B609</f>
        <v>0</v>
      </c>
      <c r="D609" s="3">
        <f>C609+($C$50*$C$52)</f>
        <v>435.23864601457871</v>
      </c>
      <c r="E609" s="3">
        <f t="shared" ref="E609:E634" si="196">(D609)/($C$48+((($F$40)*($C$52))*$F$28)-(($C$49+$C$50)*$F$28^2))</f>
        <v>1.3047818289022455</v>
      </c>
      <c r="F609" s="3">
        <f>($F$28*E609)*($F$28*E609*$C$52)/2</f>
        <v>2.1710975486778801</v>
      </c>
      <c r="J609" s="3">
        <v>0</v>
      </c>
      <c r="K609" s="3"/>
      <c r="L609" s="3"/>
      <c r="T609" s="3">
        <f>($F$38)*($F$39)*($C$25/2)</f>
        <v>39.338099999999997</v>
      </c>
      <c r="U609" s="3">
        <f t="shared" si="195"/>
        <v>1321.76016</v>
      </c>
      <c r="V609" s="3">
        <f t="shared" si="192"/>
        <v>1756.9988060145788</v>
      </c>
      <c r="W609" s="3">
        <f t="shared" si="190"/>
        <v>5.2672255473701073</v>
      </c>
      <c r="X609" s="3">
        <f t="shared" si="193"/>
        <v>35.38077718839012</v>
      </c>
      <c r="AB609" s="3">
        <f>0.053</f>
        <v>5.2999999999999999E-2</v>
      </c>
      <c r="AC609" s="3">
        <v>8</v>
      </c>
      <c r="AD609" s="3" t="s">
        <v>33</v>
      </c>
    </row>
    <row r="610" spans="2:30">
      <c r="B610" s="3">
        <f>($F$38)*($F$39)*($C$10/2)</f>
        <v>2.4586312499999998</v>
      </c>
      <c r="C610" s="3">
        <f t="shared" ref="C610:C622" si="197">$C$46*B610</f>
        <v>82.610010000000003</v>
      </c>
      <c r="D610" s="3">
        <f t="shared" ref="D610:D634" si="198">C610+($C$50*$C$52)</f>
        <v>517.84865601457875</v>
      </c>
      <c r="E610" s="3">
        <f t="shared" si="196"/>
        <v>1.5524345613064869</v>
      </c>
      <c r="F610" s="3">
        <f t="shared" ref="F610:F634" si="199">($F$28*E610)*($F$28*E610*$C$52)/2</f>
        <v>3.0734782402565015</v>
      </c>
      <c r="J610" s="3">
        <f>2.06*10^-4</f>
        <v>2.0600000000000002E-4</v>
      </c>
      <c r="K610" s="3"/>
      <c r="L610" s="3"/>
      <c r="T610" s="3">
        <f>($F$38)*($F$39)*($C$26/2)</f>
        <v>41.796731249999993</v>
      </c>
      <c r="U610" s="3">
        <f t="shared" si="195"/>
        <v>1404.3701699999999</v>
      </c>
      <c r="V610" s="3">
        <f t="shared" si="192"/>
        <v>1839.6088160145787</v>
      </c>
      <c r="W610" s="3">
        <f t="shared" si="190"/>
        <v>5.514878279774349</v>
      </c>
      <c r="X610" s="3">
        <f t="shared" si="193"/>
        <v>38.786036356562661</v>
      </c>
      <c r="AB610" s="3">
        <f>0.06</f>
        <v>0.06</v>
      </c>
      <c r="AC610" s="3">
        <v>8.5</v>
      </c>
      <c r="AD610" s="3" t="s">
        <v>33</v>
      </c>
    </row>
    <row r="611" spans="2:30">
      <c r="B611" s="3">
        <f>($F$38)*($F$39)*($C$11/2)</f>
        <v>4.9172624999999996</v>
      </c>
      <c r="C611" s="3">
        <f t="shared" si="197"/>
        <v>165.22002000000001</v>
      </c>
      <c r="D611" s="3">
        <f t="shared" si="198"/>
        <v>600.45866601457874</v>
      </c>
      <c r="E611" s="3">
        <f t="shared" si="196"/>
        <v>1.8000872937107284</v>
      </c>
      <c r="F611" s="3">
        <f t="shared" si="199"/>
        <v>4.1322888366222426</v>
      </c>
      <c r="J611" s="3">
        <f>8.238*10^-4</f>
        <v>8.2379999999999997E-4</v>
      </c>
      <c r="K611" s="3"/>
      <c r="L611" s="3"/>
      <c r="T611" s="3">
        <f>($F$38)*($F$39)*($C$27/2)</f>
        <v>44.255362499999997</v>
      </c>
      <c r="U611" s="3">
        <f t="shared" si="195"/>
        <v>1486.98018</v>
      </c>
      <c r="V611" s="3">
        <f t="shared" si="192"/>
        <v>1922.2188260145788</v>
      </c>
      <c r="W611" s="3">
        <f t="shared" si="190"/>
        <v>5.7625310121785907</v>
      </c>
      <c r="X611" s="3">
        <f t="shared" si="193"/>
        <v>42.34772542952232</v>
      </c>
      <c r="AB611" s="3">
        <f>0.067</f>
        <v>6.7000000000000004E-2</v>
      </c>
      <c r="AC611" s="3">
        <v>9</v>
      </c>
      <c r="AD611" s="3" t="s">
        <v>33</v>
      </c>
    </row>
    <row r="612" spans="2:30">
      <c r="B612" s="3">
        <f>($F$38)*($F$39)*($C$12/2)</f>
        <v>7.3758937499999995</v>
      </c>
      <c r="C612" s="3">
        <f t="shared" si="197"/>
        <v>247.83002999999999</v>
      </c>
      <c r="D612" s="3">
        <f t="shared" si="198"/>
        <v>683.06867601457873</v>
      </c>
      <c r="E612" s="3">
        <f t="shared" si="196"/>
        <v>2.0477400261149699</v>
      </c>
      <c r="F612" s="3">
        <f t="shared" si="199"/>
        <v>5.347529337775101</v>
      </c>
      <c r="J612" s="3">
        <f>0.002</f>
        <v>2E-3</v>
      </c>
      <c r="K612" s="3"/>
      <c r="L612" s="3"/>
      <c r="T612" s="3">
        <f>($F$38)*($F$39)*($C$28/2)</f>
        <v>46.71399375</v>
      </c>
      <c r="U612" s="3">
        <f t="shared" si="195"/>
        <v>1569.5901900000001</v>
      </c>
      <c r="V612" s="3">
        <f t="shared" si="192"/>
        <v>2004.8288360145789</v>
      </c>
      <c r="W612" s="3">
        <f t="shared" si="190"/>
        <v>6.0101837445828323</v>
      </c>
      <c r="X612" s="3">
        <f t="shared" si="193"/>
        <v>46.065844407269097</v>
      </c>
      <c r="AB612" s="3">
        <f>0.074</f>
        <v>7.3999999999999996E-2</v>
      </c>
      <c r="AC612" s="3">
        <v>9.5</v>
      </c>
      <c r="AD612" s="3" t="s">
        <v>33</v>
      </c>
    </row>
    <row r="613" spans="2:30">
      <c r="B613" s="3">
        <f>($F$38)*($F$39)*($C$13/2)</f>
        <v>9.8345249999999993</v>
      </c>
      <c r="C613" s="3">
        <f t="shared" si="197"/>
        <v>330.44004000000001</v>
      </c>
      <c r="D613" s="3">
        <f t="shared" si="198"/>
        <v>765.67868601457872</v>
      </c>
      <c r="E613" s="3">
        <f t="shared" si="196"/>
        <v>2.2953927585192111</v>
      </c>
      <c r="F613" s="3">
        <f t="shared" si="199"/>
        <v>6.7191997437150786</v>
      </c>
      <c r="J613" s="3">
        <f>0.003</f>
        <v>3.0000000000000001E-3</v>
      </c>
      <c r="K613" s="3"/>
      <c r="L613" s="3"/>
      <c r="T613" s="3">
        <f>($F$38)*($F$39)*($C$29/2)</f>
        <v>49.172624999999996</v>
      </c>
      <c r="U613" s="3">
        <f t="shared" si="195"/>
        <v>1652.2002</v>
      </c>
      <c r="V613" s="3">
        <f t="shared" si="192"/>
        <v>2087.4388460145788</v>
      </c>
      <c r="W613" s="3">
        <f t="shared" si="190"/>
        <v>6.2578364769870731</v>
      </c>
      <c r="X613" s="3">
        <f t="shared" si="193"/>
        <v>49.940393289802977</v>
      </c>
      <c r="AB613" s="3">
        <f>0.082</f>
        <v>8.2000000000000003E-2</v>
      </c>
      <c r="AC613" s="3">
        <v>10</v>
      </c>
      <c r="AD613" s="3" t="s">
        <v>33</v>
      </c>
    </row>
    <row r="614" spans="2:30">
      <c r="B614" s="3">
        <f>($F$38)*($F$39)*($C$14/2)</f>
        <v>12.293156249999999</v>
      </c>
      <c r="C614" s="3">
        <f t="shared" si="197"/>
        <v>413.05005</v>
      </c>
      <c r="D614" s="3">
        <f t="shared" si="198"/>
        <v>848.2886960145787</v>
      </c>
      <c r="E614" s="3">
        <f t="shared" si="196"/>
        <v>2.5430454909234523</v>
      </c>
      <c r="F614" s="3">
        <f t="shared" si="199"/>
        <v>8.247300054442178</v>
      </c>
      <c r="J614" s="3">
        <f>0.005</f>
        <v>5.0000000000000001E-3</v>
      </c>
      <c r="K614" s="3"/>
      <c r="L614" s="3"/>
      <c r="T614" s="3">
        <f>($F$38)*($F$39)*($C$30/2)</f>
        <v>51.631256249999993</v>
      </c>
      <c r="U614" s="3">
        <f t="shared" si="195"/>
        <v>1734.8102099999999</v>
      </c>
      <c r="V614" s="3">
        <f t="shared" si="192"/>
        <v>2170.0488560145786</v>
      </c>
      <c r="W614" s="3">
        <f t="shared" si="190"/>
        <v>6.5054892093913139</v>
      </c>
      <c r="X614" s="3">
        <f t="shared" si="193"/>
        <v>53.971372077123966</v>
      </c>
      <c r="AB614" s="3">
        <f>0.091</f>
        <v>9.0999999999999998E-2</v>
      </c>
      <c r="AC614" s="3">
        <v>10.5</v>
      </c>
      <c r="AD614" s="3" t="s">
        <v>33</v>
      </c>
    </row>
    <row r="615" spans="2:30">
      <c r="B615" s="3">
        <f>($F$38)*($F$39)*($C$15/2)</f>
        <v>14.751787499999999</v>
      </c>
      <c r="C615" s="3">
        <f t="shared" si="197"/>
        <v>495.66005999999999</v>
      </c>
      <c r="D615" s="3">
        <f t="shared" si="198"/>
        <v>930.89870601457869</v>
      </c>
      <c r="E615" s="3">
        <f t="shared" si="196"/>
        <v>2.7906982233276936</v>
      </c>
      <c r="F615" s="3">
        <f t="shared" si="199"/>
        <v>9.931830269956393</v>
      </c>
      <c r="J615" s="3">
        <f>0.007</f>
        <v>7.0000000000000001E-3</v>
      </c>
      <c r="K615" s="3"/>
      <c r="L615" s="3"/>
      <c r="T615" s="3">
        <f>($F$38)*($F$39)*($C$31/2)</f>
        <v>54.089887499999996</v>
      </c>
      <c r="U615" s="3">
        <f t="shared" si="195"/>
        <v>1817.42022</v>
      </c>
      <c r="V615" s="3">
        <f t="shared" si="192"/>
        <v>2252.6588660145785</v>
      </c>
      <c r="W615" s="3">
        <f t="shared" si="190"/>
        <v>6.7531419417955547</v>
      </c>
      <c r="X615" s="3">
        <f t="shared" si="193"/>
        <v>58.158780769232088</v>
      </c>
      <c r="AB615" s="3">
        <f>0.1</f>
        <v>0.1</v>
      </c>
      <c r="AC615" s="3">
        <v>11</v>
      </c>
      <c r="AD615" s="3" t="s">
        <v>33</v>
      </c>
    </row>
    <row r="616" spans="2:30">
      <c r="B616" s="3">
        <f>($F$38)*($F$39)*($C$16/2)</f>
        <v>17.210418749999999</v>
      </c>
      <c r="C616" s="3">
        <f t="shared" si="197"/>
        <v>578.27007000000003</v>
      </c>
      <c r="D616" s="3">
        <f t="shared" si="198"/>
        <v>1013.5087160145788</v>
      </c>
      <c r="E616" s="3">
        <f t="shared" si="196"/>
        <v>3.0383509557319353</v>
      </c>
      <c r="F616" s="3">
        <f t="shared" si="199"/>
        <v>11.772790390257732</v>
      </c>
      <c r="J616" s="3">
        <f>0.01</f>
        <v>0.01</v>
      </c>
      <c r="K616" s="3"/>
      <c r="L616" s="3"/>
      <c r="T616" s="3">
        <f>($F$38)*($F$39)*($C$32/2)</f>
        <v>56.548518749999999</v>
      </c>
      <c r="U616" s="3">
        <f t="shared" si="195"/>
        <v>1900.0302300000001</v>
      </c>
      <c r="V616" s="3">
        <f t="shared" si="192"/>
        <v>2335.2688760145788</v>
      </c>
      <c r="W616" s="3">
        <f t="shared" si="190"/>
        <v>7.0007946741997973</v>
      </c>
      <c r="X616" s="3">
        <f t="shared" si="193"/>
        <v>62.502619366127355</v>
      </c>
      <c r="AB616" s="3">
        <f>0.109</f>
        <v>0.109</v>
      </c>
      <c r="AC616" s="3">
        <v>11.5</v>
      </c>
      <c r="AD616" s="3" t="s">
        <v>33</v>
      </c>
    </row>
    <row r="617" spans="2:30">
      <c r="B617" s="3">
        <f>($F$38)*($F$39)*($C$17/2)</f>
        <v>19.669049999999999</v>
      </c>
      <c r="C617" s="3">
        <f t="shared" si="197"/>
        <v>660.88008000000002</v>
      </c>
      <c r="D617" s="3">
        <f t="shared" si="198"/>
        <v>1096.1187260145787</v>
      </c>
      <c r="E617" s="3">
        <f t="shared" si="196"/>
        <v>3.2860036881361765</v>
      </c>
      <c r="F617" s="3">
        <f t="shared" si="199"/>
        <v>13.770180415346188</v>
      </c>
      <c r="J617" s="3">
        <f>0.013</f>
        <v>1.2999999999999999E-2</v>
      </c>
      <c r="K617" s="3"/>
      <c r="L617" s="3"/>
      <c r="T617" s="3">
        <f>($F$38)*($F$39)*($C$33/2)</f>
        <v>59.007149999999996</v>
      </c>
      <c r="U617" s="3">
        <f t="shared" si="195"/>
        <v>1982.6402399999999</v>
      </c>
      <c r="V617" s="3">
        <f t="shared" si="192"/>
        <v>2417.8788860145787</v>
      </c>
      <c r="W617" s="3">
        <f t="shared" si="190"/>
        <v>7.2484474066040381</v>
      </c>
      <c r="X617" s="3">
        <f t="shared" si="193"/>
        <v>67.002887867809719</v>
      </c>
      <c r="AB617" s="3">
        <f>0.119</f>
        <v>0.11899999999999999</v>
      </c>
      <c r="AC617" s="3">
        <v>12</v>
      </c>
      <c r="AD617" s="3" t="s">
        <v>33</v>
      </c>
    </row>
    <row r="618" spans="2:30">
      <c r="B618" s="3">
        <f>($F$38)*($F$39)*($C$18/2)</f>
        <v>22.127681249999998</v>
      </c>
      <c r="C618" s="3">
        <f t="shared" si="197"/>
        <v>743.49009000000001</v>
      </c>
      <c r="D618" s="3">
        <f t="shared" si="198"/>
        <v>1178.7287360145788</v>
      </c>
      <c r="E618" s="3">
        <f t="shared" si="196"/>
        <v>3.5336564205404182</v>
      </c>
      <c r="F618" s="3">
        <f t="shared" si="199"/>
        <v>15.924000345221762</v>
      </c>
      <c r="J618" s="3">
        <f>0.017</f>
        <v>1.7000000000000001E-2</v>
      </c>
      <c r="K618" s="3"/>
      <c r="L618" s="3"/>
      <c r="T618" s="3"/>
      <c r="U618" s="3"/>
      <c r="V618" s="3"/>
      <c r="W618" s="3"/>
      <c r="X618" s="3"/>
      <c r="AB618" s="29"/>
      <c r="AC618" s="4"/>
      <c r="AD618" s="30"/>
    </row>
    <row r="619" spans="2:30">
      <c r="B619" s="3">
        <f>($F$38)*($F$39)*($C$19/2)</f>
        <v>24.586312499999998</v>
      </c>
      <c r="C619" s="3">
        <f t="shared" si="197"/>
        <v>826.1001</v>
      </c>
      <c r="D619" s="3">
        <f t="shared" si="198"/>
        <v>1261.3387460145786</v>
      </c>
      <c r="E619" s="3">
        <f t="shared" si="196"/>
        <v>3.781309152944659</v>
      </c>
      <c r="F619" s="3">
        <f t="shared" si="199"/>
        <v>18.234250179884455</v>
      </c>
      <c r="J619" s="3">
        <f>0.021</f>
        <v>2.1000000000000001E-2</v>
      </c>
      <c r="K619" s="3"/>
      <c r="L619" s="3"/>
      <c r="T619" s="29"/>
      <c r="U619" s="4"/>
      <c r="V619" s="4"/>
      <c r="W619" s="4"/>
      <c r="X619" s="30"/>
      <c r="AB619" s="29"/>
      <c r="AC619" s="4"/>
      <c r="AD619" s="30"/>
    </row>
    <row r="620" spans="2:30">
      <c r="B620" s="3">
        <f>($F$38)*($F$39)*($C$20/2)</f>
        <v>27.044943749999998</v>
      </c>
      <c r="C620" s="3">
        <f t="shared" si="197"/>
        <v>908.71010999999999</v>
      </c>
      <c r="D620" s="3">
        <f t="shared" si="198"/>
        <v>1343.9487560145787</v>
      </c>
      <c r="E620" s="3">
        <f t="shared" si="196"/>
        <v>4.0289618853489007</v>
      </c>
      <c r="F620" s="3">
        <f t="shared" si="199"/>
        <v>20.700929919334268</v>
      </c>
      <c r="J620" s="3">
        <f>0.025</f>
        <v>2.5000000000000001E-2</v>
      </c>
      <c r="K620" s="3">
        <v>5.5</v>
      </c>
      <c r="L620" s="3" t="s">
        <v>33</v>
      </c>
      <c r="T620" s="29" t="s">
        <v>156</v>
      </c>
      <c r="U620" s="4"/>
      <c r="V620" s="4"/>
      <c r="W620" s="4"/>
      <c r="X620" s="30"/>
      <c r="AB620" s="29" t="s">
        <v>157</v>
      </c>
      <c r="AC620" s="4"/>
      <c r="AD620" s="30"/>
    </row>
    <row r="621" spans="2:30">
      <c r="B621" s="3">
        <f>($F$38)*($F$39)*($C$21/2)</f>
        <v>29.503574999999998</v>
      </c>
      <c r="C621" s="3">
        <f t="shared" si="197"/>
        <v>991.32011999999997</v>
      </c>
      <c r="D621" s="3">
        <f t="shared" si="198"/>
        <v>1426.5587660145786</v>
      </c>
      <c r="E621" s="3">
        <f t="shared" si="196"/>
        <v>4.2766146177531414</v>
      </c>
      <c r="F621" s="3">
        <f t="shared" si="199"/>
        <v>23.324039563571201</v>
      </c>
      <c r="J621" s="3">
        <f>0.03</f>
        <v>0.03</v>
      </c>
      <c r="K621" s="3"/>
      <c r="L621" s="3"/>
      <c r="T621" s="45" t="s">
        <v>75</v>
      </c>
      <c r="U621" s="45" t="s">
        <v>76</v>
      </c>
      <c r="V621" s="45" t="s">
        <v>77</v>
      </c>
      <c r="W621" s="45" t="s">
        <v>78</v>
      </c>
      <c r="X621" s="45" t="s">
        <v>32</v>
      </c>
      <c r="AB621" s="45" t="s">
        <v>32</v>
      </c>
      <c r="AC621" s="3"/>
      <c r="AD621" s="3"/>
    </row>
    <row r="622" spans="2:30">
      <c r="B622" s="3">
        <f>($F$38)*($F$39)*($C$22/2)</f>
        <v>31.962206249999998</v>
      </c>
      <c r="C622" s="3">
        <f t="shared" si="197"/>
        <v>1073.93013</v>
      </c>
      <c r="D622" s="3">
        <f t="shared" si="198"/>
        <v>1509.1687760145787</v>
      </c>
      <c r="E622" s="3">
        <f t="shared" si="196"/>
        <v>4.5242673501573831</v>
      </c>
      <c r="F622" s="3">
        <f t="shared" si="199"/>
        <v>26.103579112595259</v>
      </c>
      <c r="J622" s="3">
        <f>0.035</f>
        <v>3.5000000000000003E-2</v>
      </c>
      <c r="K622" s="3"/>
      <c r="L622" s="3"/>
      <c r="T622" s="3">
        <f>($F$38)*($F$39)*($C$9/2)</f>
        <v>0</v>
      </c>
      <c r="U622" s="3">
        <f>$C$46*T622</f>
        <v>0</v>
      </c>
      <c r="V622" s="3">
        <f>U622+($C$50*$C$52)</f>
        <v>435.23864601457871</v>
      </c>
      <c r="W622" s="3">
        <f t="shared" ref="W622:W646" si="200">(V622)/($C$48+((($F$40)*($C$52))*$F$29)-(($C$49+$C$50)*$F$29^2))</f>
        <v>1.3044806493115189</v>
      </c>
      <c r="X622" s="3">
        <f>($F$29*W622)*($F$29*W622*$C$52)/2</f>
        <v>1.9683404681251937</v>
      </c>
      <c r="AB622" s="3">
        <v>0</v>
      </c>
      <c r="AC622" s="3">
        <v>0</v>
      </c>
      <c r="AD622" s="3" t="s">
        <v>33</v>
      </c>
    </row>
    <row r="623" spans="2:30">
      <c r="B623" s="3">
        <f>($F$38)*($F$39)*($C$23/2)</f>
        <v>34.420837499999998</v>
      </c>
      <c r="C623" s="3">
        <f>$C$46*B623</f>
        <v>1156.5401400000001</v>
      </c>
      <c r="D623" s="3">
        <f t="shared" si="198"/>
        <v>1591.7787860145788</v>
      </c>
      <c r="E623" s="3">
        <f t="shared" si="196"/>
        <v>4.7719200825616248</v>
      </c>
      <c r="F623" s="3">
        <f t="shared" si="199"/>
        <v>29.039548566406431</v>
      </c>
      <c r="J623" s="3">
        <f>0.04</f>
        <v>0.04</v>
      </c>
      <c r="K623" s="3"/>
      <c r="L623" s="3"/>
      <c r="T623" s="3">
        <f>($F$38)*($F$39)*($C$10/2)</f>
        <v>2.4586312499999998</v>
      </c>
      <c r="U623" s="3">
        <f t="shared" ref="U623:U635" si="201">$C$46*T623</f>
        <v>82.610010000000003</v>
      </c>
      <c r="V623" s="3">
        <f t="shared" ref="V623:V646" si="202">U623+($C$50*$C$52)</f>
        <v>517.84865601457875</v>
      </c>
      <c r="W623" s="3">
        <f t="shared" si="200"/>
        <v>1.5520762166426916</v>
      </c>
      <c r="X623" s="3">
        <f t="shared" ref="X623:X646" si="203">($F$29*W623)*($F$29*W623*$C$52)/2</f>
        <v>2.7864485416065699</v>
      </c>
      <c r="AB623" s="3">
        <f>1.266*10^-4</f>
        <v>1.2660000000000001E-4</v>
      </c>
      <c r="AC623" s="3">
        <v>0.5</v>
      </c>
      <c r="AD623" s="3" t="s">
        <v>33</v>
      </c>
    </row>
    <row r="624" spans="2:30">
      <c r="B624" s="3">
        <f>($F$38)*($F$39)*($C$24/2)</f>
        <v>36.879468750000001</v>
      </c>
      <c r="C624" s="3">
        <f t="shared" ref="C624:C633" si="204">$C$46*B624</f>
        <v>1239.1501500000002</v>
      </c>
      <c r="D624" s="3">
        <f t="shared" si="198"/>
        <v>1674.3887960145789</v>
      </c>
      <c r="E624" s="3">
        <f t="shared" si="196"/>
        <v>5.0195728149658665</v>
      </c>
      <c r="F624" s="3">
        <f t="shared" si="199"/>
        <v>32.131947925004724</v>
      </c>
      <c r="J624" s="3">
        <f>0.046</f>
        <v>4.5999999999999999E-2</v>
      </c>
      <c r="K624" s="3"/>
      <c r="L624" s="3"/>
      <c r="T624" s="3">
        <f>($F$38)*($F$39)*($C$11/2)</f>
        <v>4.9172624999999996</v>
      </c>
      <c r="U624" s="3">
        <f t="shared" si="201"/>
        <v>165.22002000000001</v>
      </c>
      <c r="V624" s="3">
        <f t="shared" si="202"/>
        <v>600.45866601457874</v>
      </c>
      <c r="W624" s="3">
        <f t="shared" si="200"/>
        <v>1.7996717839738643</v>
      </c>
      <c r="X624" s="3">
        <f t="shared" si="203"/>
        <v>3.746377654960134</v>
      </c>
      <c r="AB624" s="3">
        <f>5.062*10^-4</f>
        <v>5.0620000000000005E-4</v>
      </c>
      <c r="AC624" s="3">
        <v>1</v>
      </c>
      <c r="AD624" s="3" t="s">
        <v>33</v>
      </c>
    </row>
    <row r="625" spans="2:30">
      <c r="B625" s="3">
        <f>($F$38)*($F$39)*($C$25/2)</f>
        <v>39.338099999999997</v>
      </c>
      <c r="C625" s="3">
        <f t="shared" si="204"/>
        <v>1321.76016</v>
      </c>
      <c r="D625" s="3">
        <f t="shared" si="198"/>
        <v>1756.9988060145788</v>
      </c>
      <c r="E625" s="3">
        <f t="shared" si="196"/>
        <v>5.2672255473701073</v>
      </c>
      <c r="F625" s="3">
        <f t="shared" si="199"/>
        <v>35.38077718839012</v>
      </c>
      <c r="J625" s="3">
        <f>0.053</f>
        <v>5.2999999999999999E-2</v>
      </c>
      <c r="K625" s="3"/>
      <c r="L625" s="3"/>
      <c r="T625" s="3">
        <f>($F$38)*($F$39)*($C$12/2)</f>
        <v>7.3758937499999995</v>
      </c>
      <c r="U625" s="3">
        <f t="shared" si="201"/>
        <v>247.83002999999999</v>
      </c>
      <c r="V625" s="3">
        <f t="shared" si="202"/>
        <v>683.06867601457873</v>
      </c>
      <c r="W625" s="3">
        <f t="shared" si="200"/>
        <v>2.0472673513050368</v>
      </c>
      <c r="X625" s="3">
        <f t="shared" si="203"/>
        <v>4.8481278081858878</v>
      </c>
      <c r="AB625" s="3">
        <f>0.001</f>
        <v>1E-3</v>
      </c>
      <c r="AC625" s="3">
        <v>1.5</v>
      </c>
      <c r="AD625" s="3" t="s">
        <v>33</v>
      </c>
    </row>
    <row r="626" spans="2:30">
      <c r="B626" s="3">
        <f>($F$38)*($F$39)*($C$26/2)</f>
        <v>41.796731249999993</v>
      </c>
      <c r="C626" s="3">
        <f t="shared" si="204"/>
        <v>1404.3701699999999</v>
      </c>
      <c r="D626" s="3">
        <f t="shared" si="198"/>
        <v>1839.6088160145787</v>
      </c>
      <c r="E626" s="3">
        <f t="shared" si="196"/>
        <v>5.514878279774349</v>
      </c>
      <c r="F626" s="3">
        <f t="shared" si="199"/>
        <v>38.786036356562661</v>
      </c>
      <c r="J626" s="3">
        <f>0.06</f>
        <v>0.06</v>
      </c>
      <c r="K626" s="3"/>
      <c r="L626" s="3"/>
      <c r="T626" s="3">
        <f>($F$38)*($F$39)*($C$13/2)</f>
        <v>9.8345249999999993</v>
      </c>
      <c r="U626" s="3">
        <f t="shared" si="201"/>
        <v>330.44004000000001</v>
      </c>
      <c r="V626" s="3">
        <f t="shared" si="202"/>
        <v>765.67868601457872</v>
      </c>
      <c r="W626" s="3">
        <f t="shared" si="200"/>
        <v>2.2948629186362095</v>
      </c>
      <c r="X626" s="3">
        <f t="shared" si="203"/>
        <v>6.0916990012838301</v>
      </c>
      <c r="AB626" s="3">
        <f>0.002</f>
        <v>2E-3</v>
      </c>
      <c r="AC626" s="3">
        <v>2</v>
      </c>
      <c r="AD626" s="3" t="s">
        <v>33</v>
      </c>
    </row>
    <row r="627" spans="2:30">
      <c r="B627" s="3">
        <f>($F$38)*($F$39)*($C$27/2)</f>
        <v>44.255362499999997</v>
      </c>
      <c r="C627" s="3">
        <f t="shared" si="204"/>
        <v>1486.98018</v>
      </c>
      <c r="D627" s="3">
        <f t="shared" si="198"/>
        <v>1922.2188260145788</v>
      </c>
      <c r="E627" s="3">
        <f t="shared" si="196"/>
        <v>5.7625310121785907</v>
      </c>
      <c r="F627" s="3">
        <f t="shared" si="199"/>
        <v>42.34772542952232</v>
      </c>
      <c r="J627" s="3">
        <f>0.067</f>
        <v>6.7000000000000004E-2</v>
      </c>
      <c r="K627" s="3"/>
      <c r="L627" s="3"/>
      <c r="T627" s="3">
        <f>($F$38)*($F$39)*($C$14/2)</f>
        <v>12.293156249999999</v>
      </c>
      <c r="U627" s="3">
        <f t="shared" si="201"/>
        <v>413.05005</v>
      </c>
      <c r="V627" s="3">
        <f t="shared" si="202"/>
        <v>848.2886960145787</v>
      </c>
      <c r="W627" s="3">
        <f t="shared" si="200"/>
        <v>2.5424584859673822</v>
      </c>
      <c r="X627" s="3">
        <f t="shared" si="203"/>
        <v>7.4770912342539635</v>
      </c>
      <c r="AB627" s="3">
        <f>0.003</f>
        <v>3.0000000000000001E-3</v>
      </c>
      <c r="AC627" s="3">
        <v>2.5</v>
      </c>
      <c r="AD627" s="3" t="s">
        <v>33</v>
      </c>
    </row>
    <row r="628" spans="2:30">
      <c r="B628" s="3">
        <f>($F$38)*($F$39)*($C$28/2)</f>
        <v>46.71399375</v>
      </c>
      <c r="C628" s="3">
        <f t="shared" si="204"/>
        <v>1569.5901900000001</v>
      </c>
      <c r="D628" s="3">
        <f t="shared" si="198"/>
        <v>2004.8288360145789</v>
      </c>
      <c r="E628" s="3">
        <f t="shared" si="196"/>
        <v>6.0101837445828323</v>
      </c>
      <c r="F628" s="3">
        <f t="shared" si="199"/>
        <v>46.065844407269097</v>
      </c>
      <c r="J628" s="3">
        <f>0.074</f>
        <v>7.3999999999999996E-2</v>
      </c>
      <c r="K628" s="3"/>
      <c r="L628" s="3"/>
      <c r="T628" s="3">
        <f>($F$38)*($F$39)*($C$15/2)</f>
        <v>14.751787499999999</v>
      </c>
      <c r="U628" s="3">
        <f t="shared" si="201"/>
        <v>495.66005999999999</v>
      </c>
      <c r="V628" s="3">
        <f t="shared" si="202"/>
        <v>930.89870601457869</v>
      </c>
      <c r="W628" s="3">
        <f t="shared" si="200"/>
        <v>2.7900540532985549</v>
      </c>
      <c r="X628" s="3">
        <f t="shared" si="203"/>
        <v>9.0043045070962844</v>
      </c>
      <c r="AB628" s="3">
        <f>0.005</f>
        <v>5.0000000000000001E-3</v>
      </c>
      <c r="AC628" s="3">
        <v>3</v>
      </c>
      <c r="AD628" s="3" t="s">
        <v>33</v>
      </c>
    </row>
    <row r="629" spans="2:30">
      <c r="B629" s="3">
        <f>($F$38)*($F$39)*($C$29/2)</f>
        <v>49.172624999999996</v>
      </c>
      <c r="C629" s="3">
        <f t="shared" si="204"/>
        <v>1652.2002</v>
      </c>
      <c r="D629" s="3">
        <f t="shared" si="198"/>
        <v>2087.4388460145788</v>
      </c>
      <c r="E629" s="3">
        <f t="shared" si="196"/>
        <v>6.2578364769870731</v>
      </c>
      <c r="F629" s="3">
        <f t="shared" si="199"/>
        <v>49.940393289802977</v>
      </c>
      <c r="J629" s="3">
        <f>0.082</f>
        <v>8.2000000000000003E-2</v>
      </c>
      <c r="K629" s="3"/>
      <c r="L629" s="3"/>
      <c r="T629" s="3">
        <f>($F$38)*($F$39)*($C$16/2)</f>
        <v>17.210418749999999</v>
      </c>
      <c r="U629" s="3">
        <f t="shared" si="201"/>
        <v>578.27007000000003</v>
      </c>
      <c r="V629" s="3">
        <f t="shared" si="202"/>
        <v>1013.5087160145788</v>
      </c>
      <c r="W629" s="3">
        <f t="shared" si="200"/>
        <v>3.0376496206297281</v>
      </c>
      <c r="X629" s="3">
        <f t="shared" si="203"/>
        <v>10.6733388198108</v>
      </c>
      <c r="AB629" s="3">
        <f>0.006</f>
        <v>6.0000000000000001E-3</v>
      </c>
      <c r="AC629" s="3">
        <v>3.5</v>
      </c>
      <c r="AD629" s="3" t="s">
        <v>33</v>
      </c>
    </row>
    <row r="630" spans="2:30">
      <c r="B630" s="3">
        <f>($F$38)*($F$39)*($C$30/2)</f>
        <v>51.631256249999993</v>
      </c>
      <c r="C630" s="3">
        <f t="shared" si="204"/>
        <v>1734.8102099999999</v>
      </c>
      <c r="D630" s="3">
        <f t="shared" si="198"/>
        <v>2170.0488560145786</v>
      </c>
      <c r="E630" s="3">
        <f t="shared" si="196"/>
        <v>6.5054892093913139</v>
      </c>
      <c r="F630" s="3">
        <f t="shared" si="199"/>
        <v>53.971372077123966</v>
      </c>
      <c r="J630" s="3">
        <f>0.091</f>
        <v>9.0999999999999998E-2</v>
      </c>
      <c r="K630" s="3"/>
      <c r="L630" s="3"/>
      <c r="T630" s="3">
        <f>($F$38)*($F$39)*($C$17/2)</f>
        <v>19.669049999999999</v>
      </c>
      <c r="U630" s="3">
        <f t="shared" si="201"/>
        <v>660.88008000000002</v>
      </c>
      <c r="V630" s="3">
        <f t="shared" si="202"/>
        <v>1096.1187260145787</v>
      </c>
      <c r="W630" s="3">
        <f t="shared" si="200"/>
        <v>3.2852451879609004</v>
      </c>
      <c r="X630" s="3">
        <f t="shared" si="203"/>
        <v>12.484194172397496</v>
      </c>
      <c r="AB630" s="3">
        <f>0.008</f>
        <v>8.0000000000000002E-3</v>
      </c>
      <c r="AC630" s="3">
        <v>4</v>
      </c>
      <c r="AD630" s="3" t="s">
        <v>33</v>
      </c>
    </row>
    <row r="631" spans="2:30">
      <c r="B631" s="3">
        <f>($F$38)*($F$39)*($C$31/2)</f>
        <v>54.089887499999996</v>
      </c>
      <c r="C631" s="3">
        <f t="shared" si="204"/>
        <v>1817.42022</v>
      </c>
      <c r="D631" s="3">
        <f t="shared" si="198"/>
        <v>2252.6588660145785</v>
      </c>
      <c r="E631" s="3">
        <f t="shared" si="196"/>
        <v>6.7531419417955547</v>
      </c>
      <c r="F631" s="3">
        <f t="shared" si="199"/>
        <v>58.158780769232088</v>
      </c>
      <c r="J631" s="3">
        <f>0.1</f>
        <v>0.1</v>
      </c>
      <c r="K631" s="3"/>
      <c r="L631" s="3"/>
      <c r="T631" s="3">
        <f>($F$38)*($F$39)*($C$18/2)</f>
        <v>22.127681249999998</v>
      </c>
      <c r="U631" s="3">
        <f t="shared" si="201"/>
        <v>743.49009000000001</v>
      </c>
      <c r="V631" s="3">
        <f t="shared" si="202"/>
        <v>1178.7287360145788</v>
      </c>
      <c r="W631" s="3">
        <f t="shared" si="200"/>
        <v>3.5328407552920735</v>
      </c>
      <c r="X631" s="3">
        <f t="shared" si="203"/>
        <v>14.436870564856386</v>
      </c>
      <c r="AB631" s="3">
        <f>0.01</f>
        <v>0.01</v>
      </c>
      <c r="AC631" s="3">
        <v>4.5</v>
      </c>
      <c r="AD631" s="3" t="s">
        <v>33</v>
      </c>
    </row>
    <row r="632" spans="2:30">
      <c r="B632" s="3">
        <f>($F$38)*($F$39)*($C$32/2)</f>
        <v>56.548518749999999</v>
      </c>
      <c r="C632" s="3">
        <f t="shared" si="204"/>
        <v>1900.0302300000001</v>
      </c>
      <c r="D632" s="3">
        <f t="shared" si="198"/>
        <v>2335.2688760145788</v>
      </c>
      <c r="E632" s="3">
        <f t="shared" si="196"/>
        <v>7.0007946741997973</v>
      </c>
      <c r="F632" s="3">
        <f t="shared" si="199"/>
        <v>62.502619366127355</v>
      </c>
      <c r="J632" s="3">
        <f>0.109</f>
        <v>0.109</v>
      </c>
      <c r="K632" s="3"/>
      <c r="L632" s="3"/>
      <c r="T632" s="3">
        <f>($F$38)*($F$39)*($C$19/2)</f>
        <v>24.586312499999998</v>
      </c>
      <c r="U632" s="3">
        <f t="shared" si="201"/>
        <v>826.1001</v>
      </c>
      <c r="V632" s="3">
        <f t="shared" si="202"/>
        <v>1261.3387460145786</v>
      </c>
      <c r="W632" s="3">
        <f t="shared" si="200"/>
        <v>3.7804363226232458</v>
      </c>
      <c r="X632" s="3">
        <f t="shared" si="203"/>
        <v>16.531367997187463</v>
      </c>
      <c r="AB632" s="3">
        <f>0.013</f>
        <v>1.2999999999999999E-2</v>
      </c>
      <c r="AC632" s="3">
        <v>5</v>
      </c>
      <c r="AD632" s="3" t="s">
        <v>33</v>
      </c>
    </row>
    <row r="633" spans="2:30">
      <c r="B633" s="3">
        <f>($F$38)*($F$39)*($C$33/2)</f>
        <v>59.007149999999996</v>
      </c>
      <c r="C633" s="3">
        <f t="shared" si="204"/>
        <v>1982.6402399999999</v>
      </c>
      <c r="D633" s="3">
        <f t="shared" si="198"/>
        <v>2417.8788860145787</v>
      </c>
      <c r="E633" s="3">
        <f t="shared" si="196"/>
        <v>7.2484474066040381</v>
      </c>
      <c r="F633" s="3">
        <f t="shared" si="199"/>
        <v>67.002887867809719</v>
      </c>
      <c r="J633" s="3">
        <f>0.119</f>
        <v>0.11899999999999999</v>
      </c>
      <c r="K633" s="3"/>
      <c r="L633" s="3"/>
      <c r="T633" s="3">
        <f>($F$38)*($F$39)*($C$20/2)</f>
        <v>27.044943749999998</v>
      </c>
      <c r="U633" s="3">
        <f t="shared" si="201"/>
        <v>908.71010999999999</v>
      </c>
      <c r="V633" s="3">
        <f t="shared" si="202"/>
        <v>1343.9487560145787</v>
      </c>
      <c r="W633" s="3">
        <f t="shared" si="200"/>
        <v>4.028031889954419</v>
      </c>
      <c r="X633" s="3">
        <f t="shared" si="203"/>
        <v>18.767686469390739</v>
      </c>
      <c r="AB633" s="3">
        <f>0.015</f>
        <v>1.4999999999999999E-2</v>
      </c>
      <c r="AC633" s="3">
        <v>5.5</v>
      </c>
      <c r="AD633" s="3" t="s">
        <v>33</v>
      </c>
    </row>
    <row r="634" spans="2:30">
      <c r="B634" s="3">
        <f>($F$38)*($F$39)*($C$34/2)</f>
        <v>0</v>
      </c>
      <c r="C634" s="3">
        <f>$C$46*B634</f>
        <v>0</v>
      </c>
      <c r="D634" s="3">
        <f t="shared" si="198"/>
        <v>435.23864601457871</v>
      </c>
      <c r="E634" s="3">
        <f t="shared" si="196"/>
        <v>1.3047818289022455</v>
      </c>
      <c r="F634" s="3">
        <f t="shared" si="199"/>
        <v>2.1710975486778801</v>
      </c>
      <c r="J634" s="29"/>
      <c r="K634" s="4"/>
      <c r="L634" s="30"/>
      <c r="T634" s="3">
        <f>($F$38)*($F$39)*($C$21/2)</f>
        <v>29.503574999999998</v>
      </c>
      <c r="U634" s="3">
        <f t="shared" si="201"/>
        <v>991.32011999999997</v>
      </c>
      <c r="V634" s="3">
        <f t="shared" si="202"/>
        <v>1426.5587660145786</v>
      </c>
      <c r="W634" s="3">
        <f t="shared" si="200"/>
        <v>4.2756274572855908</v>
      </c>
      <c r="X634" s="3">
        <f t="shared" si="203"/>
        <v>21.145825981466185</v>
      </c>
      <c r="AB634" s="3">
        <f>0.018</f>
        <v>1.7999999999999999E-2</v>
      </c>
      <c r="AC634" s="3">
        <v>6</v>
      </c>
      <c r="AD634" s="3" t="s">
        <v>33</v>
      </c>
    </row>
    <row r="635" spans="2:30">
      <c r="B635" s="29"/>
      <c r="C635" s="4"/>
      <c r="D635" s="4"/>
      <c r="E635" s="4"/>
      <c r="F635" s="30"/>
      <c r="J635" s="29"/>
      <c r="K635" s="4"/>
      <c r="L635" s="30"/>
      <c r="T635" s="3">
        <f>($F$38)*($F$39)*($C$22/2)</f>
        <v>31.962206249999998</v>
      </c>
      <c r="U635" s="3">
        <f t="shared" si="201"/>
        <v>1073.93013</v>
      </c>
      <c r="V635" s="3">
        <f t="shared" si="202"/>
        <v>1509.1687760145787</v>
      </c>
      <c r="W635" s="3">
        <f t="shared" si="200"/>
        <v>4.5232230246167644</v>
      </c>
      <c r="X635" s="3">
        <f t="shared" si="203"/>
        <v>23.66578653341384</v>
      </c>
      <c r="AB635" s="3">
        <f>0.021</f>
        <v>2.1000000000000001E-2</v>
      </c>
      <c r="AC635" s="3">
        <v>6.5</v>
      </c>
      <c r="AD635" s="3" t="s">
        <v>33</v>
      </c>
    </row>
    <row r="636" spans="2:30">
      <c r="B636" s="29" t="s">
        <v>156</v>
      </c>
      <c r="C636" s="4"/>
      <c r="D636" s="4"/>
      <c r="E636" s="4"/>
      <c r="F636" s="30"/>
      <c r="J636" s="29" t="s">
        <v>157</v>
      </c>
      <c r="K636" s="4"/>
      <c r="L636" s="30"/>
      <c r="T636" s="3">
        <f>($F$38)*($F$39)*($C$23/2)</f>
        <v>34.420837499999998</v>
      </c>
      <c r="U636" s="3">
        <f>$C$46*T636</f>
        <v>1156.5401400000001</v>
      </c>
      <c r="V636" s="3">
        <f t="shared" si="202"/>
        <v>1591.7787860145788</v>
      </c>
      <c r="W636" s="3">
        <f t="shared" si="200"/>
        <v>4.7708185919479371</v>
      </c>
      <c r="X636" s="3">
        <f t="shared" si="203"/>
        <v>26.327568125233679</v>
      </c>
      <c r="AB636" s="3">
        <f>0.025</f>
        <v>2.5000000000000001E-2</v>
      </c>
      <c r="AC636" s="3">
        <v>7</v>
      </c>
      <c r="AD636" s="3" t="s">
        <v>33</v>
      </c>
    </row>
    <row r="637" spans="2:30">
      <c r="B637" s="45" t="s">
        <v>75</v>
      </c>
      <c r="C637" s="45" t="s">
        <v>76</v>
      </c>
      <c r="D637" s="45" t="s">
        <v>77</v>
      </c>
      <c r="E637" s="45" t="s">
        <v>78</v>
      </c>
      <c r="F637" s="45" t="s">
        <v>32</v>
      </c>
      <c r="J637" s="45" t="s">
        <v>32</v>
      </c>
      <c r="K637" s="3"/>
      <c r="L637" s="3"/>
      <c r="T637" s="3">
        <f>($F$38)*($F$39)*($C$24/2)</f>
        <v>36.879468750000001</v>
      </c>
      <c r="U637" s="3">
        <f t="shared" ref="U637:U646" si="205">$C$46*T637</f>
        <v>1239.1501500000002</v>
      </c>
      <c r="V637" s="3">
        <f t="shared" si="202"/>
        <v>1674.3887960145789</v>
      </c>
      <c r="W637" s="3">
        <f t="shared" si="200"/>
        <v>5.0184141592791098</v>
      </c>
      <c r="X637" s="3">
        <f t="shared" si="203"/>
        <v>29.131170756925702</v>
      </c>
      <c r="AB637" s="3">
        <f>0.028</f>
        <v>2.8000000000000001E-2</v>
      </c>
      <c r="AC637" s="3">
        <v>7.5</v>
      </c>
      <c r="AD637" s="3" t="s">
        <v>33</v>
      </c>
    </row>
    <row r="638" spans="2:30">
      <c r="B638" s="3">
        <f>($F$38)*($F$39)*($C$9/2)</f>
        <v>0</v>
      </c>
      <c r="C638" s="3">
        <f>$C$46*B638</f>
        <v>0</v>
      </c>
      <c r="D638" s="3">
        <f>C638+($C$50*$C$52)</f>
        <v>435.23864601457871</v>
      </c>
      <c r="E638" s="3">
        <f t="shared" ref="E638:E663" si="206">(D638)/($C$48+((($F$40)*($C$52))*$F$29)-(($C$49+$C$50)*$F$29^2))</f>
        <v>1.3044806493115189</v>
      </c>
      <c r="F638" s="3">
        <f>($F$29*E638)*($F$29*E638*$C$52)/2</f>
        <v>1.9683404681251937</v>
      </c>
      <c r="J638" s="3">
        <v>0</v>
      </c>
      <c r="K638" s="3"/>
      <c r="L638" s="3"/>
      <c r="T638" s="3">
        <f>($F$38)*($F$39)*($C$25/2)</f>
        <v>39.338099999999997</v>
      </c>
      <c r="U638" s="3">
        <f t="shared" si="205"/>
        <v>1321.76016</v>
      </c>
      <c r="V638" s="3">
        <f t="shared" si="202"/>
        <v>1756.9988060145788</v>
      </c>
      <c r="W638" s="3">
        <f t="shared" si="200"/>
        <v>5.2660097266102825</v>
      </c>
      <c r="X638" s="3">
        <f t="shared" si="203"/>
        <v>32.076594428489912</v>
      </c>
      <c r="AB638" s="3">
        <f>0.032</f>
        <v>3.2000000000000001E-2</v>
      </c>
      <c r="AC638" s="3">
        <v>8</v>
      </c>
      <c r="AD638" s="3" t="s">
        <v>33</v>
      </c>
    </row>
    <row r="639" spans="2:30">
      <c r="B639" s="3">
        <f>($F$38)*($F$39)*($C$10/2)</f>
        <v>2.4586312499999998</v>
      </c>
      <c r="C639" s="3">
        <f t="shared" ref="C639:C651" si="207">$C$46*B639</f>
        <v>82.610010000000003</v>
      </c>
      <c r="D639" s="3">
        <f t="shared" ref="D639:D663" si="208">C639+($C$50*$C$52)</f>
        <v>517.84865601457875</v>
      </c>
      <c r="E639" s="3">
        <f t="shared" si="206"/>
        <v>1.5520762166426916</v>
      </c>
      <c r="F639" s="3">
        <f t="shared" ref="F639:F663" si="209">($F$29*E639)*($F$29*E639*$C$52)/2</f>
        <v>2.7864485416065699</v>
      </c>
      <c r="J639" s="3">
        <f>1.266*10^-4</f>
        <v>1.2660000000000001E-4</v>
      </c>
      <c r="K639" s="3"/>
      <c r="L639" s="3"/>
      <c r="T639" s="3">
        <f>($F$38)*($F$39)*($C$26/2)</f>
        <v>41.796731249999993</v>
      </c>
      <c r="U639" s="3">
        <f t="shared" si="205"/>
        <v>1404.3701699999999</v>
      </c>
      <c r="V639" s="3">
        <f t="shared" si="202"/>
        <v>1839.6088160145787</v>
      </c>
      <c r="W639" s="3">
        <f t="shared" si="200"/>
        <v>5.5136052939414544</v>
      </c>
      <c r="X639" s="3">
        <f t="shared" si="203"/>
        <v>35.16383913992631</v>
      </c>
      <c r="AB639" s="3">
        <f>0.037</f>
        <v>3.6999999999999998E-2</v>
      </c>
      <c r="AC639" s="3">
        <v>8.5</v>
      </c>
      <c r="AD639" s="3" t="s">
        <v>33</v>
      </c>
    </row>
    <row r="640" spans="2:30">
      <c r="B640" s="3">
        <f>($F$38)*($F$39)*($C$11/2)</f>
        <v>4.9172624999999996</v>
      </c>
      <c r="C640" s="3">
        <f t="shared" si="207"/>
        <v>165.22002000000001</v>
      </c>
      <c r="D640" s="3">
        <f t="shared" si="208"/>
        <v>600.45866601457874</v>
      </c>
      <c r="E640" s="3">
        <f t="shared" si="206"/>
        <v>1.7996717839738643</v>
      </c>
      <c r="F640" s="3">
        <f t="shared" si="209"/>
        <v>3.746377654960134</v>
      </c>
      <c r="J640" s="3">
        <f>5.062*10^-4</f>
        <v>5.0620000000000005E-4</v>
      </c>
      <c r="K640" s="3"/>
      <c r="L640" s="3"/>
      <c r="T640" s="3">
        <f>($F$38)*($F$39)*($C$27/2)</f>
        <v>44.255362499999997</v>
      </c>
      <c r="U640" s="3">
        <f t="shared" si="205"/>
        <v>1486.98018</v>
      </c>
      <c r="V640" s="3">
        <f t="shared" si="202"/>
        <v>1922.2188260145788</v>
      </c>
      <c r="W640" s="3">
        <f t="shared" si="200"/>
        <v>5.761200861272628</v>
      </c>
      <c r="X640" s="3">
        <f t="shared" si="203"/>
        <v>38.392904891234913</v>
      </c>
      <c r="AB640" s="3">
        <f>0.041</f>
        <v>4.1000000000000002E-2</v>
      </c>
      <c r="AC640" s="3">
        <v>9</v>
      </c>
      <c r="AD640" s="3" t="s">
        <v>33</v>
      </c>
    </row>
    <row r="641" spans="2:30">
      <c r="B641" s="3">
        <f>($F$38)*($F$39)*($C$12/2)</f>
        <v>7.3758937499999995</v>
      </c>
      <c r="C641" s="3">
        <f t="shared" si="207"/>
        <v>247.83002999999999</v>
      </c>
      <c r="D641" s="3">
        <f t="shared" si="208"/>
        <v>683.06867601457873</v>
      </c>
      <c r="E641" s="3">
        <f t="shared" si="206"/>
        <v>2.0472673513050368</v>
      </c>
      <c r="F641" s="3">
        <f t="shared" si="209"/>
        <v>4.8481278081858878</v>
      </c>
      <c r="J641" s="3">
        <f>0.001</f>
        <v>1E-3</v>
      </c>
      <c r="K641" s="3"/>
      <c r="L641" s="3"/>
      <c r="T641" s="3">
        <f>($F$38)*($F$39)*($C$28/2)</f>
        <v>46.71399375</v>
      </c>
      <c r="U641" s="3">
        <f t="shared" si="205"/>
        <v>1569.5901900000001</v>
      </c>
      <c r="V641" s="3">
        <f t="shared" si="202"/>
        <v>2004.8288360145789</v>
      </c>
      <c r="W641" s="3">
        <f t="shared" si="200"/>
        <v>6.0087964286038007</v>
      </c>
      <c r="X641" s="3">
        <f t="shared" si="203"/>
        <v>41.763791682415693</v>
      </c>
      <c r="AB641" s="3">
        <f>0.046</f>
        <v>4.5999999999999999E-2</v>
      </c>
      <c r="AC641" s="3">
        <v>9.5</v>
      </c>
      <c r="AD641" s="3" t="s">
        <v>33</v>
      </c>
    </row>
    <row r="642" spans="2:30">
      <c r="B642" s="3">
        <f>($F$38)*($F$39)*($C$13/2)</f>
        <v>9.8345249999999993</v>
      </c>
      <c r="C642" s="3">
        <f t="shared" si="207"/>
        <v>330.44004000000001</v>
      </c>
      <c r="D642" s="3">
        <f t="shared" si="208"/>
        <v>765.67868601457872</v>
      </c>
      <c r="E642" s="3">
        <f t="shared" si="206"/>
        <v>2.2948629186362095</v>
      </c>
      <c r="F642" s="3">
        <f t="shared" si="209"/>
        <v>6.0916990012838301</v>
      </c>
      <c r="J642" s="3">
        <f>0.002</f>
        <v>2E-3</v>
      </c>
      <c r="K642" s="3"/>
      <c r="L642" s="3"/>
      <c r="T642" s="3">
        <f>($F$38)*($F$39)*($C$29/2)</f>
        <v>49.172624999999996</v>
      </c>
      <c r="U642" s="3">
        <f t="shared" si="205"/>
        <v>1652.2002</v>
      </c>
      <c r="V642" s="3">
        <f t="shared" si="202"/>
        <v>2087.4388460145788</v>
      </c>
      <c r="W642" s="3">
        <f t="shared" si="200"/>
        <v>6.2563919959349734</v>
      </c>
      <c r="X642" s="3">
        <f t="shared" si="203"/>
        <v>45.276499513468664</v>
      </c>
      <c r="AB642" s="3">
        <f>0.051</f>
        <v>5.0999999999999997E-2</v>
      </c>
      <c r="AC642" s="3">
        <v>10</v>
      </c>
      <c r="AD642" s="3" t="s">
        <v>33</v>
      </c>
    </row>
    <row r="643" spans="2:30">
      <c r="B643" s="3">
        <f>($F$38)*($F$39)*($C$14/2)</f>
        <v>12.293156249999999</v>
      </c>
      <c r="C643" s="3">
        <f t="shared" si="207"/>
        <v>413.05005</v>
      </c>
      <c r="D643" s="3">
        <f t="shared" si="208"/>
        <v>848.2886960145787</v>
      </c>
      <c r="E643" s="3">
        <f t="shared" si="206"/>
        <v>2.5424584859673822</v>
      </c>
      <c r="F643" s="3">
        <f t="shared" si="209"/>
        <v>7.4770912342539635</v>
      </c>
      <c r="J643" s="3">
        <f>0.003</f>
        <v>3.0000000000000001E-3</v>
      </c>
      <c r="K643" s="3"/>
      <c r="L643" s="3"/>
      <c r="T643" s="3">
        <f>($F$38)*($F$39)*($C$30/2)</f>
        <v>51.631256249999993</v>
      </c>
      <c r="U643" s="3">
        <f t="shared" si="205"/>
        <v>1734.8102099999999</v>
      </c>
      <c r="V643" s="3">
        <f t="shared" si="202"/>
        <v>2170.0488560145786</v>
      </c>
      <c r="W643" s="3">
        <f t="shared" si="200"/>
        <v>6.5039875632661452</v>
      </c>
      <c r="X643" s="3">
        <f t="shared" si="203"/>
        <v>48.931028384393805</v>
      </c>
      <c r="AB643" s="3">
        <f>0.056</f>
        <v>5.6000000000000001E-2</v>
      </c>
      <c r="AC643" s="3">
        <v>10.5</v>
      </c>
      <c r="AD643" s="3" t="s">
        <v>33</v>
      </c>
    </row>
    <row r="644" spans="2:30">
      <c r="B644" s="3">
        <f>($F$38)*($F$39)*($C$15/2)</f>
        <v>14.751787499999999</v>
      </c>
      <c r="C644" s="3">
        <f t="shared" si="207"/>
        <v>495.66005999999999</v>
      </c>
      <c r="D644" s="3">
        <f t="shared" si="208"/>
        <v>930.89870601457869</v>
      </c>
      <c r="E644" s="3">
        <f t="shared" si="206"/>
        <v>2.7900540532985549</v>
      </c>
      <c r="F644" s="3">
        <f t="shared" si="209"/>
        <v>9.0043045070962844</v>
      </c>
      <c r="J644" s="3">
        <f>0.005</f>
        <v>5.0000000000000001E-3</v>
      </c>
      <c r="K644" s="3"/>
      <c r="L644" s="3"/>
      <c r="T644" s="3">
        <f>($F$38)*($F$39)*($C$31/2)</f>
        <v>54.089887499999996</v>
      </c>
      <c r="U644" s="3">
        <f t="shared" si="205"/>
        <v>1817.42022</v>
      </c>
      <c r="V644" s="3">
        <f t="shared" si="202"/>
        <v>2252.6588660145785</v>
      </c>
      <c r="W644" s="3">
        <f t="shared" si="200"/>
        <v>6.751583130597318</v>
      </c>
      <c r="X644" s="3">
        <f t="shared" si="203"/>
        <v>52.727378295191173</v>
      </c>
      <c r="AB644" s="3">
        <f>0.061</f>
        <v>6.0999999999999999E-2</v>
      </c>
      <c r="AC644" s="3">
        <v>11</v>
      </c>
      <c r="AD644" s="3" t="s">
        <v>33</v>
      </c>
    </row>
    <row r="645" spans="2:30">
      <c r="B645" s="3">
        <f>($F$38)*($F$39)*($C$16/2)</f>
        <v>17.210418749999999</v>
      </c>
      <c r="C645" s="3">
        <f t="shared" si="207"/>
        <v>578.27007000000003</v>
      </c>
      <c r="D645" s="3">
        <f t="shared" si="208"/>
        <v>1013.5087160145788</v>
      </c>
      <c r="E645" s="3">
        <f t="shared" si="206"/>
        <v>3.0376496206297281</v>
      </c>
      <c r="F645" s="3">
        <f t="shared" si="209"/>
        <v>10.6733388198108</v>
      </c>
      <c r="J645" s="3">
        <f>0.006</f>
        <v>6.0000000000000001E-3</v>
      </c>
      <c r="K645" s="3"/>
      <c r="L645" s="3"/>
      <c r="T645" s="3">
        <f>($F$38)*($F$39)*($C$32/2)</f>
        <v>56.548518749999999</v>
      </c>
      <c r="U645" s="3">
        <f t="shared" si="205"/>
        <v>1900.0302300000001</v>
      </c>
      <c r="V645" s="3">
        <f t="shared" si="202"/>
        <v>2335.2688760145788</v>
      </c>
      <c r="W645" s="3">
        <f t="shared" si="200"/>
        <v>6.9991786979284916</v>
      </c>
      <c r="X645" s="3">
        <f t="shared" si="203"/>
        <v>56.665549245860724</v>
      </c>
      <c r="AB645" s="3">
        <f>0.067</f>
        <v>6.7000000000000004E-2</v>
      </c>
      <c r="AC645" s="3">
        <v>11.5</v>
      </c>
      <c r="AD645" s="3" t="s">
        <v>33</v>
      </c>
    </row>
    <row r="646" spans="2:30">
      <c r="B646" s="3">
        <f>($F$38)*($F$39)*($C$17/2)</f>
        <v>19.669049999999999</v>
      </c>
      <c r="C646" s="3">
        <f t="shared" si="207"/>
        <v>660.88008000000002</v>
      </c>
      <c r="D646" s="3">
        <f t="shared" si="208"/>
        <v>1096.1187260145787</v>
      </c>
      <c r="E646" s="3">
        <f t="shared" si="206"/>
        <v>3.2852451879609004</v>
      </c>
      <c r="F646" s="3">
        <f t="shared" si="209"/>
        <v>12.484194172397496</v>
      </c>
      <c r="J646" s="3">
        <f>0.008</f>
        <v>8.0000000000000002E-3</v>
      </c>
      <c r="K646" s="3"/>
      <c r="L646" s="3"/>
      <c r="T646" s="3">
        <f>($F$38)*($F$39)*($C$33/2)</f>
        <v>59.007149999999996</v>
      </c>
      <c r="U646" s="3">
        <f t="shared" si="205"/>
        <v>1982.6402399999999</v>
      </c>
      <c r="V646" s="3">
        <f t="shared" si="202"/>
        <v>2417.8788860145787</v>
      </c>
      <c r="W646" s="3">
        <f t="shared" si="200"/>
        <v>7.2467742652596634</v>
      </c>
      <c r="X646" s="3">
        <f t="shared" si="203"/>
        <v>60.745541236402424</v>
      </c>
      <c r="AB646" s="3">
        <f>0.073</f>
        <v>7.2999999999999995E-2</v>
      </c>
      <c r="AC646" s="3">
        <v>12</v>
      </c>
      <c r="AD646" s="3" t="s">
        <v>33</v>
      </c>
    </row>
    <row r="647" spans="2:30">
      <c r="B647" s="3">
        <f>($F$38)*($F$39)*($C$18/2)</f>
        <v>22.127681249999998</v>
      </c>
      <c r="C647" s="3">
        <f t="shared" si="207"/>
        <v>743.49009000000001</v>
      </c>
      <c r="D647" s="3">
        <f t="shared" si="208"/>
        <v>1178.7287360145788</v>
      </c>
      <c r="E647" s="3">
        <f t="shared" si="206"/>
        <v>3.5328407552920735</v>
      </c>
      <c r="F647" s="3">
        <f t="shared" si="209"/>
        <v>14.436870564856386</v>
      </c>
      <c r="J647" s="3">
        <f>0.01</f>
        <v>0.01</v>
      </c>
      <c r="K647" s="3"/>
      <c r="L647" s="3"/>
      <c r="T647" s="3"/>
      <c r="U647" s="3"/>
      <c r="V647" s="3"/>
      <c r="W647" s="3"/>
      <c r="X647" s="3"/>
      <c r="AB647" s="29"/>
      <c r="AC647" s="4"/>
      <c r="AD647" s="30"/>
    </row>
    <row r="648" spans="2:30">
      <c r="B648" s="3">
        <f>($F$38)*($F$39)*($C$19/2)</f>
        <v>24.586312499999998</v>
      </c>
      <c r="C648" s="3">
        <f t="shared" si="207"/>
        <v>826.1001</v>
      </c>
      <c r="D648" s="3">
        <f t="shared" si="208"/>
        <v>1261.3387460145786</v>
      </c>
      <c r="E648" s="3">
        <f t="shared" si="206"/>
        <v>3.7804363226232458</v>
      </c>
      <c r="F648" s="3">
        <f t="shared" si="209"/>
        <v>16.531367997187463</v>
      </c>
      <c r="J648" s="3">
        <f>0.013</f>
        <v>1.2999999999999999E-2</v>
      </c>
      <c r="K648" s="3"/>
      <c r="L648" s="3"/>
      <c r="T648" s="29"/>
      <c r="U648" s="4"/>
      <c r="V648" s="4"/>
      <c r="W648" s="4"/>
      <c r="X648" s="30"/>
      <c r="AB648" s="29"/>
      <c r="AC648" s="4"/>
      <c r="AD648" s="30"/>
    </row>
    <row r="649" spans="2:30">
      <c r="B649" s="3">
        <f>($F$38)*($F$39)*($C$20/2)</f>
        <v>27.044943749999998</v>
      </c>
      <c r="C649" s="3">
        <f t="shared" si="207"/>
        <v>908.71010999999999</v>
      </c>
      <c r="D649" s="3">
        <f t="shared" si="208"/>
        <v>1343.9487560145787</v>
      </c>
      <c r="E649" s="3">
        <f t="shared" si="206"/>
        <v>4.028031889954419</v>
      </c>
      <c r="F649" s="3">
        <f t="shared" si="209"/>
        <v>18.767686469390739</v>
      </c>
      <c r="J649" s="3">
        <f>0.015</f>
        <v>1.4999999999999999E-2</v>
      </c>
      <c r="K649" s="3">
        <v>5.5</v>
      </c>
      <c r="L649" s="3" t="s">
        <v>33</v>
      </c>
      <c r="T649" s="29" t="s">
        <v>158</v>
      </c>
      <c r="U649" s="4"/>
      <c r="V649" s="4"/>
      <c r="W649" s="4"/>
      <c r="X649" s="30"/>
      <c r="AB649" s="29" t="s">
        <v>159</v>
      </c>
      <c r="AC649" s="4"/>
      <c r="AD649" s="30"/>
    </row>
    <row r="650" spans="2:30">
      <c r="B650" s="3">
        <f>($F$38)*($F$39)*($C$21/2)</f>
        <v>29.503574999999998</v>
      </c>
      <c r="C650" s="3">
        <f t="shared" si="207"/>
        <v>991.32011999999997</v>
      </c>
      <c r="D650" s="3">
        <f t="shared" si="208"/>
        <v>1426.5587660145786</v>
      </c>
      <c r="E650" s="3">
        <f t="shared" si="206"/>
        <v>4.2756274572855908</v>
      </c>
      <c r="F650" s="3">
        <f t="shared" si="209"/>
        <v>21.145825981466185</v>
      </c>
      <c r="J650" s="3">
        <f>0.018</f>
        <v>1.7999999999999999E-2</v>
      </c>
      <c r="K650" s="3"/>
      <c r="L650" s="3"/>
      <c r="T650" s="45" t="s">
        <v>75</v>
      </c>
      <c r="U650" s="45" t="s">
        <v>76</v>
      </c>
      <c r="V650" s="45" t="s">
        <v>77</v>
      </c>
      <c r="W650" s="45" t="s">
        <v>78</v>
      </c>
      <c r="X650" s="45" t="s">
        <v>32</v>
      </c>
      <c r="AB650" s="45" t="s">
        <v>32</v>
      </c>
      <c r="AC650" s="3"/>
      <c r="AD650" s="3"/>
    </row>
    <row r="651" spans="2:30">
      <c r="B651" s="3">
        <f>($F$38)*($F$39)*($C$22/2)</f>
        <v>31.962206249999998</v>
      </c>
      <c r="C651" s="3">
        <f t="shared" si="207"/>
        <v>1073.93013</v>
      </c>
      <c r="D651" s="3">
        <f t="shared" si="208"/>
        <v>1509.1687760145787</v>
      </c>
      <c r="E651" s="3">
        <f t="shared" si="206"/>
        <v>4.5232230246167644</v>
      </c>
      <c r="F651" s="3">
        <f t="shared" si="209"/>
        <v>23.66578653341384</v>
      </c>
      <c r="J651" s="3">
        <f>0.021</f>
        <v>2.1000000000000001E-2</v>
      </c>
      <c r="K651" s="3"/>
      <c r="L651" s="3"/>
      <c r="T651" s="3">
        <f>($F$38)*($F$39)*($C$9/2)</f>
        <v>0</v>
      </c>
      <c r="U651" s="3">
        <f>$C$46*T651</f>
        <v>0</v>
      </c>
      <c r="V651" s="3">
        <f>U651+($C$50*$C$52)</f>
        <v>435.23864601457871</v>
      </c>
      <c r="W651" s="3">
        <f t="shared" ref="W651:W675" si="210">(V651)/($C$48+((($F$40)*($C$52))*$F$30)-(($C$49+$C$50)*$F$30^2))</f>
        <v>1.304283671330642</v>
      </c>
      <c r="X651" s="3">
        <f>($F$30*W651)*($F$30*W651*$C$52)/2</f>
        <v>1.7929256546455328</v>
      </c>
      <c r="AB651" s="3">
        <v>0</v>
      </c>
      <c r="AC651" s="3">
        <v>0</v>
      </c>
      <c r="AD651" s="3" t="s">
        <v>33</v>
      </c>
    </row>
    <row r="652" spans="2:30">
      <c r="B652" s="3">
        <f>($F$38)*($F$39)*($C$23/2)</f>
        <v>34.420837499999998</v>
      </c>
      <c r="C652" s="3">
        <f>$C$46*B652</f>
        <v>1156.5401400000001</v>
      </c>
      <c r="D652" s="3">
        <f t="shared" si="208"/>
        <v>1591.7787860145788</v>
      </c>
      <c r="E652" s="3">
        <f t="shared" si="206"/>
        <v>4.7708185919479371</v>
      </c>
      <c r="F652" s="3">
        <f t="shared" si="209"/>
        <v>26.327568125233679</v>
      </c>
      <c r="J652" s="3">
        <f>0.025</f>
        <v>2.5000000000000001E-2</v>
      </c>
      <c r="K652" s="3"/>
      <c r="L652" s="3"/>
      <c r="T652" s="3">
        <f>($F$38)*($F$39)*($C$10/2)</f>
        <v>2.4586312499999998</v>
      </c>
      <c r="U652" s="3">
        <f t="shared" ref="U652:U664" si="211">$C$46*T652</f>
        <v>82.610010000000003</v>
      </c>
      <c r="V652" s="3">
        <f t="shared" ref="V652:V675" si="212">U652+($C$50*$C$52)</f>
        <v>517.84865601457875</v>
      </c>
      <c r="W652" s="3">
        <f t="shared" si="210"/>
        <v>1.5518418514648851</v>
      </c>
      <c r="X652" s="3">
        <f t="shared" ref="X652:X675" si="213">($F$30*W652)*($F$30*W652*$C$52)/2</f>
        <v>2.5381254699064044</v>
      </c>
      <c r="AB652" s="3">
        <f>7.953*10^-5</f>
        <v>7.9530000000000006E-5</v>
      </c>
      <c r="AC652" s="3">
        <v>0.5</v>
      </c>
      <c r="AD652" s="3" t="s">
        <v>33</v>
      </c>
    </row>
    <row r="653" spans="2:30">
      <c r="B653" s="3">
        <f>($F$38)*($F$39)*($C$24/2)</f>
        <v>36.879468750000001</v>
      </c>
      <c r="C653" s="3">
        <f t="shared" ref="C653:C662" si="214">$C$46*B653</f>
        <v>1239.1501500000002</v>
      </c>
      <c r="D653" s="3">
        <f t="shared" si="208"/>
        <v>1674.3887960145789</v>
      </c>
      <c r="E653" s="3">
        <f t="shared" si="206"/>
        <v>5.0184141592791098</v>
      </c>
      <c r="F653" s="3">
        <f t="shared" si="209"/>
        <v>29.131170756925702</v>
      </c>
      <c r="J653" s="3">
        <f>0.028</f>
        <v>2.8000000000000001E-2</v>
      </c>
      <c r="K653" s="3"/>
      <c r="L653" s="3"/>
      <c r="T653" s="3">
        <f>($F$38)*($F$39)*($C$11/2)</f>
        <v>4.9172624999999996</v>
      </c>
      <c r="U653" s="3">
        <f t="shared" si="211"/>
        <v>165.22002000000001</v>
      </c>
      <c r="V653" s="3">
        <f t="shared" si="212"/>
        <v>600.45866601457874</v>
      </c>
      <c r="W653" s="3">
        <f t="shared" si="210"/>
        <v>1.7994000315991281</v>
      </c>
      <c r="X653" s="3">
        <f t="shared" si="213"/>
        <v>3.4125074997653169</v>
      </c>
      <c r="AB653" s="3">
        <f>3.181*10^-4</f>
        <v>3.1810000000000003E-4</v>
      </c>
      <c r="AC653" s="3">
        <v>1</v>
      </c>
      <c r="AD653" s="3" t="s">
        <v>33</v>
      </c>
    </row>
    <row r="654" spans="2:30">
      <c r="B654" s="3">
        <f>($F$38)*($F$39)*($C$25/2)</f>
        <v>39.338099999999997</v>
      </c>
      <c r="C654" s="3">
        <f t="shared" si="214"/>
        <v>1321.76016</v>
      </c>
      <c r="D654" s="3">
        <f t="shared" si="208"/>
        <v>1756.9988060145788</v>
      </c>
      <c r="E654" s="3">
        <f t="shared" si="206"/>
        <v>5.2660097266102825</v>
      </c>
      <c r="F654" s="3">
        <f t="shared" si="209"/>
        <v>32.076594428489912</v>
      </c>
      <c r="J654" s="3">
        <f>0.032</f>
        <v>3.2000000000000001E-2</v>
      </c>
      <c r="K654" s="3"/>
      <c r="L654" s="3"/>
      <c r="T654" s="3">
        <f>($F$38)*($F$39)*($C$12/2)</f>
        <v>7.3758937499999995</v>
      </c>
      <c r="U654" s="3">
        <f t="shared" si="211"/>
        <v>247.83002999999999</v>
      </c>
      <c r="V654" s="3">
        <f t="shared" si="212"/>
        <v>683.06867601457873</v>
      </c>
      <c r="W654" s="3">
        <f t="shared" si="210"/>
        <v>2.0469582117333709</v>
      </c>
      <c r="X654" s="3">
        <f t="shared" si="213"/>
        <v>4.4160717442222674</v>
      </c>
      <c r="AB654" s="3">
        <f>7.157*10^-4</f>
        <v>7.157E-4</v>
      </c>
      <c r="AC654" s="3">
        <v>1.5</v>
      </c>
      <c r="AD654" s="3" t="s">
        <v>33</v>
      </c>
    </row>
    <row r="655" spans="2:30">
      <c r="B655" s="3">
        <f>($F$38)*($F$39)*($C$26/2)</f>
        <v>41.796731249999993</v>
      </c>
      <c r="C655" s="3">
        <f t="shared" si="214"/>
        <v>1404.3701699999999</v>
      </c>
      <c r="D655" s="3">
        <f t="shared" si="208"/>
        <v>1839.6088160145787</v>
      </c>
      <c r="E655" s="3">
        <f t="shared" si="206"/>
        <v>5.5136052939414544</v>
      </c>
      <c r="F655" s="3">
        <f t="shared" si="209"/>
        <v>35.16383913992631</v>
      </c>
      <c r="J655" s="3">
        <f>0.037</f>
        <v>3.6999999999999998E-2</v>
      </c>
      <c r="K655" s="3"/>
      <c r="L655" s="3"/>
      <c r="T655" s="3">
        <f>($F$38)*($F$39)*($C$13/2)</f>
        <v>9.8345249999999993</v>
      </c>
      <c r="U655" s="3">
        <f t="shared" si="211"/>
        <v>330.44004000000001</v>
      </c>
      <c r="V655" s="3">
        <f t="shared" si="212"/>
        <v>765.67868601457872</v>
      </c>
      <c r="W655" s="3">
        <f t="shared" si="210"/>
        <v>2.2945163918676137</v>
      </c>
      <c r="X655" s="3">
        <f t="shared" si="213"/>
        <v>5.5488182032772588</v>
      </c>
      <c r="AB655" s="3">
        <f>0.001</f>
        <v>1E-3</v>
      </c>
      <c r="AC655" s="3">
        <v>2</v>
      </c>
      <c r="AD655" s="3" t="s">
        <v>33</v>
      </c>
    </row>
    <row r="656" spans="2:30">
      <c r="B656" s="3">
        <f>($F$38)*($F$39)*($C$27/2)</f>
        <v>44.255362499999997</v>
      </c>
      <c r="C656" s="3">
        <f t="shared" si="214"/>
        <v>1486.98018</v>
      </c>
      <c r="D656" s="3">
        <f t="shared" si="208"/>
        <v>1922.2188260145788</v>
      </c>
      <c r="E656" s="3">
        <f t="shared" si="206"/>
        <v>5.761200861272628</v>
      </c>
      <c r="F656" s="3">
        <f t="shared" si="209"/>
        <v>38.392904891234913</v>
      </c>
      <c r="J656" s="3">
        <f>0.041</f>
        <v>4.1000000000000002E-2</v>
      </c>
      <c r="K656" s="3"/>
      <c r="L656" s="3"/>
      <c r="T656" s="3">
        <f>($F$38)*($F$39)*($C$14/2)</f>
        <v>12.293156249999999</v>
      </c>
      <c r="U656" s="3">
        <f t="shared" si="211"/>
        <v>413.05005</v>
      </c>
      <c r="V656" s="3">
        <f t="shared" si="212"/>
        <v>848.2886960145787</v>
      </c>
      <c r="W656" s="3">
        <f t="shared" si="210"/>
        <v>2.5420745720018565</v>
      </c>
      <c r="X656" s="3">
        <f t="shared" si="213"/>
        <v>6.8107468769302884</v>
      </c>
      <c r="AB656" s="3">
        <f>0.002</f>
        <v>2E-3</v>
      </c>
      <c r="AC656" s="3">
        <v>2.5</v>
      </c>
      <c r="AD656" s="3" t="s">
        <v>33</v>
      </c>
    </row>
    <row r="657" spans="2:30">
      <c r="B657" s="3">
        <f>($F$38)*($F$39)*($C$28/2)</f>
        <v>46.71399375</v>
      </c>
      <c r="C657" s="3">
        <f t="shared" si="214"/>
        <v>1569.5901900000001</v>
      </c>
      <c r="D657" s="3">
        <f t="shared" si="208"/>
        <v>2004.8288360145789</v>
      </c>
      <c r="E657" s="3">
        <f t="shared" si="206"/>
        <v>6.0087964286038007</v>
      </c>
      <c r="F657" s="3">
        <f t="shared" si="209"/>
        <v>41.763791682415693</v>
      </c>
      <c r="J657" s="3">
        <f>0.046</f>
        <v>4.5999999999999999E-2</v>
      </c>
      <c r="K657" s="3"/>
      <c r="L657" s="3"/>
      <c r="T657" s="3">
        <f>($F$38)*($F$39)*($C$15/2)</f>
        <v>14.751787499999999</v>
      </c>
      <c r="U657" s="3">
        <f t="shared" si="211"/>
        <v>495.66005999999999</v>
      </c>
      <c r="V657" s="3">
        <f t="shared" si="212"/>
        <v>930.89870601457869</v>
      </c>
      <c r="W657" s="3">
        <f t="shared" si="210"/>
        <v>2.7896327521360993</v>
      </c>
      <c r="X657" s="3">
        <f t="shared" si="213"/>
        <v>8.2018577651813587</v>
      </c>
      <c r="AB657" s="3">
        <f>0.003</f>
        <v>3.0000000000000001E-3</v>
      </c>
      <c r="AC657" s="3">
        <v>3</v>
      </c>
      <c r="AD657" s="3" t="s">
        <v>33</v>
      </c>
    </row>
    <row r="658" spans="2:30">
      <c r="B658" s="3">
        <f>($F$38)*($F$39)*($C$29/2)</f>
        <v>49.172624999999996</v>
      </c>
      <c r="C658" s="3">
        <f t="shared" si="214"/>
        <v>1652.2002</v>
      </c>
      <c r="D658" s="3">
        <f t="shared" si="208"/>
        <v>2087.4388460145788</v>
      </c>
      <c r="E658" s="3">
        <f t="shared" si="206"/>
        <v>6.2563919959349734</v>
      </c>
      <c r="F658" s="3">
        <f t="shared" si="209"/>
        <v>45.276499513468664</v>
      </c>
      <c r="J658" s="3">
        <f>0.051</f>
        <v>5.0999999999999997E-2</v>
      </c>
      <c r="K658" s="3"/>
      <c r="L658" s="3"/>
      <c r="T658" s="3">
        <f>($F$38)*($F$39)*($C$16/2)</f>
        <v>17.210418749999999</v>
      </c>
      <c r="U658" s="3">
        <f t="shared" si="211"/>
        <v>578.27007000000003</v>
      </c>
      <c r="V658" s="3">
        <f t="shared" si="212"/>
        <v>1013.5087160145788</v>
      </c>
      <c r="W658" s="3">
        <f t="shared" si="210"/>
        <v>3.0371909322703425</v>
      </c>
      <c r="X658" s="3">
        <f t="shared" si="213"/>
        <v>9.7221508680304733</v>
      </c>
      <c r="AB658" s="3">
        <f>0.004</f>
        <v>4.0000000000000001E-3</v>
      </c>
      <c r="AC658" s="3">
        <v>3.5</v>
      </c>
      <c r="AD658" s="3" t="s">
        <v>33</v>
      </c>
    </row>
    <row r="659" spans="2:30">
      <c r="B659" s="3">
        <f>($F$38)*($F$39)*($C$30/2)</f>
        <v>51.631256249999993</v>
      </c>
      <c r="C659" s="3">
        <f t="shared" si="214"/>
        <v>1734.8102099999999</v>
      </c>
      <c r="D659" s="3">
        <f t="shared" si="208"/>
        <v>2170.0488560145786</v>
      </c>
      <c r="E659" s="3">
        <f t="shared" si="206"/>
        <v>6.5039875632661452</v>
      </c>
      <c r="F659" s="3">
        <f t="shared" si="209"/>
        <v>48.931028384393805</v>
      </c>
      <c r="J659" s="3">
        <f>0.056</f>
        <v>5.6000000000000001E-2</v>
      </c>
      <c r="K659" s="3"/>
      <c r="L659" s="3"/>
      <c r="T659" s="3">
        <f>($F$38)*($F$39)*($C$17/2)</f>
        <v>19.669049999999999</v>
      </c>
      <c r="U659" s="3">
        <f t="shared" si="211"/>
        <v>660.88008000000002</v>
      </c>
      <c r="V659" s="3">
        <f t="shared" si="212"/>
        <v>1096.1187260145787</v>
      </c>
      <c r="W659" s="3">
        <f t="shared" si="210"/>
        <v>3.2847491124045853</v>
      </c>
      <c r="X659" s="3">
        <f t="shared" si="213"/>
        <v>11.371626185477623</v>
      </c>
      <c r="AB659" s="3">
        <f>0.005</f>
        <v>5.0000000000000001E-3</v>
      </c>
      <c r="AC659" s="3">
        <v>4</v>
      </c>
      <c r="AD659" s="3" t="s">
        <v>33</v>
      </c>
    </row>
    <row r="660" spans="2:30">
      <c r="B660" s="3">
        <f>($F$38)*($F$39)*($C$31/2)</f>
        <v>54.089887499999996</v>
      </c>
      <c r="C660" s="3">
        <f t="shared" si="214"/>
        <v>1817.42022</v>
      </c>
      <c r="D660" s="3">
        <f t="shared" si="208"/>
        <v>2252.6588660145785</v>
      </c>
      <c r="E660" s="3">
        <f t="shared" si="206"/>
        <v>6.751583130597318</v>
      </c>
      <c r="F660" s="3">
        <f t="shared" si="209"/>
        <v>52.727378295191173</v>
      </c>
      <c r="J660" s="3">
        <f>0.061</f>
        <v>6.0999999999999999E-2</v>
      </c>
      <c r="K660" s="3"/>
      <c r="L660" s="3"/>
      <c r="T660" s="3">
        <f>($F$38)*($F$39)*($C$18/2)</f>
        <v>22.127681249999998</v>
      </c>
      <c r="U660" s="3">
        <f t="shared" si="211"/>
        <v>743.49009000000001</v>
      </c>
      <c r="V660" s="3">
        <f t="shared" si="212"/>
        <v>1178.7287360145788</v>
      </c>
      <c r="W660" s="3">
        <f t="shared" si="210"/>
        <v>3.5323072925388286</v>
      </c>
      <c r="X660" s="3">
        <f t="shared" si="213"/>
        <v>13.150283717522816</v>
      </c>
      <c r="AB660" s="3">
        <f>0.006</f>
        <v>6.0000000000000001E-3</v>
      </c>
      <c r="AC660" s="3">
        <v>4.5</v>
      </c>
      <c r="AD660" s="3" t="s">
        <v>33</v>
      </c>
    </row>
    <row r="661" spans="2:30">
      <c r="B661" s="3">
        <f>($F$38)*($F$39)*($C$32/2)</f>
        <v>56.548518749999999</v>
      </c>
      <c r="C661" s="3">
        <f t="shared" si="214"/>
        <v>1900.0302300000001</v>
      </c>
      <c r="D661" s="3">
        <f t="shared" si="208"/>
        <v>2335.2688760145788</v>
      </c>
      <c r="E661" s="3">
        <f t="shared" si="206"/>
        <v>6.9991786979284916</v>
      </c>
      <c r="F661" s="3">
        <f t="shared" si="209"/>
        <v>56.665549245860724</v>
      </c>
      <c r="J661" s="3">
        <f>0.067</f>
        <v>6.7000000000000004E-2</v>
      </c>
      <c r="K661" s="3"/>
      <c r="L661" s="3"/>
      <c r="T661" s="3">
        <f>($F$38)*($F$39)*($C$19/2)</f>
        <v>24.586312499999998</v>
      </c>
      <c r="U661" s="3">
        <f t="shared" si="211"/>
        <v>826.1001</v>
      </c>
      <c r="V661" s="3">
        <f t="shared" si="212"/>
        <v>1261.3387460145786</v>
      </c>
      <c r="W661" s="3">
        <f t="shared" si="210"/>
        <v>3.7798654726730709</v>
      </c>
      <c r="X661" s="3">
        <f t="shared" si="213"/>
        <v>15.058123464166046</v>
      </c>
      <c r="AB661" s="3">
        <f>0.008</f>
        <v>8.0000000000000002E-3</v>
      </c>
      <c r="AC661" s="3">
        <v>5</v>
      </c>
      <c r="AD661" s="3" t="s">
        <v>33</v>
      </c>
    </row>
    <row r="662" spans="2:30">
      <c r="B662" s="3">
        <f>($F$38)*($F$39)*($C$33/2)</f>
        <v>59.007149999999996</v>
      </c>
      <c r="C662" s="3">
        <f t="shared" si="214"/>
        <v>1982.6402399999999</v>
      </c>
      <c r="D662" s="3">
        <f t="shared" si="208"/>
        <v>2417.8788860145787</v>
      </c>
      <c r="E662" s="3">
        <f t="shared" si="206"/>
        <v>7.2467742652596634</v>
      </c>
      <c r="F662" s="3">
        <f t="shared" si="209"/>
        <v>60.745541236402424</v>
      </c>
      <c r="J662" s="3">
        <f>0.073</f>
        <v>7.2999999999999995E-2</v>
      </c>
      <c r="K662" s="3"/>
      <c r="L662" s="3"/>
      <c r="T662" s="3">
        <f>($F$38)*($F$39)*($C$20/2)</f>
        <v>27.044943749999998</v>
      </c>
      <c r="U662" s="3">
        <f t="shared" si="211"/>
        <v>908.71010999999999</v>
      </c>
      <c r="V662" s="3">
        <f t="shared" si="212"/>
        <v>1343.9487560145787</v>
      </c>
      <c r="W662" s="3">
        <f t="shared" si="210"/>
        <v>4.0274236528073146</v>
      </c>
      <c r="X662" s="3">
        <f t="shared" si="213"/>
        <v>17.095145425407321</v>
      </c>
      <c r="AB662" s="3">
        <f>0.01</f>
        <v>0.01</v>
      </c>
      <c r="AC662" s="3">
        <v>5.5</v>
      </c>
      <c r="AD662" s="3" t="s">
        <v>33</v>
      </c>
    </row>
    <row r="663" spans="2:30">
      <c r="B663" s="3">
        <f>($F$38)*($F$39)*($C$34/2)</f>
        <v>0</v>
      </c>
      <c r="C663" s="3">
        <f>$C$46*B663</f>
        <v>0</v>
      </c>
      <c r="D663" s="3">
        <f t="shared" si="208"/>
        <v>435.23864601457871</v>
      </c>
      <c r="E663" s="3">
        <f t="shared" si="206"/>
        <v>1.3044806493115189</v>
      </c>
      <c r="F663" s="3">
        <f t="shared" si="209"/>
        <v>1.9683404681251937</v>
      </c>
      <c r="J663" s="29"/>
      <c r="K663" s="4"/>
      <c r="L663" s="30"/>
      <c r="T663" s="3">
        <f>($F$38)*($F$39)*($C$21/2)</f>
        <v>29.503574999999998</v>
      </c>
      <c r="U663" s="3">
        <f t="shared" si="211"/>
        <v>991.32011999999997</v>
      </c>
      <c r="V663" s="3">
        <f t="shared" si="212"/>
        <v>1426.5587660145786</v>
      </c>
      <c r="W663" s="3">
        <f t="shared" si="210"/>
        <v>4.274981832941557</v>
      </c>
      <c r="X663" s="3">
        <f t="shared" si="213"/>
        <v>19.261349601246629</v>
      </c>
      <c r="AB663" s="3">
        <f>0.011</f>
        <v>1.0999999999999999E-2</v>
      </c>
      <c r="AC663" s="3">
        <v>6</v>
      </c>
      <c r="AD663" s="3" t="s">
        <v>33</v>
      </c>
    </row>
    <row r="664" spans="2:30">
      <c r="B664" s="29"/>
      <c r="C664" s="4"/>
      <c r="D664" s="4"/>
      <c r="E664" s="4"/>
      <c r="F664" s="30"/>
      <c r="J664" s="29"/>
      <c r="K664" s="4"/>
      <c r="L664" s="30"/>
      <c r="T664" s="3">
        <f>($F$38)*($F$39)*($C$22/2)</f>
        <v>31.962206249999998</v>
      </c>
      <c r="U664" s="3">
        <f t="shared" si="211"/>
        <v>1073.93013</v>
      </c>
      <c r="V664" s="3">
        <f t="shared" si="212"/>
        <v>1509.1687760145787</v>
      </c>
      <c r="W664" s="3">
        <f t="shared" si="210"/>
        <v>4.5225400130758002</v>
      </c>
      <c r="X664" s="3">
        <f t="shared" si="213"/>
        <v>21.556735991683979</v>
      </c>
      <c r="AB664" s="3">
        <f>0.013</f>
        <v>1.2999999999999999E-2</v>
      </c>
      <c r="AC664" s="3">
        <v>6.5</v>
      </c>
      <c r="AD664" s="3" t="s">
        <v>33</v>
      </c>
    </row>
    <row r="665" spans="2:30">
      <c r="B665" s="29" t="s">
        <v>158</v>
      </c>
      <c r="C665" s="4"/>
      <c r="D665" s="4"/>
      <c r="E665" s="4"/>
      <c r="F665" s="30"/>
      <c r="J665" s="29" t="s">
        <v>159</v>
      </c>
      <c r="K665" s="4"/>
      <c r="L665" s="30"/>
      <c r="T665" s="3">
        <f>($F$38)*($F$39)*($C$23/2)</f>
        <v>34.420837499999998</v>
      </c>
      <c r="U665" s="3">
        <f>$C$46*T665</f>
        <v>1156.5401400000001</v>
      </c>
      <c r="V665" s="3">
        <f t="shared" si="212"/>
        <v>1591.7787860145788</v>
      </c>
      <c r="W665" s="3">
        <f t="shared" si="210"/>
        <v>4.7700981932100435</v>
      </c>
      <c r="X665" s="3">
        <f t="shared" si="213"/>
        <v>23.981304596719372</v>
      </c>
      <c r="AB665" s="3">
        <f>0.016</f>
        <v>1.6E-2</v>
      </c>
      <c r="AC665" s="3">
        <v>7</v>
      </c>
      <c r="AD665" s="3" t="s">
        <v>33</v>
      </c>
    </row>
    <row r="666" spans="2:30">
      <c r="B666" s="45" t="s">
        <v>75</v>
      </c>
      <c r="C666" s="45" t="s">
        <v>76</v>
      </c>
      <c r="D666" s="45" t="s">
        <v>77</v>
      </c>
      <c r="E666" s="45" t="s">
        <v>78</v>
      </c>
      <c r="F666" s="45" t="s">
        <v>32</v>
      </c>
      <c r="J666" s="45" t="s">
        <v>32</v>
      </c>
      <c r="K666" s="3"/>
      <c r="L666" s="3"/>
      <c r="T666" s="3">
        <f>($F$38)*($F$39)*($C$24/2)</f>
        <v>36.879468750000001</v>
      </c>
      <c r="U666" s="3">
        <f t="shared" ref="U666:U675" si="215">$C$46*T666</f>
        <v>1239.1501500000002</v>
      </c>
      <c r="V666" s="3">
        <f t="shared" si="212"/>
        <v>1674.3887960145789</v>
      </c>
      <c r="W666" s="3">
        <f t="shared" si="210"/>
        <v>5.0176563733442867</v>
      </c>
      <c r="X666" s="3">
        <f t="shared" si="213"/>
        <v>26.535055416352805</v>
      </c>
      <c r="AB666" s="3">
        <f>0.018</f>
        <v>1.7999999999999999E-2</v>
      </c>
      <c r="AC666" s="3">
        <v>7.5</v>
      </c>
      <c r="AD666" s="3" t="s">
        <v>33</v>
      </c>
    </row>
    <row r="667" spans="2:30">
      <c r="B667" s="3">
        <f>($F$38)*($F$39)*($C$9/2)</f>
        <v>0</v>
      </c>
      <c r="C667" s="3">
        <f>$C$46*B667</f>
        <v>0</v>
      </c>
      <c r="D667" s="3">
        <f>C667+($C$50*$C$52)</f>
        <v>435.23864601457871</v>
      </c>
      <c r="E667" s="3">
        <f t="shared" ref="E667:E692" si="216">(D667)/($C$48+((($F$40)*($C$52))*$F$30)-(($C$49+$C$50)*$F$30^2))</f>
        <v>1.304283671330642</v>
      </c>
      <c r="F667" s="3">
        <f>($F$30*E667)*($F$30*E667*$C$52)/2</f>
        <v>1.7929256546455328</v>
      </c>
      <c r="J667" s="3">
        <v>0</v>
      </c>
      <c r="K667" s="3"/>
      <c r="L667" s="3"/>
      <c r="T667" s="3">
        <f>($F$38)*($F$39)*($C$25/2)</f>
        <v>39.338099999999997</v>
      </c>
      <c r="U667" s="3">
        <f t="shared" si="215"/>
        <v>1321.76016</v>
      </c>
      <c r="V667" s="3">
        <f t="shared" si="212"/>
        <v>1756.9988060145788</v>
      </c>
      <c r="W667" s="3">
        <f t="shared" si="210"/>
        <v>5.2652145534785291</v>
      </c>
      <c r="X667" s="3">
        <f t="shared" si="213"/>
        <v>29.217988450584276</v>
      </c>
      <c r="AB667" s="3">
        <f>0.02</f>
        <v>0.02</v>
      </c>
      <c r="AC667" s="3">
        <v>8</v>
      </c>
      <c r="AD667" s="3" t="s">
        <v>33</v>
      </c>
    </row>
    <row r="668" spans="2:30">
      <c r="B668" s="3">
        <f>($F$38)*($F$39)*($C$10/2)</f>
        <v>2.4586312499999998</v>
      </c>
      <c r="C668" s="3">
        <f t="shared" ref="C668:C680" si="217">$C$46*B668</f>
        <v>82.610010000000003</v>
      </c>
      <c r="D668" s="3">
        <f t="shared" ref="D668:D692" si="218">C668+($C$50*$C$52)</f>
        <v>517.84865601457875</v>
      </c>
      <c r="E668" s="3">
        <f t="shared" si="216"/>
        <v>1.5518418514648851</v>
      </c>
      <c r="F668" s="3">
        <f t="shared" ref="F668:F692" si="219">($F$30*E668)*($F$30*E668*$C$52)/2</f>
        <v>2.5381254699064044</v>
      </c>
      <c r="J668" s="3">
        <f>7.953*10^-5</f>
        <v>7.9530000000000006E-5</v>
      </c>
      <c r="K668" s="3"/>
      <c r="L668" s="3"/>
      <c r="T668" s="3">
        <f>($F$38)*($F$39)*($C$26/2)</f>
        <v>41.796731249999993</v>
      </c>
      <c r="U668" s="3">
        <f t="shared" si="215"/>
        <v>1404.3701699999999</v>
      </c>
      <c r="V668" s="3">
        <f t="shared" si="212"/>
        <v>1839.6088160145787</v>
      </c>
      <c r="W668" s="3">
        <f t="shared" si="210"/>
        <v>5.5127727336127714</v>
      </c>
      <c r="X668" s="3">
        <f t="shared" si="213"/>
        <v>32.030103699413786</v>
      </c>
      <c r="AB668" s="3">
        <f>0.023</f>
        <v>2.3E-2</v>
      </c>
      <c r="AC668" s="3">
        <v>8.5</v>
      </c>
      <c r="AD668" s="3" t="s">
        <v>33</v>
      </c>
    </row>
    <row r="669" spans="2:30">
      <c r="B669" s="3">
        <f>($F$38)*($F$39)*($C$11/2)</f>
        <v>4.9172624999999996</v>
      </c>
      <c r="C669" s="3">
        <f t="shared" si="217"/>
        <v>165.22002000000001</v>
      </c>
      <c r="D669" s="3">
        <f t="shared" si="218"/>
        <v>600.45866601457874</v>
      </c>
      <c r="E669" s="3">
        <f t="shared" si="216"/>
        <v>1.7994000315991281</v>
      </c>
      <c r="F669" s="3">
        <f t="shared" si="219"/>
        <v>3.4125074997653169</v>
      </c>
      <c r="J669" s="3">
        <f>3.181*10^-4</f>
        <v>3.1810000000000003E-4</v>
      </c>
      <c r="K669" s="3"/>
      <c r="L669" s="3"/>
      <c r="T669" s="3">
        <f>($F$38)*($F$39)*($C$27/2)</f>
        <v>44.255362499999997</v>
      </c>
      <c r="U669" s="3">
        <f t="shared" si="215"/>
        <v>1486.98018</v>
      </c>
      <c r="V669" s="3">
        <f t="shared" si="212"/>
        <v>1922.2188260145788</v>
      </c>
      <c r="W669" s="3">
        <f t="shared" si="210"/>
        <v>5.7603309137470147</v>
      </c>
      <c r="X669" s="3">
        <f t="shared" si="213"/>
        <v>34.971401162841332</v>
      </c>
      <c r="AB669" s="3">
        <f>0.026</f>
        <v>2.5999999999999999E-2</v>
      </c>
      <c r="AC669" s="3">
        <v>9</v>
      </c>
      <c r="AD669" s="3" t="s">
        <v>33</v>
      </c>
    </row>
    <row r="670" spans="2:30">
      <c r="B670" s="3">
        <f>($F$38)*($F$39)*($C$12/2)</f>
        <v>7.3758937499999995</v>
      </c>
      <c r="C670" s="3">
        <f t="shared" si="217"/>
        <v>247.83002999999999</v>
      </c>
      <c r="D670" s="3">
        <f t="shared" si="218"/>
        <v>683.06867601457873</v>
      </c>
      <c r="E670" s="3">
        <f t="shared" si="216"/>
        <v>2.0469582117333709</v>
      </c>
      <c r="F670" s="3">
        <f t="shared" si="219"/>
        <v>4.4160717442222674</v>
      </c>
      <c r="J670" s="3">
        <f>7.157*10^-4</f>
        <v>7.157E-4</v>
      </c>
      <c r="K670" s="3"/>
      <c r="L670" s="3"/>
      <c r="T670" s="3">
        <f>($F$38)*($F$39)*($C$28/2)</f>
        <v>46.71399375</v>
      </c>
      <c r="U670" s="3">
        <f t="shared" si="215"/>
        <v>1569.5901900000001</v>
      </c>
      <c r="V670" s="3">
        <f t="shared" si="212"/>
        <v>2004.8288360145789</v>
      </c>
      <c r="W670" s="3">
        <f t="shared" si="210"/>
        <v>6.0078890938812579</v>
      </c>
      <c r="X670" s="3">
        <f t="shared" si="213"/>
        <v>38.041880840866924</v>
      </c>
      <c r="AB670" s="3">
        <f>0.029</f>
        <v>2.9000000000000001E-2</v>
      </c>
      <c r="AC670" s="3">
        <v>9.5</v>
      </c>
      <c r="AD670" s="3" t="s">
        <v>33</v>
      </c>
    </row>
    <row r="671" spans="2:30">
      <c r="B671" s="3">
        <f>($F$38)*($F$39)*($C$13/2)</f>
        <v>9.8345249999999993</v>
      </c>
      <c r="C671" s="3">
        <f t="shared" si="217"/>
        <v>330.44004000000001</v>
      </c>
      <c r="D671" s="3">
        <f t="shared" si="218"/>
        <v>765.67868601457872</v>
      </c>
      <c r="E671" s="3">
        <f t="shared" si="216"/>
        <v>2.2945163918676137</v>
      </c>
      <c r="F671" s="3">
        <f t="shared" si="219"/>
        <v>5.5488182032772588</v>
      </c>
      <c r="J671" s="3">
        <f>0.001</f>
        <v>1E-3</v>
      </c>
      <c r="K671" s="3"/>
      <c r="L671" s="3"/>
      <c r="T671" s="3">
        <f>($F$38)*($F$39)*($C$29/2)</f>
        <v>49.172624999999996</v>
      </c>
      <c r="U671" s="3">
        <f t="shared" si="215"/>
        <v>1652.2002</v>
      </c>
      <c r="V671" s="3">
        <f t="shared" si="212"/>
        <v>2087.4388460145788</v>
      </c>
      <c r="W671" s="3">
        <f t="shared" si="210"/>
        <v>6.2554472740155003</v>
      </c>
      <c r="X671" s="3">
        <f t="shared" si="213"/>
        <v>41.241542733490547</v>
      </c>
      <c r="AB671" s="3">
        <f>0.032</f>
        <v>3.2000000000000001E-2</v>
      </c>
      <c r="AC671" s="3">
        <v>10</v>
      </c>
      <c r="AD671" s="3" t="s">
        <v>33</v>
      </c>
    </row>
    <row r="672" spans="2:30">
      <c r="B672" s="3">
        <f>($F$38)*($F$39)*($C$14/2)</f>
        <v>12.293156249999999</v>
      </c>
      <c r="C672" s="3">
        <f t="shared" si="217"/>
        <v>413.05005</v>
      </c>
      <c r="D672" s="3">
        <f t="shared" si="218"/>
        <v>848.2886960145787</v>
      </c>
      <c r="E672" s="3">
        <f t="shared" si="216"/>
        <v>2.5420745720018565</v>
      </c>
      <c r="F672" s="3">
        <f t="shared" si="219"/>
        <v>6.8107468769302884</v>
      </c>
      <c r="J672" s="3">
        <f>0.002</f>
        <v>2E-3</v>
      </c>
      <c r="K672" s="3"/>
      <c r="L672" s="3"/>
      <c r="T672" s="3">
        <f>($F$38)*($F$39)*($C$30/2)</f>
        <v>51.631256249999993</v>
      </c>
      <c r="U672" s="3">
        <f t="shared" si="215"/>
        <v>1734.8102099999999</v>
      </c>
      <c r="V672" s="3">
        <f t="shared" si="212"/>
        <v>2170.0488560145786</v>
      </c>
      <c r="W672" s="3">
        <f t="shared" si="210"/>
        <v>6.5030054541497426</v>
      </c>
      <c r="X672" s="3">
        <f t="shared" si="213"/>
        <v>44.570386840712217</v>
      </c>
      <c r="AB672" s="3">
        <f>0.035</f>
        <v>3.5000000000000003E-2</v>
      </c>
      <c r="AC672" s="3">
        <v>10.5</v>
      </c>
      <c r="AD672" s="3" t="s">
        <v>33</v>
      </c>
    </row>
    <row r="673" spans="2:30">
      <c r="B673" s="3">
        <f>($F$38)*($F$39)*($C$15/2)</f>
        <v>14.751787499999999</v>
      </c>
      <c r="C673" s="3">
        <f t="shared" si="217"/>
        <v>495.66005999999999</v>
      </c>
      <c r="D673" s="3">
        <f t="shared" si="218"/>
        <v>930.89870601457869</v>
      </c>
      <c r="E673" s="3">
        <f t="shared" si="216"/>
        <v>2.7896327521360993</v>
      </c>
      <c r="F673" s="3">
        <f t="shared" si="219"/>
        <v>8.2018577651813587</v>
      </c>
      <c r="J673" s="3">
        <f>0.003</f>
        <v>3.0000000000000001E-3</v>
      </c>
      <c r="K673" s="3"/>
      <c r="L673" s="3"/>
      <c r="T673" s="3">
        <f>($F$38)*($F$39)*($C$31/2)</f>
        <v>54.089887499999996</v>
      </c>
      <c r="U673" s="3">
        <f t="shared" si="215"/>
        <v>1817.42022</v>
      </c>
      <c r="V673" s="3">
        <f t="shared" si="212"/>
        <v>2252.6588660145785</v>
      </c>
      <c r="W673" s="3">
        <f t="shared" si="210"/>
        <v>6.7505636342839859</v>
      </c>
      <c r="X673" s="3">
        <f t="shared" si="213"/>
        <v>48.028413162531919</v>
      </c>
      <c r="AB673" s="3">
        <f>0.038</f>
        <v>3.7999999999999999E-2</v>
      </c>
      <c r="AC673" s="3">
        <v>11</v>
      </c>
      <c r="AD673" s="3" t="s">
        <v>33</v>
      </c>
    </row>
    <row r="674" spans="2:30">
      <c r="B674" s="3">
        <f>($F$38)*($F$39)*($C$16/2)</f>
        <v>17.210418749999999</v>
      </c>
      <c r="C674" s="3">
        <f t="shared" si="217"/>
        <v>578.27007000000003</v>
      </c>
      <c r="D674" s="3">
        <f t="shared" si="218"/>
        <v>1013.5087160145788</v>
      </c>
      <c r="E674" s="3">
        <f t="shared" si="216"/>
        <v>3.0371909322703425</v>
      </c>
      <c r="F674" s="3">
        <f t="shared" si="219"/>
        <v>9.7221508680304733</v>
      </c>
      <c r="J674" s="3">
        <f>0.004</f>
        <v>4.0000000000000001E-3</v>
      </c>
      <c r="K674" s="3"/>
      <c r="L674" s="3"/>
      <c r="T674" s="3">
        <f>($F$38)*($F$39)*($C$32/2)</f>
        <v>56.548518749999999</v>
      </c>
      <c r="U674" s="3">
        <f t="shared" si="215"/>
        <v>1900.0302300000001</v>
      </c>
      <c r="V674" s="3">
        <f t="shared" si="212"/>
        <v>2335.2688760145788</v>
      </c>
      <c r="W674" s="3">
        <f t="shared" si="210"/>
        <v>6.9981218144182291</v>
      </c>
      <c r="X674" s="3">
        <f t="shared" si="213"/>
        <v>51.615621698949674</v>
      </c>
      <c r="AB674" s="3">
        <f>0.042</f>
        <v>4.2000000000000003E-2</v>
      </c>
      <c r="AC674" s="3">
        <v>11.5</v>
      </c>
      <c r="AD674" s="3" t="s">
        <v>33</v>
      </c>
    </row>
    <row r="675" spans="2:30">
      <c r="B675" s="3">
        <f>($F$38)*($F$39)*($C$17/2)</f>
        <v>19.669049999999999</v>
      </c>
      <c r="C675" s="3">
        <f t="shared" si="217"/>
        <v>660.88008000000002</v>
      </c>
      <c r="D675" s="3">
        <f t="shared" si="218"/>
        <v>1096.1187260145787</v>
      </c>
      <c r="E675" s="3">
        <f t="shared" si="216"/>
        <v>3.2847491124045853</v>
      </c>
      <c r="F675" s="3">
        <f t="shared" si="219"/>
        <v>11.371626185477623</v>
      </c>
      <c r="J675" s="3">
        <f>0.005</f>
        <v>5.0000000000000001E-3</v>
      </c>
      <c r="K675" s="3"/>
      <c r="L675" s="3"/>
      <c r="T675" s="3">
        <f>($F$38)*($F$39)*($C$33/2)</f>
        <v>59.007149999999996</v>
      </c>
      <c r="U675" s="3">
        <f t="shared" si="215"/>
        <v>1982.6402399999999</v>
      </c>
      <c r="V675" s="3">
        <f t="shared" si="212"/>
        <v>2417.8788860145787</v>
      </c>
      <c r="W675" s="3">
        <f t="shared" si="210"/>
        <v>7.2456799945524715</v>
      </c>
      <c r="X675" s="3">
        <f t="shared" si="213"/>
        <v>55.332012449965454</v>
      </c>
      <c r="AB675" s="3">
        <v>4.5999999999999999E-2</v>
      </c>
      <c r="AC675" s="3">
        <v>12</v>
      </c>
      <c r="AD675" s="3" t="s">
        <v>33</v>
      </c>
    </row>
    <row r="676" spans="2:30">
      <c r="B676" s="3">
        <f>($F$38)*($F$39)*($C$18/2)</f>
        <v>22.127681249999998</v>
      </c>
      <c r="C676" s="3">
        <f t="shared" si="217"/>
        <v>743.49009000000001</v>
      </c>
      <c r="D676" s="3">
        <f t="shared" si="218"/>
        <v>1178.7287360145788</v>
      </c>
      <c r="E676" s="3">
        <f t="shared" si="216"/>
        <v>3.5323072925388286</v>
      </c>
      <c r="F676" s="3">
        <f t="shared" si="219"/>
        <v>13.150283717522816</v>
      </c>
      <c r="J676" s="3">
        <f>0.006</f>
        <v>6.0000000000000001E-3</v>
      </c>
      <c r="K676" s="3"/>
      <c r="L676" s="3"/>
      <c r="T676" s="3"/>
      <c r="U676" s="3"/>
      <c r="V676" s="3"/>
      <c r="W676" s="3"/>
      <c r="X676" s="3"/>
      <c r="AB676" s="29"/>
      <c r="AC676" s="4"/>
      <c r="AD676" s="30"/>
    </row>
    <row r="677" spans="2:30">
      <c r="B677" s="3">
        <f>($F$38)*($F$39)*($C$19/2)</f>
        <v>24.586312499999998</v>
      </c>
      <c r="C677" s="3">
        <f t="shared" si="217"/>
        <v>826.1001</v>
      </c>
      <c r="D677" s="3">
        <f t="shared" si="218"/>
        <v>1261.3387460145786</v>
      </c>
      <c r="E677" s="3">
        <f t="shared" si="216"/>
        <v>3.7798654726730709</v>
      </c>
      <c r="F677" s="3">
        <f t="shared" si="219"/>
        <v>15.058123464166046</v>
      </c>
      <c r="J677" s="3">
        <f>0.008</f>
        <v>8.0000000000000002E-3</v>
      </c>
      <c r="K677" s="3"/>
      <c r="L677" s="3"/>
      <c r="T677" s="29"/>
      <c r="U677" s="4"/>
      <c r="V677" s="4"/>
      <c r="W677" s="4"/>
      <c r="X677" s="30"/>
      <c r="AB677" s="29"/>
      <c r="AC677" s="4"/>
      <c r="AD677" s="30"/>
    </row>
    <row r="678" spans="2:30">
      <c r="B678" s="3">
        <f>($F$38)*($F$39)*($C$20/2)</f>
        <v>27.044943749999998</v>
      </c>
      <c r="C678" s="3">
        <f t="shared" si="217"/>
        <v>908.71010999999999</v>
      </c>
      <c r="D678" s="3">
        <f t="shared" si="218"/>
        <v>1343.9487560145787</v>
      </c>
      <c r="E678" s="3">
        <f t="shared" si="216"/>
        <v>4.0274236528073146</v>
      </c>
      <c r="F678" s="3">
        <f t="shared" si="219"/>
        <v>17.095145425407321</v>
      </c>
      <c r="J678" s="3">
        <f>0.01</f>
        <v>0.01</v>
      </c>
      <c r="K678" s="3">
        <v>5.5</v>
      </c>
      <c r="L678" s="3" t="s">
        <v>33</v>
      </c>
      <c r="T678" s="29" t="s">
        <v>160</v>
      </c>
      <c r="U678" s="4"/>
      <c r="V678" s="4"/>
      <c r="W678" s="4"/>
      <c r="X678" s="30"/>
      <c r="AB678" s="29" t="s">
        <v>161</v>
      </c>
      <c r="AC678" s="4"/>
      <c r="AD678" s="30"/>
    </row>
    <row r="679" spans="2:30">
      <c r="B679" s="3">
        <f>($F$38)*($F$39)*($C$21/2)</f>
        <v>29.503574999999998</v>
      </c>
      <c r="C679" s="3">
        <f t="shared" si="217"/>
        <v>991.32011999999997</v>
      </c>
      <c r="D679" s="3">
        <f t="shared" si="218"/>
        <v>1426.5587660145786</v>
      </c>
      <c r="E679" s="3">
        <f t="shared" si="216"/>
        <v>4.274981832941557</v>
      </c>
      <c r="F679" s="3">
        <f t="shared" si="219"/>
        <v>19.261349601246629</v>
      </c>
      <c r="J679" s="3">
        <f>0.011</f>
        <v>1.0999999999999999E-2</v>
      </c>
      <c r="K679" s="3"/>
      <c r="L679" s="3"/>
      <c r="T679" s="45" t="s">
        <v>75</v>
      </c>
      <c r="U679" s="45" t="s">
        <v>76</v>
      </c>
      <c r="V679" s="45" t="s">
        <v>77</v>
      </c>
      <c r="W679" s="45" t="s">
        <v>78</v>
      </c>
      <c r="X679" s="45" t="s">
        <v>32</v>
      </c>
      <c r="AB679" s="45" t="s">
        <v>32</v>
      </c>
      <c r="AC679" s="3"/>
      <c r="AD679" s="3"/>
    </row>
    <row r="680" spans="2:30">
      <c r="B680" s="3">
        <f>($F$38)*($F$39)*($C$22/2)</f>
        <v>31.962206249999998</v>
      </c>
      <c r="C680" s="3">
        <f t="shared" si="217"/>
        <v>1073.93013</v>
      </c>
      <c r="D680" s="3">
        <f t="shared" si="218"/>
        <v>1509.1687760145787</v>
      </c>
      <c r="E680" s="3">
        <f t="shared" si="216"/>
        <v>4.5225400130758002</v>
      </c>
      <c r="F680" s="3">
        <f t="shared" si="219"/>
        <v>21.556735991683979</v>
      </c>
      <c r="J680" s="3">
        <f>0.013</f>
        <v>1.2999999999999999E-2</v>
      </c>
      <c r="K680" s="3"/>
      <c r="L680" s="3"/>
      <c r="T680" s="3">
        <f>($F$38)*($F$39)*($C$9/2)</f>
        <v>0</v>
      </c>
      <c r="U680" s="3">
        <f>$C$46*T680</f>
        <v>0</v>
      </c>
      <c r="V680" s="3">
        <f>U680+($C$50*$C$52)</f>
        <v>435.23864601457871</v>
      </c>
      <c r="W680" s="3">
        <f t="shared" ref="W680:W704" si="220">(V680)/($C$48+((($F$40)*($C$52))*$F$31)-(($C$49+$C$50)*$F$31^2))</f>
        <v>1.304167659785967</v>
      </c>
      <c r="X680" s="3">
        <f>($F$31*W680)*($F$31*W680*$C$52)/2</f>
        <v>1.6401165450515629</v>
      </c>
      <c r="AB680" s="3">
        <v>0</v>
      </c>
      <c r="AC680" s="3">
        <v>0</v>
      </c>
      <c r="AD680" s="3" t="s">
        <v>33</v>
      </c>
    </row>
    <row r="681" spans="2:30">
      <c r="B681" s="3">
        <f>($F$38)*($F$39)*($C$23/2)</f>
        <v>34.420837499999998</v>
      </c>
      <c r="C681" s="3">
        <f>$C$46*B681</f>
        <v>1156.5401400000001</v>
      </c>
      <c r="D681" s="3">
        <f t="shared" si="218"/>
        <v>1591.7787860145788</v>
      </c>
      <c r="E681" s="3">
        <f t="shared" si="216"/>
        <v>4.7700981932100435</v>
      </c>
      <c r="F681" s="3">
        <f t="shared" si="219"/>
        <v>23.981304596719372</v>
      </c>
      <c r="J681" s="3">
        <f>0.016</f>
        <v>1.6E-2</v>
      </c>
      <c r="K681" s="3"/>
      <c r="L681" s="3"/>
      <c r="T681" s="3">
        <f>($F$38)*($F$39)*($C$10/2)</f>
        <v>2.4586312499999998</v>
      </c>
      <c r="U681" s="3">
        <f t="shared" ref="U681:U693" si="221">$C$46*T681</f>
        <v>82.610010000000003</v>
      </c>
      <c r="V681" s="3">
        <f t="shared" ref="V681:V704" si="222">U681+($C$50*$C$52)</f>
        <v>517.84865601457875</v>
      </c>
      <c r="W681" s="3">
        <f t="shared" si="220"/>
        <v>1.5517038204719065</v>
      </c>
      <c r="X681" s="3">
        <f t="shared" ref="X681:X704" si="223">($F$31*W681)*($F$31*W681*$C$52)/2</f>
        <v>2.3218037880289413</v>
      </c>
      <c r="AB681" s="3">
        <f>5.101*10^-5</f>
        <v>5.1010000000000001E-5</v>
      </c>
      <c r="AC681" s="3">
        <v>0.5</v>
      </c>
      <c r="AD681" s="3" t="s">
        <v>33</v>
      </c>
    </row>
    <row r="682" spans="2:30">
      <c r="B682" s="3">
        <f>($F$38)*($F$39)*($C$24/2)</f>
        <v>36.879468750000001</v>
      </c>
      <c r="C682" s="3">
        <f t="shared" ref="C682:C691" si="224">$C$46*B682</f>
        <v>1239.1501500000002</v>
      </c>
      <c r="D682" s="3">
        <f t="shared" si="218"/>
        <v>1674.3887960145789</v>
      </c>
      <c r="E682" s="3">
        <f t="shared" si="216"/>
        <v>5.0176563733442867</v>
      </c>
      <c r="F682" s="3">
        <f t="shared" si="219"/>
        <v>26.535055416352805</v>
      </c>
      <c r="J682" s="3">
        <f>0.018</f>
        <v>1.7999999999999999E-2</v>
      </c>
      <c r="K682" s="3"/>
      <c r="L682" s="3"/>
      <c r="T682" s="3">
        <f>($F$38)*($F$39)*($C$11/2)</f>
        <v>4.9172624999999996</v>
      </c>
      <c r="U682" s="3">
        <f t="shared" si="221"/>
        <v>165.22002000000001</v>
      </c>
      <c r="V682" s="3">
        <f t="shared" si="222"/>
        <v>600.45866601457874</v>
      </c>
      <c r="W682" s="3">
        <f t="shared" si="220"/>
        <v>1.7992399811578454</v>
      </c>
      <c r="X682" s="3">
        <f t="shared" si="223"/>
        <v>3.1216631855179546</v>
      </c>
      <c r="AB682" s="3">
        <f>2.041*10^-4</f>
        <v>2.041E-4</v>
      </c>
      <c r="AC682" s="3">
        <v>1</v>
      </c>
      <c r="AD682" s="3" t="s">
        <v>33</v>
      </c>
    </row>
    <row r="683" spans="2:30">
      <c r="B683" s="3">
        <f>($F$38)*($F$39)*($C$25/2)</f>
        <v>39.338099999999997</v>
      </c>
      <c r="C683" s="3">
        <f t="shared" si="224"/>
        <v>1321.76016</v>
      </c>
      <c r="D683" s="3">
        <f t="shared" si="218"/>
        <v>1756.9988060145788</v>
      </c>
      <c r="E683" s="3">
        <f t="shared" si="216"/>
        <v>5.2652145534785291</v>
      </c>
      <c r="F683" s="3">
        <f t="shared" si="219"/>
        <v>29.217988450584276</v>
      </c>
      <c r="J683" s="3">
        <f>0.02</f>
        <v>0.02</v>
      </c>
      <c r="K683" s="3"/>
      <c r="L683" s="3"/>
      <c r="T683" s="3">
        <f>($F$38)*($F$39)*($C$12/2)</f>
        <v>7.3758937499999995</v>
      </c>
      <c r="U683" s="3">
        <f t="shared" si="221"/>
        <v>247.83002999999999</v>
      </c>
      <c r="V683" s="3">
        <f t="shared" si="222"/>
        <v>683.06867601457873</v>
      </c>
      <c r="W683" s="3">
        <f t="shared" si="220"/>
        <v>2.0467761418437846</v>
      </c>
      <c r="X683" s="3">
        <f t="shared" si="223"/>
        <v>4.0396947375186025</v>
      </c>
      <c r="AB683" s="3">
        <f>4.591*10^-4</f>
        <v>4.5910000000000005E-4</v>
      </c>
      <c r="AC683" s="3">
        <v>1.5</v>
      </c>
      <c r="AD683" s="3" t="s">
        <v>33</v>
      </c>
    </row>
    <row r="684" spans="2:30">
      <c r="B684" s="3">
        <f>($F$38)*($F$39)*($C$26/2)</f>
        <v>41.796731249999993</v>
      </c>
      <c r="C684" s="3">
        <f t="shared" si="224"/>
        <v>1404.3701699999999</v>
      </c>
      <c r="D684" s="3">
        <f t="shared" si="218"/>
        <v>1839.6088160145787</v>
      </c>
      <c r="E684" s="3">
        <f t="shared" si="216"/>
        <v>5.5127727336127714</v>
      </c>
      <c r="F684" s="3">
        <f t="shared" si="219"/>
        <v>32.030103699413786</v>
      </c>
      <c r="J684" s="3">
        <f>0.023</f>
        <v>2.3E-2</v>
      </c>
      <c r="K684" s="3"/>
      <c r="L684" s="3"/>
      <c r="T684" s="3">
        <f>($F$38)*($F$39)*($C$13/2)</f>
        <v>9.8345249999999993</v>
      </c>
      <c r="U684" s="3">
        <f t="shared" si="221"/>
        <v>330.44004000000001</v>
      </c>
      <c r="V684" s="3">
        <f t="shared" si="222"/>
        <v>765.67868601457872</v>
      </c>
      <c r="W684" s="3">
        <f t="shared" si="220"/>
        <v>2.2943123025297236</v>
      </c>
      <c r="X684" s="3">
        <f t="shared" si="223"/>
        <v>5.0758984440308863</v>
      </c>
      <c r="AB684" s="3">
        <f>8.162*10^-4</f>
        <v>8.1620000000000011E-4</v>
      </c>
      <c r="AC684" s="3">
        <v>2</v>
      </c>
      <c r="AD684" s="3" t="s">
        <v>33</v>
      </c>
    </row>
    <row r="685" spans="2:30">
      <c r="B685" s="3">
        <f>($F$38)*($F$39)*($C$27/2)</f>
        <v>44.255362499999997</v>
      </c>
      <c r="C685" s="3">
        <f t="shared" si="224"/>
        <v>1486.98018</v>
      </c>
      <c r="D685" s="3">
        <f t="shared" si="218"/>
        <v>1922.2188260145788</v>
      </c>
      <c r="E685" s="3">
        <f t="shared" si="216"/>
        <v>5.7603309137470147</v>
      </c>
      <c r="F685" s="3">
        <f t="shared" si="219"/>
        <v>34.971401162841332</v>
      </c>
      <c r="J685" s="3">
        <f>0.026</f>
        <v>2.5999999999999999E-2</v>
      </c>
      <c r="K685" s="3"/>
      <c r="L685" s="3"/>
      <c r="T685" s="3">
        <f>($F$38)*($F$39)*($C$14/2)</f>
        <v>12.293156249999999</v>
      </c>
      <c r="U685" s="3">
        <f t="shared" si="221"/>
        <v>413.05005</v>
      </c>
      <c r="V685" s="3">
        <f t="shared" si="222"/>
        <v>848.2886960145787</v>
      </c>
      <c r="W685" s="3">
        <f t="shared" si="220"/>
        <v>2.5418484632156626</v>
      </c>
      <c r="X685" s="3">
        <f t="shared" si="223"/>
        <v>6.2302743050548042</v>
      </c>
      <c r="AB685" s="3">
        <f>0.001</f>
        <v>1E-3</v>
      </c>
      <c r="AC685" s="3">
        <v>2.5</v>
      </c>
      <c r="AD685" s="3" t="s">
        <v>33</v>
      </c>
    </row>
    <row r="686" spans="2:30">
      <c r="B686" s="3">
        <f>($F$38)*($F$39)*($C$28/2)</f>
        <v>46.71399375</v>
      </c>
      <c r="C686" s="3">
        <f t="shared" si="224"/>
        <v>1569.5901900000001</v>
      </c>
      <c r="D686" s="3">
        <f t="shared" si="218"/>
        <v>2004.8288360145789</v>
      </c>
      <c r="E686" s="3">
        <f t="shared" si="216"/>
        <v>6.0078890938812579</v>
      </c>
      <c r="F686" s="3">
        <f t="shared" si="219"/>
        <v>38.041880840866924</v>
      </c>
      <c r="J686" s="3">
        <f>0.029</f>
        <v>2.9000000000000001E-2</v>
      </c>
      <c r="K686" s="3"/>
      <c r="L686" s="3"/>
      <c r="T686" s="3">
        <f>($F$38)*($F$39)*($C$15/2)</f>
        <v>14.751787499999999</v>
      </c>
      <c r="U686" s="3">
        <f t="shared" si="221"/>
        <v>495.66005999999999</v>
      </c>
      <c r="V686" s="3">
        <f t="shared" si="222"/>
        <v>930.89870601457869</v>
      </c>
      <c r="W686" s="3">
        <f t="shared" si="220"/>
        <v>2.789384623901602</v>
      </c>
      <c r="X686" s="3">
        <f t="shared" si="223"/>
        <v>7.5028223205903579</v>
      </c>
      <c r="AB686" s="3">
        <f>0.002</f>
        <v>2E-3</v>
      </c>
      <c r="AC686" s="3">
        <v>3</v>
      </c>
      <c r="AD686" s="3" t="s">
        <v>33</v>
      </c>
    </row>
    <row r="687" spans="2:30">
      <c r="B687" s="3">
        <f>($F$38)*($F$39)*($C$29/2)</f>
        <v>49.172624999999996</v>
      </c>
      <c r="C687" s="3">
        <f t="shared" si="224"/>
        <v>1652.2002</v>
      </c>
      <c r="D687" s="3">
        <f t="shared" si="218"/>
        <v>2087.4388460145788</v>
      </c>
      <c r="E687" s="3">
        <f t="shared" si="216"/>
        <v>6.2554472740155003</v>
      </c>
      <c r="F687" s="3">
        <f t="shared" si="219"/>
        <v>41.241542733490547</v>
      </c>
      <c r="J687" s="3">
        <f>0.032</f>
        <v>3.2000000000000001E-2</v>
      </c>
      <c r="K687" s="3"/>
      <c r="L687" s="3"/>
      <c r="T687" s="3">
        <f>($F$38)*($F$39)*($C$16/2)</f>
        <v>17.210418749999999</v>
      </c>
      <c r="U687" s="3">
        <f t="shared" si="221"/>
        <v>578.27007000000003</v>
      </c>
      <c r="V687" s="3">
        <f t="shared" si="222"/>
        <v>1013.5087160145788</v>
      </c>
      <c r="W687" s="3">
        <f t="shared" si="220"/>
        <v>3.0369207845875414</v>
      </c>
      <c r="X687" s="3">
        <f t="shared" si="223"/>
        <v>8.893542490637552</v>
      </c>
      <c r="AB687" s="3">
        <f>0.002</f>
        <v>2E-3</v>
      </c>
      <c r="AC687" s="3">
        <v>3.5</v>
      </c>
      <c r="AD687" s="3" t="s">
        <v>33</v>
      </c>
    </row>
    <row r="688" spans="2:30">
      <c r="B688" s="3">
        <f>($F$38)*($F$39)*($C$30/2)</f>
        <v>51.631256249999993</v>
      </c>
      <c r="C688" s="3">
        <f t="shared" si="224"/>
        <v>1734.8102099999999</v>
      </c>
      <c r="D688" s="3">
        <f t="shared" si="218"/>
        <v>2170.0488560145786</v>
      </c>
      <c r="E688" s="3">
        <f t="shared" si="216"/>
        <v>6.5030054541497426</v>
      </c>
      <c r="F688" s="3">
        <f t="shared" si="219"/>
        <v>44.570386840712217</v>
      </c>
      <c r="J688" s="3">
        <f>0.035</f>
        <v>3.5000000000000003E-2</v>
      </c>
      <c r="K688" s="3"/>
      <c r="L688" s="3"/>
      <c r="T688" s="3">
        <f>($F$38)*($F$39)*($C$17/2)</f>
        <v>19.669049999999999</v>
      </c>
      <c r="U688" s="3">
        <f t="shared" si="221"/>
        <v>660.88008000000002</v>
      </c>
      <c r="V688" s="3">
        <f t="shared" si="222"/>
        <v>1096.1187260145787</v>
      </c>
      <c r="W688" s="3">
        <f t="shared" si="220"/>
        <v>3.28445694527348</v>
      </c>
      <c r="X688" s="3">
        <f t="shared" si="223"/>
        <v>10.402434815196372</v>
      </c>
      <c r="AB688" s="3">
        <f>0.003</f>
        <v>3.0000000000000001E-3</v>
      </c>
      <c r="AC688" s="3">
        <v>4</v>
      </c>
      <c r="AD688" s="3" t="s">
        <v>33</v>
      </c>
    </row>
    <row r="689" spans="2:30">
      <c r="B689" s="3">
        <f>($F$38)*($F$39)*($C$31/2)</f>
        <v>54.089887499999996</v>
      </c>
      <c r="C689" s="3">
        <f t="shared" si="224"/>
        <v>1817.42022</v>
      </c>
      <c r="D689" s="3">
        <f t="shared" si="218"/>
        <v>2252.6588660145785</v>
      </c>
      <c r="E689" s="3">
        <f t="shared" si="216"/>
        <v>6.7505636342839859</v>
      </c>
      <c r="F689" s="3">
        <f t="shared" si="219"/>
        <v>48.028413162531919</v>
      </c>
      <c r="J689" s="3">
        <f>0.038</f>
        <v>3.7999999999999999E-2</v>
      </c>
      <c r="K689" s="3"/>
      <c r="L689" s="3"/>
      <c r="T689" s="3">
        <f>($F$38)*($F$39)*($C$18/2)</f>
        <v>22.127681249999998</v>
      </c>
      <c r="U689" s="3">
        <f t="shared" si="221"/>
        <v>743.49009000000001</v>
      </c>
      <c r="V689" s="3">
        <f t="shared" si="222"/>
        <v>1178.7287360145788</v>
      </c>
      <c r="W689" s="3">
        <f t="shared" si="220"/>
        <v>3.5319931059594194</v>
      </c>
      <c r="X689" s="3">
        <f t="shared" si="223"/>
        <v>12.029499294266834</v>
      </c>
      <c r="AB689" s="3">
        <f>0.004</f>
        <v>4.0000000000000001E-3</v>
      </c>
      <c r="AC689" s="3">
        <v>4.5</v>
      </c>
      <c r="AD689" s="3" t="s">
        <v>33</v>
      </c>
    </row>
    <row r="690" spans="2:30">
      <c r="B690" s="3">
        <f>($F$38)*($F$39)*($C$32/2)</f>
        <v>56.548518749999999</v>
      </c>
      <c r="C690" s="3">
        <f t="shared" si="224"/>
        <v>1900.0302300000001</v>
      </c>
      <c r="D690" s="3">
        <f t="shared" si="218"/>
        <v>2335.2688760145788</v>
      </c>
      <c r="E690" s="3">
        <f t="shared" si="216"/>
        <v>6.9981218144182291</v>
      </c>
      <c r="F690" s="3">
        <f t="shared" si="219"/>
        <v>51.615621698949674</v>
      </c>
      <c r="J690" s="3">
        <f>0.042</f>
        <v>4.2000000000000003E-2</v>
      </c>
      <c r="K690" s="3"/>
      <c r="L690" s="3"/>
      <c r="T690" s="3">
        <f>($F$38)*($F$39)*($C$19/2)</f>
        <v>24.586312499999998</v>
      </c>
      <c r="U690" s="3">
        <f t="shared" si="221"/>
        <v>826.1001</v>
      </c>
      <c r="V690" s="3">
        <f t="shared" si="222"/>
        <v>1261.3387460145786</v>
      </c>
      <c r="W690" s="3">
        <f t="shared" si="220"/>
        <v>3.7795292666453584</v>
      </c>
      <c r="X690" s="3">
        <f t="shared" si="223"/>
        <v>13.774735927848926</v>
      </c>
      <c r="AB690" s="3">
        <f>0.005</f>
        <v>5.0000000000000001E-3</v>
      </c>
      <c r="AC690" s="3">
        <v>5</v>
      </c>
      <c r="AD690" s="3" t="s">
        <v>33</v>
      </c>
    </row>
    <row r="691" spans="2:30">
      <c r="B691" s="3">
        <f>($F$38)*($F$39)*($C$33/2)</f>
        <v>59.007149999999996</v>
      </c>
      <c r="C691" s="3">
        <f t="shared" si="224"/>
        <v>1982.6402399999999</v>
      </c>
      <c r="D691" s="3">
        <f t="shared" si="218"/>
        <v>2417.8788860145787</v>
      </c>
      <c r="E691" s="3">
        <f t="shared" si="216"/>
        <v>7.2456799945524715</v>
      </c>
      <c r="F691" s="3">
        <f t="shared" si="219"/>
        <v>55.332012449965454</v>
      </c>
      <c r="J691" s="3">
        <v>4.5999999999999999E-2</v>
      </c>
      <c r="K691" s="3"/>
      <c r="L691" s="3"/>
      <c r="T691" s="3">
        <f>($F$38)*($F$39)*($C$20/2)</f>
        <v>27.044943749999998</v>
      </c>
      <c r="U691" s="3">
        <f t="shared" si="221"/>
        <v>908.71010999999999</v>
      </c>
      <c r="V691" s="3">
        <f t="shared" si="222"/>
        <v>1343.9487560145787</v>
      </c>
      <c r="W691" s="3">
        <f t="shared" si="220"/>
        <v>4.0270654273312978</v>
      </c>
      <c r="X691" s="3">
        <f t="shared" si="223"/>
        <v>15.638144715942662</v>
      </c>
      <c r="AB691" s="3">
        <f>0.006</f>
        <v>6.0000000000000001E-3</v>
      </c>
      <c r="AC691" s="3">
        <v>5.5</v>
      </c>
      <c r="AD691" s="3" t="s">
        <v>33</v>
      </c>
    </row>
    <row r="692" spans="2:30">
      <c r="B692" s="3">
        <f>($F$38)*($F$39)*($C$34/2)</f>
        <v>0</v>
      </c>
      <c r="C692" s="3">
        <f>$C$46*B692</f>
        <v>0</v>
      </c>
      <c r="D692" s="3">
        <f t="shared" si="218"/>
        <v>435.23864601457871</v>
      </c>
      <c r="E692" s="3">
        <f t="shared" si="216"/>
        <v>1.304283671330642</v>
      </c>
      <c r="F692" s="3">
        <f t="shared" si="219"/>
        <v>1.7929256546455328</v>
      </c>
      <c r="J692" s="29"/>
      <c r="K692" s="4"/>
      <c r="L692" s="30"/>
      <c r="T692" s="3">
        <f>($F$38)*($F$39)*($C$21/2)</f>
        <v>29.503574999999998</v>
      </c>
      <c r="U692" s="3">
        <f t="shared" si="221"/>
        <v>991.32011999999997</v>
      </c>
      <c r="V692" s="3">
        <f t="shared" si="222"/>
        <v>1426.5587660145786</v>
      </c>
      <c r="W692" s="3">
        <f t="shared" si="220"/>
        <v>4.2746015880172363</v>
      </c>
      <c r="X692" s="3">
        <f t="shared" si="223"/>
        <v>17.619725658548024</v>
      </c>
      <c r="AB692" s="3">
        <f>0.007</f>
        <v>7.0000000000000001E-3</v>
      </c>
      <c r="AC692" s="3">
        <v>6</v>
      </c>
      <c r="AD692" s="3" t="s">
        <v>33</v>
      </c>
    </row>
    <row r="693" spans="2:30">
      <c r="B693" s="29"/>
      <c r="C693" s="4"/>
      <c r="D693" s="4"/>
      <c r="E693" s="4"/>
      <c r="F693" s="30"/>
      <c r="J693" s="29"/>
      <c r="K693" s="4"/>
      <c r="L693" s="30"/>
      <c r="T693" s="3">
        <f>($F$38)*($F$39)*($C$22/2)</f>
        <v>31.962206249999998</v>
      </c>
      <c r="U693" s="3">
        <f t="shared" si="221"/>
        <v>1073.93013</v>
      </c>
      <c r="V693" s="3">
        <f t="shared" si="222"/>
        <v>1509.1687760145787</v>
      </c>
      <c r="W693" s="3">
        <f t="shared" si="220"/>
        <v>4.5221377487031758</v>
      </c>
      <c r="X693" s="3">
        <f t="shared" si="223"/>
        <v>19.719478755665023</v>
      </c>
      <c r="AB693" s="3">
        <f>0.009</f>
        <v>8.9999999999999993E-3</v>
      </c>
      <c r="AC693" s="3">
        <v>6.5</v>
      </c>
      <c r="AD693" s="3" t="s">
        <v>33</v>
      </c>
    </row>
    <row r="694" spans="2:30">
      <c r="B694" s="29" t="s">
        <v>160</v>
      </c>
      <c r="C694" s="4"/>
      <c r="D694" s="4"/>
      <c r="E694" s="4"/>
      <c r="F694" s="30"/>
      <c r="J694" s="29" t="s">
        <v>161</v>
      </c>
      <c r="K694" s="4"/>
      <c r="L694" s="30"/>
      <c r="T694" s="3">
        <f>($F$38)*($F$39)*($C$23/2)</f>
        <v>34.420837499999998</v>
      </c>
      <c r="U694" s="3">
        <f>$C$46*T694</f>
        <v>1156.5401400000001</v>
      </c>
      <c r="V694" s="3">
        <f t="shared" si="222"/>
        <v>1591.7787860145788</v>
      </c>
      <c r="W694" s="3">
        <f t="shared" si="220"/>
        <v>4.7696739093891152</v>
      </c>
      <c r="X694" s="3">
        <f t="shared" si="223"/>
        <v>21.937404007293669</v>
      </c>
      <c r="AB694" s="3">
        <f>0.01</f>
        <v>0.01</v>
      </c>
      <c r="AC694" s="3">
        <v>7</v>
      </c>
      <c r="AD694" s="3" t="s">
        <v>33</v>
      </c>
    </row>
    <row r="695" spans="2:30">
      <c r="B695" s="45" t="s">
        <v>75</v>
      </c>
      <c r="C695" s="45" t="s">
        <v>76</v>
      </c>
      <c r="D695" s="45" t="s">
        <v>77</v>
      </c>
      <c r="E695" s="45" t="s">
        <v>78</v>
      </c>
      <c r="F695" s="45" t="s">
        <v>32</v>
      </c>
      <c r="J695" s="45" t="s">
        <v>32</v>
      </c>
      <c r="K695" s="3"/>
      <c r="L695" s="3"/>
      <c r="T695" s="3">
        <f>($F$38)*($F$39)*($C$24/2)</f>
        <v>36.879468750000001</v>
      </c>
      <c r="U695" s="3">
        <f t="shared" ref="U695:U704" si="225">$C$46*T695</f>
        <v>1239.1501500000002</v>
      </c>
      <c r="V695" s="3">
        <f t="shared" si="222"/>
        <v>1674.3887960145789</v>
      </c>
      <c r="W695" s="3">
        <f t="shared" si="220"/>
        <v>5.0172100700750546</v>
      </c>
      <c r="X695" s="3">
        <f t="shared" si="223"/>
        <v>24.273501413433937</v>
      </c>
      <c r="AB695" s="3">
        <f>0.011</f>
        <v>1.0999999999999999E-2</v>
      </c>
      <c r="AC695" s="3">
        <v>7.5</v>
      </c>
      <c r="AD695" s="3" t="s">
        <v>33</v>
      </c>
    </row>
    <row r="696" spans="2:30">
      <c r="B696" s="3">
        <f>($F$38)*($F$39)*($C$9/2)</f>
        <v>0</v>
      </c>
      <c r="C696" s="3">
        <f>$C$46*B696</f>
        <v>0</v>
      </c>
      <c r="D696" s="3">
        <f>C696+($C$50*$C$52)</f>
        <v>435.23864601457871</v>
      </c>
      <c r="E696" s="3">
        <f t="shared" ref="E696:E721" si="226">(D696)/($C$48+((($F$40)*($C$52))*$F$31)-(($C$49+$C$50)*$F$31^2))</f>
        <v>1.304167659785967</v>
      </c>
      <c r="F696" s="3">
        <f>($F$31*E696)*($F$31*E696*$C$52)/2</f>
        <v>1.6401165450515629</v>
      </c>
      <c r="J696" s="3">
        <v>0</v>
      </c>
      <c r="K696" s="3"/>
      <c r="L696" s="3"/>
      <c r="T696" s="3">
        <f>($F$38)*($F$39)*($C$25/2)</f>
        <v>39.338099999999997</v>
      </c>
      <c r="U696" s="3">
        <f t="shared" si="225"/>
        <v>1321.76016</v>
      </c>
      <c r="V696" s="3">
        <f t="shared" si="222"/>
        <v>1756.9988060145788</v>
      </c>
      <c r="W696" s="3">
        <f t="shared" si="220"/>
        <v>5.264746230760994</v>
      </c>
      <c r="X696" s="3">
        <f t="shared" si="223"/>
        <v>26.727770974085846</v>
      </c>
      <c r="AB696" s="3">
        <f>0.013</f>
        <v>1.2999999999999999E-2</v>
      </c>
      <c r="AC696" s="3">
        <v>8</v>
      </c>
      <c r="AD696" s="3" t="s">
        <v>33</v>
      </c>
    </row>
    <row r="697" spans="2:30">
      <c r="B697" s="3">
        <f>($F$38)*($F$39)*($C$10/2)</f>
        <v>2.4586312499999998</v>
      </c>
      <c r="C697" s="3">
        <f t="shared" ref="C697:C709" si="227">$C$46*B697</f>
        <v>82.610010000000003</v>
      </c>
      <c r="D697" s="3">
        <f t="shared" ref="D697:D721" si="228">C697+($C$50*$C$52)</f>
        <v>517.84865601457875</v>
      </c>
      <c r="E697" s="3">
        <f t="shared" si="226"/>
        <v>1.5517038204719065</v>
      </c>
      <c r="F697" s="3">
        <f t="shared" ref="F697:F721" si="229">($F$31*E697)*($F$31*E697*$C$52)/2</f>
        <v>2.3218037880289413</v>
      </c>
      <c r="J697" s="3">
        <f>5.101*10^-5</f>
        <v>5.1010000000000001E-5</v>
      </c>
      <c r="K697" s="3"/>
      <c r="L697" s="3"/>
      <c r="T697" s="3">
        <f>($F$38)*($F$39)*($C$26/2)</f>
        <v>41.796731249999993</v>
      </c>
      <c r="U697" s="3">
        <f t="shared" si="225"/>
        <v>1404.3701699999999</v>
      </c>
      <c r="V697" s="3">
        <f t="shared" si="222"/>
        <v>1839.6088160145787</v>
      </c>
      <c r="W697" s="3">
        <f t="shared" si="220"/>
        <v>5.5122823914469326</v>
      </c>
      <c r="X697" s="3">
        <f t="shared" si="223"/>
        <v>29.300212689249392</v>
      </c>
      <c r="AB697" s="3">
        <f>0.015</f>
        <v>1.4999999999999999E-2</v>
      </c>
      <c r="AC697" s="3">
        <v>8.5</v>
      </c>
      <c r="AD697" s="3" t="s">
        <v>33</v>
      </c>
    </row>
    <row r="698" spans="2:30">
      <c r="B698" s="3">
        <f>($F$38)*($F$39)*($C$11/2)</f>
        <v>4.9172624999999996</v>
      </c>
      <c r="C698" s="3">
        <f t="shared" si="227"/>
        <v>165.22002000000001</v>
      </c>
      <c r="D698" s="3">
        <f t="shared" si="228"/>
        <v>600.45866601457874</v>
      </c>
      <c r="E698" s="3">
        <f t="shared" si="226"/>
        <v>1.7992399811578454</v>
      </c>
      <c r="F698" s="3">
        <f t="shared" si="229"/>
        <v>3.1216631855179546</v>
      </c>
      <c r="J698" s="3">
        <f>2.041*10^-4</f>
        <v>2.041E-4</v>
      </c>
      <c r="K698" s="3"/>
      <c r="L698" s="3"/>
      <c r="T698" s="3">
        <f>($F$38)*($F$39)*($C$27/2)</f>
        <v>44.255362499999997</v>
      </c>
      <c r="U698" s="3">
        <f t="shared" si="225"/>
        <v>1486.98018</v>
      </c>
      <c r="V698" s="3">
        <f t="shared" si="222"/>
        <v>1922.2188260145788</v>
      </c>
      <c r="W698" s="3">
        <f t="shared" si="220"/>
        <v>5.759818552132872</v>
      </c>
      <c r="X698" s="3">
        <f t="shared" si="223"/>
        <v>31.990826558924564</v>
      </c>
      <c r="AB698" s="3">
        <f>0.017</f>
        <v>1.7000000000000001E-2</v>
      </c>
      <c r="AC698" s="3">
        <v>9</v>
      </c>
      <c r="AD698" s="3" t="s">
        <v>33</v>
      </c>
    </row>
    <row r="699" spans="2:30">
      <c r="B699" s="3">
        <f>($F$38)*($F$39)*($C$12/2)</f>
        <v>7.3758937499999995</v>
      </c>
      <c r="C699" s="3">
        <f t="shared" si="227"/>
        <v>247.83002999999999</v>
      </c>
      <c r="D699" s="3">
        <f t="shared" si="228"/>
        <v>683.06867601457873</v>
      </c>
      <c r="E699" s="3">
        <f t="shared" si="226"/>
        <v>2.0467761418437846</v>
      </c>
      <c r="F699" s="3">
        <f t="shared" si="229"/>
        <v>4.0396947375186025</v>
      </c>
      <c r="J699" s="3">
        <f>4.591*10^-4</f>
        <v>4.5910000000000005E-4</v>
      </c>
      <c r="K699" s="3"/>
      <c r="L699" s="3"/>
      <c r="T699" s="3">
        <f>($F$38)*($F$39)*($C$28/2)</f>
        <v>46.71399375</v>
      </c>
      <c r="U699" s="3">
        <f t="shared" si="225"/>
        <v>1569.5901900000001</v>
      </c>
      <c r="V699" s="3">
        <f t="shared" si="222"/>
        <v>2004.8288360145789</v>
      </c>
      <c r="W699" s="3">
        <f t="shared" si="220"/>
        <v>6.0073547128188114</v>
      </c>
      <c r="X699" s="3">
        <f t="shared" si="223"/>
        <v>34.799612583111383</v>
      </c>
      <c r="AB699" s="3">
        <f>0.018</f>
        <v>1.7999999999999999E-2</v>
      </c>
      <c r="AC699" s="3">
        <v>9.5</v>
      </c>
      <c r="AD699" s="3" t="s">
        <v>33</v>
      </c>
    </row>
    <row r="700" spans="2:30">
      <c r="B700" s="3">
        <f>($F$38)*($F$39)*($C$13/2)</f>
        <v>9.8345249999999993</v>
      </c>
      <c r="C700" s="3">
        <f t="shared" si="227"/>
        <v>330.44004000000001</v>
      </c>
      <c r="D700" s="3">
        <f t="shared" si="228"/>
        <v>765.67868601457872</v>
      </c>
      <c r="E700" s="3">
        <f t="shared" si="226"/>
        <v>2.2943123025297236</v>
      </c>
      <c r="F700" s="3">
        <f t="shared" si="229"/>
        <v>5.0758984440308863</v>
      </c>
      <c r="J700" s="3">
        <f>8.162*10^-4</f>
        <v>8.1620000000000011E-4</v>
      </c>
      <c r="K700" s="3"/>
      <c r="L700" s="3"/>
      <c r="T700" s="3">
        <f>($F$38)*($F$39)*($C$29/2)</f>
        <v>49.172624999999996</v>
      </c>
      <c r="U700" s="3">
        <f t="shared" si="225"/>
        <v>1652.2002</v>
      </c>
      <c r="V700" s="3">
        <f t="shared" si="222"/>
        <v>2087.4388460145788</v>
      </c>
      <c r="W700" s="3">
        <f t="shared" si="220"/>
        <v>6.2548908735047499</v>
      </c>
      <c r="X700" s="3">
        <f t="shared" si="223"/>
        <v>37.726570761809832</v>
      </c>
      <c r="AB700" s="3">
        <f>0.02</f>
        <v>0.02</v>
      </c>
      <c r="AC700" s="3">
        <v>10</v>
      </c>
      <c r="AD700" s="3" t="s">
        <v>33</v>
      </c>
    </row>
    <row r="701" spans="2:30">
      <c r="B701" s="3">
        <f>($F$38)*($F$39)*($C$14/2)</f>
        <v>12.293156249999999</v>
      </c>
      <c r="C701" s="3">
        <f t="shared" si="227"/>
        <v>413.05005</v>
      </c>
      <c r="D701" s="3">
        <f t="shared" si="228"/>
        <v>848.2886960145787</v>
      </c>
      <c r="E701" s="3">
        <f t="shared" si="226"/>
        <v>2.5418484632156626</v>
      </c>
      <c r="F701" s="3">
        <f t="shared" si="229"/>
        <v>6.2302743050548042</v>
      </c>
      <c r="J701" s="3">
        <f>0.001</f>
        <v>1E-3</v>
      </c>
      <c r="K701" s="3"/>
      <c r="L701" s="3"/>
      <c r="T701" s="3">
        <f>($F$38)*($F$39)*($C$30/2)</f>
        <v>51.631256249999993</v>
      </c>
      <c r="U701" s="3">
        <f t="shared" si="225"/>
        <v>1734.8102099999999</v>
      </c>
      <c r="V701" s="3">
        <f t="shared" si="222"/>
        <v>2170.0488560145786</v>
      </c>
      <c r="W701" s="3">
        <f t="shared" si="220"/>
        <v>6.5024270341906885</v>
      </c>
      <c r="X701" s="3">
        <f t="shared" si="223"/>
        <v>40.771701095019907</v>
      </c>
      <c r="AB701" s="3">
        <f>0.022</f>
        <v>2.1999999999999999E-2</v>
      </c>
      <c r="AC701" s="3">
        <v>10.5</v>
      </c>
      <c r="AD701" s="3" t="s">
        <v>33</v>
      </c>
    </row>
    <row r="702" spans="2:30">
      <c r="B702" s="3">
        <f>($F$38)*($F$39)*($C$15/2)</f>
        <v>14.751787499999999</v>
      </c>
      <c r="C702" s="3">
        <f t="shared" si="227"/>
        <v>495.66005999999999</v>
      </c>
      <c r="D702" s="3">
        <f t="shared" si="228"/>
        <v>930.89870601457869</v>
      </c>
      <c r="E702" s="3">
        <f t="shared" si="226"/>
        <v>2.789384623901602</v>
      </c>
      <c r="F702" s="3">
        <f t="shared" si="229"/>
        <v>7.5028223205903579</v>
      </c>
      <c r="J702" s="3">
        <f>0.002</f>
        <v>2E-3</v>
      </c>
      <c r="K702" s="3"/>
      <c r="L702" s="3"/>
      <c r="T702" s="3">
        <f>($F$38)*($F$39)*($C$31/2)</f>
        <v>54.089887499999996</v>
      </c>
      <c r="U702" s="3">
        <f t="shared" si="225"/>
        <v>1817.42022</v>
      </c>
      <c r="V702" s="3">
        <f t="shared" si="222"/>
        <v>2252.6588660145785</v>
      </c>
      <c r="W702" s="3">
        <f t="shared" si="220"/>
        <v>6.7499631948766279</v>
      </c>
      <c r="X702" s="3">
        <f t="shared" si="223"/>
        <v>43.935003582741622</v>
      </c>
      <c r="AB702" s="3">
        <f>0.025</f>
        <v>2.5000000000000001E-2</v>
      </c>
      <c r="AC702" s="3">
        <v>11</v>
      </c>
      <c r="AD702" s="3" t="s">
        <v>33</v>
      </c>
    </row>
    <row r="703" spans="2:30">
      <c r="B703" s="3">
        <f>($F$38)*($F$39)*($C$16/2)</f>
        <v>17.210418749999999</v>
      </c>
      <c r="C703" s="3">
        <f t="shared" si="227"/>
        <v>578.27007000000003</v>
      </c>
      <c r="D703" s="3">
        <f t="shared" si="228"/>
        <v>1013.5087160145788</v>
      </c>
      <c r="E703" s="3">
        <f t="shared" si="226"/>
        <v>3.0369207845875414</v>
      </c>
      <c r="F703" s="3">
        <f t="shared" si="229"/>
        <v>8.893542490637552</v>
      </c>
      <c r="J703" s="3">
        <f>0.002</f>
        <v>2E-3</v>
      </c>
      <c r="K703" s="3"/>
      <c r="L703" s="3"/>
      <c r="T703" s="3">
        <f>($F$38)*($F$39)*($C$32/2)</f>
        <v>56.548518749999999</v>
      </c>
      <c r="U703" s="3">
        <f t="shared" si="225"/>
        <v>1900.0302300000001</v>
      </c>
      <c r="V703" s="3">
        <f t="shared" si="222"/>
        <v>2335.2688760145788</v>
      </c>
      <c r="W703" s="3">
        <f t="shared" si="220"/>
        <v>6.9974993555625673</v>
      </c>
      <c r="X703" s="3">
        <f t="shared" si="223"/>
        <v>47.216478224974985</v>
      </c>
      <c r="AB703" s="3">
        <f>0.027</f>
        <v>2.7E-2</v>
      </c>
      <c r="AC703" s="3">
        <v>11.5</v>
      </c>
      <c r="AD703" s="3" t="s">
        <v>33</v>
      </c>
    </row>
    <row r="704" spans="2:30">
      <c r="B704" s="3">
        <f>($F$38)*($F$39)*($C$17/2)</f>
        <v>19.669049999999999</v>
      </c>
      <c r="C704" s="3">
        <f t="shared" si="227"/>
        <v>660.88008000000002</v>
      </c>
      <c r="D704" s="3">
        <f t="shared" si="228"/>
        <v>1096.1187260145787</v>
      </c>
      <c r="E704" s="3">
        <f t="shared" si="226"/>
        <v>3.28445694527348</v>
      </c>
      <c r="F704" s="3">
        <f t="shared" si="229"/>
        <v>10.402434815196372</v>
      </c>
      <c r="J704" s="3">
        <f>0.003</f>
        <v>3.0000000000000001E-3</v>
      </c>
      <c r="K704" s="3"/>
      <c r="L704" s="3"/>
      <c r="T704" s="3">
        <f>($F$38)*($F$39)*($C$33/2)</f>
        <v>59.007149999999996</v>
      </c>
      <c r="U704" s="3">
        <f t="shared" si="225"/>
        <v>1982.6402399999999</v>
      </c>
      <c r="V704" s="3">
        <f t="shared" si="222"/>
        <v>2417.8788860145787</v>
      </c>
      <c r="W704" s="3">
        <f t="shared" si="220"/>
        <v>7.2450355162485067</v>
      </c>
      <c r="X704" s="3">
        <f t="shared" si="223"/>
        <v>50.616125021719981</v>
      </c>
      <c r="AB704" s="3">
        <f>0.029</f>
        <v>2.9000000000000001E-2</v>
      </c>
      <c r="AC704" s="3">
        <v>12</v>
      </c>
      <c r="AD704" s="3" t="s">
        <v>33</v>
      </c>
    </row>
    <row r="705" spans="2:30">
      <c r="B705" s="3">
        <f>($F$38)*($F$39)*($C$18/2)</f>
        <v>22.127681249999998</v>
      </c>
      <c r="C705" s="3">
        <f t="shared" si="227"/>
        <v>743.49009000000001</v>
      </c>
      <c r="D705" s="3">
        <f t="shared" si="228"/>
        <v>1178.7287360145788</v>
      </c>
      <c r="E705" s="3">
        <f t="shared" si="226"/>
        <v>3.5319931059594194</v>
      </c>
      <c r="F705" s="3">
        <f t="shared" si="229"/>
        <v>12.029499294266834</v>
      </c>
      <c r="J705" s="3">
        <f>0.004</f>
        <v>4.0000000000000001E-3</v>
      </c>
      <c r="K705" s="3"/>
      <c r="L705" s="3"/>
      <c r="T705" s="3"/>
      <c r="U705" s="3"/>
      <c r="V705" s="3"/>
      <c r="W705" s="3"/>
      <c r="X705" s="3"/>
      <c r="AB705" s="29"/>
      <c r="AC705" s="4"/>
      <c r="AD705" s="30"/>
    </row>
    <row r="706" spans="2:30">
      <c r="B706" s="3">
        <f>($F$38)*($F$39)*($C$19/2)</f>
        <v>24.586312499999998</v>
      </c>
      <c r="C706" s="3">
        <f t="shared" si="227"/>
        <v>826.1001</v>
      </c>
      <c r="D706" s="3">
        <f t="shared" si="228"/>
        <v>1261.3387460145786</v>
      </c>
      <c r="E706" s="3">
        <f t="shared" si="226"/>
        <v>3.7795292666453584</v>
      </c>
      <c r="F706" s="3">
        <f t="shared" si="229"/>
        <v>13.774735927848926</v>
      </c>
      <c r="J706" s="3">
        <f>0.005</f>
        <v>5.0000000000000001E-3</v>
      </c>
      <c r="K706" s="3"/>
      <c r="L706" s="3"/>
      <c r="T706" s="29"/>
      <c r="U706" s="4"/>
      <c r="V706" s="4"/>
      <c r="W706" s="4"/>
      <c r="X706" s="30"/>
      <c r="AB706" s="29"/>
      <c r="AC706" s="4"/>
      <c r="AD706" s="30"/>
    </row>
    <row r="707" spans="2:30">
      <c r="B707" s="3">
        <f>($F$38)*($F$39)*($C$20/2)</f>
        <v>27.044943749999998</v>
      </c>
      <c r="C707" s="3">
        <f t="shared" si="227"/>
        <v>908.71010999999999</v>
      </c>
      <c r="D707" s="3">
        <f t="shared" si="228"/>
        <v>1343.9487560145787</v>
      </c>
      <c r="E707" s="3">
        <f t="shared" si="226"/>
        <v>4.0270654273312978</v>
      </c>
      <c r="F707" s="3">
        <f t="shared" si="229"/>
        <v>15.638144715942662</v>
      </c>
      <c r="J707" s="3">
        <f>0.006</f>
        <v>6.0000000000000001E-3</v>
      </c>
      <c r="K707" s="3">
        <v>5.5</v>
      </c>
      <c r="L707" s="3" t="s">
        <v>33</v>
      </c>
      <c r="T707" s="29" t="s">
        <v>162</v>
      </c>
      <c r="U707" s="4"/>
      <c r="V707" s="4"/>
      <c r="W707" s="4"/>
      <c r="X707" s="30"/>
      <c r="AB707" s="29" t="s">
        <v>163</v>
      </c>
      <c r="AC707" s="4"/>
      <c r="AD707" s="30"/>
    </row>
    <row r="708" spans="2:30">
      <c r="B708" s="3">
        <f>($F$38)*($F$39)*($C$21/2)</f>
        <v>29.503574999999998</v>
      </c>
      <c r="C708" s="3">
        <f t="shared" si="227"/>
        <v>991.32011999999997</v>
      </c>
      <c r="D708" s="3">
        <f t="shared" si="228"/>
        <v>1426.5587660145786</v>
      </c>
      <c r="E708" s="3">
        <f t="shared" si="226"/>
        <v>4.2746015880172363</v>
      </c>
      <c r="F708" s="3">
        <f t="shared" si="229"/>
        <v>17.619725658548024</v>
      </c>
      <c r="J708" s="3">
        <f>0.007</f>
        <v>7.0000000000000001E-3</v>
      </c>
      <c r="K708" s="3"/>
      <c r="L708" s="3"/>
      <c r="T708" s="45" t="s">
        <v>75</v>
      </c>
      <c r="U708" s="45" t="s">
        <v>76</v>
      </c>
      <c r="V708" s="45" t="s">
        <v>77</v>
      </c>
      <c r="W708" s="45" t="s">
        <v>78</v>
      </c>
      <c r="X708" s="45" t="s">
        <v>32</v>
      </c>
      <c r="AB708" s="45" t="s">
        <v>32</v>
      </c>
      <c r="AC708" s="3"/>
      <c r="AD708" s="3"/>
    </row>
    <row r="709" spans="2:30">
      <c r="B709" s="3">
        <f>($F$38)*($F$39)*($C$22/2)</f>
        <v>31.962206249999998</v>
      </c>
      <c r="C709" s="3">
        <f t="shared" si="227"/>
        <v>1073.93013</v>
      </c>
      <c r="D709" s="3">
        <f t="shared" si="228"/>
        <v>1509.1687760145787</v>
      </c>
      <c r="E709" s="3">
        <f t="shared" si="226"/>
        <v>4.5221377487031758</v>
      </c>
      <c r="F709" s="3">
        <f t="shared" si="229"/>
        <v>19.719478755665023</v>
      </c>
      <c r="J709" s="3">
        <f>0.009</f>
        <v>8.9999999999999993E-3</v>
      </c>
      <c r="K709" s="3"/>
      <c r="L709" s="3"/>
      <c r="T709" s="3">
        <f>($F$38)*($F$39)*($C$9/2)</f>
        <v>0</v>
      </c>
      <c r="U709" s="3">
        <f>$C$46*T709</f>
        <v>0</v>
      </c>
      <c r="V709" s="3">
        <f>U709+($C$50*$C$52)</f>
        <v>435.23864601457871</v>
      </c>
      <c r="W709" s="3">
        <f t="shared" ref="W709:W733" si="230">(V709)/($C$48+((($F$40)*($C$52))*$F$32)-(($C$49+$C$50)*$F$32^2))</f>
        <v>1.304114817279755</v>
      </c>
      <c r="X709" s="3">
        <f>($F$32*W709)*($F$32*W709*$C$52)/2</f>
        <v>1.5061655292497045</v>
      </c>
      <c r="AB709" s="3">
        <v>0</v>
      </c>
      <c r="AC709" s="3">
        <v>0</v>
      </c>
      <c r="AD709" s="3" t="s">
        <v>33</v>
      </c>
    </row>
    <row r="710" spans="2:30">
      <c r="B710" s="3">
        <f>($F$38)*($F$39)*($C$23/2)</f>
        <v>34.420837499999998</v>
      </c>
      <c r="C710" s="3">
        <f>$C$46*B710</f>
        <v>1156.5401400000001</v>
      </c>
      <c r="D710" s="3">
        <f t="shared" si="228"/>
        <v>1591.7787860145788</v>
      </c>
      <c r="E710" s="3">
        <f t="shared" si="226"/>
        <v>4.7696739093891152</v>
      </c>
      <c r="F710" s="3">
        <f t="shared" si="229"/>
        <v>21.937404007293669</v>
      </c>
      <c r="J710" s="3">
        <f>0.01</f>
        <v>0.01</v>
      </c>
      <c r="K710" s="3"/>
      <c r="L710" s="3"/>
      <c r="T710" s="3">
        <f>($F$38)*($F$39)*($C$10/2)</f>
        <v>2.4586312499999998</v>
      </c>
      <c r="U710" s="3">
        <f t="shared" ref="U710:U722" si="231">$C$46*T710</f>
        <v>82.610010000000003</v>
      </c>
      <c r="V710" s="3">
        <f t="shared" ref="V710:V733" si="232">U710+($C$50*$C$52)</f>
        <v>517.84865601457875</v>
      </c>
      <c r="W710" s="3">
        <f t="shared" si="230"/>
        <v>1.5516409482497979</v>
      </c>
      <c r="X710" s="3">
        <f t="shared" ref="X710:X733" si="233">($F$32*W710)*($F$32*W710*$C$52)/2</f>
        <v>2.1321782538939251</v>
      </c>
      <c r="AB710" s="3">
        <f>3.335*10^-5</f>
        <v>3.3350000000000004E-5</v>
      </c>
      <c r="AC710" s="3">
        <v>0.5</v>
      </c>
      <c r="AD710" s="3" t="s">
        <v>33</v>
      </c>
    </row>
    <row r="711" spans="2:30">
      <c r="B711" s="3">
        <f>($F$38)*($F$39)*($C$24/2)</f>
        <v>36.879468750000001</v>
      </c>
      <c r="C711" s="3">
        <f t="shared" ref="C711:C720" si="234">$C$46*B711</f>
        <v>1239.1501500000002</v>
      </c>
      <c r="D711" s="3">
        <f t="shared" si="228"/>
        <v>1674.3887960145789</v>
      </c>
      <c r="E711" s="3">
        <f t="shared" si="226"/>
        <v>5.0172100700750546</v>
      </c>
      <c r="F711" s="3">
        <f t="shared" si="229"/>
        <v>24.273501413433937</v>
      </c>
      <c r="J711" s="3">
        <f>0.011</f>
        <v>1.0999999999999999E-2</v>
      </c>
      <c r="K711" s="3"/>
      <c r="L711" s="3"/>
      <c r="T711" s="3">
        <f>($F$38)*($F$39)*($C$11/2)</f>
        <v>4.9172624999999996</v>
      </c>
      <c r="U711" s="3">
        <f t="shared" si="231"/>
        <v>165.22002000000001</v>
      </c>
      <c r="V711" s="3">
        <f t="shared" si="232"/>
        <v>600.45866601457874</v>
      </c>
      <c r="W711" s="3">
        <f t="shared" si="230"/>
        <v>1.7991670792198406</v>
      </c>
      <c r="X711" s="3">
        <f t="shared" si="233"/>
        <v>2.8667118188281857</v>
      </c>
      <c r="AB711" s="3">
        <f>1.334*10^-4</f>
        <v>1.3340000000000002E-4</v>
      </c>
      <c r="AC711" s="3">
        <v>1</v>
      </c>
      <c r="AD711" s="3" t="s">
        <v>33</v>
      </c>
    </row>
    <row r="712" spans="2:30">
      <c r="B712" s="3">
        <f>($F$38)*($F$39)*($C$25/2)</f>
        <v>39.338099999999997</v>
      </c>
      <c r="C712" s="3">
        <f t="shared" si="234"/>
        <v>1321.76016</v>
      </c>
      <c r="D712" s="3">
        <f t="shared" si="228"/>
        <v>1756.9988060145788</v>
      </c>
      <c r="E712" s="3">
        <f t="shared" si="226"/>
        <v>5.264746230760994</v>
      </c>
      <c r="F712" s="3">
        <f t="shared" si="229"/>
        <v>26.727770974085846</v>
      </c>
      <c r="J712" s="3">
        <f>0.013</f>
        <v>1.2999999999999999E-2</v>
      </c>
      <c r="K712" s="3"/>
      <c r="L712" s="3"/>
      <c r="T712" s="3">
        <f>($F$38)*($F$39)*($C$12/2)</f>
        <v>7.3758937499999995</v>
      </c>
      <c r="U712" s="3">
        <f t="shared" si="231"/>
        <v>247.83002999999999</v>
      </c>
      <c r="V712" s="3">
        <f t="shared" si="232"/>
        <v>683.06867601457873</v>
      </c>
      <c r="W712" s="3">
        <f t="shared" si="230"/>
        <v>2.0466932101898836</v>
      </c>
      <c r="X712" s="3">
        <f t="shared" si="233"/>
        <v>3.70976622405249</v>
      </c>
      <c r="AB712" s="3">
        <f>3.001*10^-4</f>
        <v>3.0010000000000003E-4</v>
      </c>
      <c r="AC712" s="3">
        <v>1.5</v>
      </c>
      <c r="AD712" s="3" t="s">
        <v>33</v>
      </c>
    </row>
    <row r="713" spans="2:30">
      <c r="B713" s="3">
        <f>($F$38)*($F$39)*($C$26/2)</f>
        <v>41.796731249999993</v>
      </c>
      <c r="C713" s="3">
        <f t="shared" si="234"/>
        <v>1404.3701699999999</v>
      </c>
      <c r="D713" s="3">
        <f t="shared" si="228"/>
        <v>1839.6088160145787</v>
      </c>
      <c r="E713" s="3">
        <f t="shared" si="226"/>
        <v>5.5122823914469326</v>
      </c>
      <c r="F713" s="3">
        <f t="shared" si="229"/>
        <v>29.300212689249392</v>
      </c>
      <c r="J713" s="3">
        <f>0.015</f>
        <v>1.4999999999999999E-2</v>
      </c>
      <c r="K713" s="3"/>
      <c r="L713" s="3"/>
      <c r="T713" s="3">
        <f>($F$38)*($F$39)*($C$13/2)</f>
        <v>9.8345249999999993</v>
      </c>
      <c r="U713" s="3">
        <f t="shared" si="231"/>
        <v>330.44004000000001</v>
      </c>
      <c r="V713" s="3">
        <f t="shared" si="232"/>
        <v>765.67868601457872</v>
      </c>
      <c r="W713" s="3">
        <f t="shared" si="230"/>
        <v>2.2942193411599261</v>
      </c>
      <c r="X713" s="3">
        <f t="shared" si="233"/>
        <v>4.6613414695668318</v>
      </c>
      <c r="AB713" s="3">
        <f>5.336*10^-4</f>
        <v>5.3360000000000007E-4</v>
      </c>
      <c r="AC713" s="3">
        <v>2</v>
      </c>
      <c r="AD713" s="3" t="s">
        <v>33</v>
      </c>
    </row>
    <row r="714" spans="2:30">
      <c r="B714" s="3">
        <f>($F$38)*($F$39)*($C$27/2)</f>
        <v>44.255362499999997</v>
      </c>
      <c r="C714" s="3">
        <f t="shared" si="234"/>
        <v>1486.98018</v>
      </c>
      <c r="D714" s="3">
        <f t="shared" si="228"/>
        <v>1922.2188260145788</v>
      </c>
      <c r="E714" s="3">
        <f t="shared" si="226"/>
        <v>5.759818552132872</v>
      </c>
      <c r="F714" s="3">
        <f t="shared" si="229"/>
        <v>31.990826558924564</v>
      </c>
      <c r="J714" s="3">
        <f>0.017</f>
        <v>1.7000000000000001E-2</v>
      </c>
      <c r="K714" s="3"/>
      <c r="L714" s="3"/>
      <c r="T714" s="3">
        <f>($F$38)*($F$39)*($C$14/2)</f>
        <v>12.293156249999999</v>
      </c>
      <c r="U714" s="3">
        <f t="shared" si="231"/>
        <v>413.05005</v>
      </c>
      <c r="V714" s="3">
        <f t="shared" si="232"/>
        <v>848.2886960145787</v>
      </c>
      <c r="W714" s="3">
        <f t="shared" si="230"/>
        <v>2.541745472129969</v>
      </c>
      <c r="X714" s="3">
        <f t="shared" si="233"/>
        <v>5.7214375553712191</v>
      </c>
      <c r="AB714" s="3">
        <f>8.337*10^-4</f>
        <v>8.3370000000000004E-4</v>
      </c>
      <c r="AC714" s="3">
        <v>2.5</v>
      </c>
      <c r="AD714" s="3" t="s">
        <v>33</v>
      </c>
    </row>
    <row r="715" spans="2:30">
      <c r="B715" s="3">
        <f>($F$38)*($F$39)*($C$28/2)</f>
        <v>46.71399375</v>
      </c>
      <c r="C715" s="3">
        <f t="shared" si="234"/>
        <v>1569.5901900000001</v>
      </c>
      <c r="D715" s="3">
        <f t="shared" si="228"/>
        <v>2004.8288360145789</v>
      </c>
      <c r="E715" s="3">
        <f t="shared" si="226"/>
        <v>6.0073547128188114</v>
      </c>
      <c r="F715" s="3">
        <f t="shared" si="229"/>
        <v>34.799612583111383</v>
      </c>
      <c r="J715" s="3">
        <f>0.018</f>
        <v>1.7999999999999999E-2</v>
      </c>
      <c r="K715" s="3"/>
      <c r="L715" s="3"/>
      <c r="T715" s="3">
        <f>($F$38)*($F$39)*($C$15/2)</f>
        <v>14.751787499999999</v>
      </c>
      <c r="U715" s="3">
        <f t="shared" si="231"/>
        <v>495.66005999999999</v>
      </c>
      <c r="V715" s="3">
        <f t="shared" si="232"/>
        <v>930.89870601457869</v>
      </c>
      <c r="W715" s="3">
        <f t="shared" si="230"/>
        <v>2.789271603100012</v>
      </c>
      <c r="X715" s="3">
        <f t="shared" si="233"/>
        <v>6.8900544814656435</v>
      </c>
      <c r="AB715" s="3">
        <f>0.001</f>
        <v>1E-3</v>
      </c>
      <c r="AC715" s="3">
        <v>3</v>
      </c>
      <c r="AD715" s="3" t="s">
        <v>33</v>
      </c>
    </row>
    <row r="716" spans="2:30">
      <c r="B716" s="3">
        <f>($F$38)*($F$39)*($C$29/2)</f>
        <v>49.172624999999996</v>
      </c>
      <c r="C716" s="3">
        <f t="shared" si="234"/>
        <v>1652.2002</v>
      </c>
      <c r="D716" s="3">
        <f t="shared" si="228"/>
        <v>2087.4388460145788</v>
      </c>
      <c r="E716" s="3">
        <f t="shared" si="226"/>
        <v>6.2548908735047499</v>
      </c>
      <c r="F716" s="3">
        <f t="shared" si="229"/>
        <v>37.726570761809832</v>
      </c>
      <c r="J716" s="3">
        <f>0.02</f>
        <v>0.02</v>
      </c>
      <c r="K716" s="3"/>
      <c r="L716" s="3"/>
      <c r="T716" s="3">
        <f>($F$38)*($F$39)*($C$16/2)</f>
        <v>17.210418749999999</v>
      </c>
      <c r="U716" s="3">
        <f t="shared" si="231"/>
        <v>578.27007000000003</v>
      </c>
      <c r="V716" s="3">
        <f t="shared" si="232"/>
        <v>1013.5087160145788</v>
      </c>
      <c r="W716" s="3">
        <f t="shared" si="230"/>
        <v>3.0367977340700549</v>
      </c>
      <c r="X716" s="3">
        <f t="shared" si="233"/>
        <v>8.1671922478501138</v>
      </c>
      <c r="AB716" s="3">
        <f>0.002</f>
        <v>2E-3</v>
      </c>
      <c r="AC716" s="3">
        <v>3.5</v>
      </c>
      <c r="AD716" s="3" t="s">
        <v>33</v>
      </c>
    </row>
    <row r="717" spans="2:30">
      <c r="B717" s="3">
        <f>($F$38)*($F$39)*($C$30/2)</f>
        <v>51.631256249999993</v>
      </c>
      <c r="C717" s="3">
        <f t="shared" si="234"/>
        <v>1734.8102099999999</v>
      </c>
      <c r="D717" s="3">
        <f t="shared" si="228"/>
        <v>2170.0488560145786</v>
      </c>
      <c r="E717" s="3">
        <f t="shared" si="226"/>
        <v>6.5024270341906885</v>
      </c>
      <c r="F717" s="3">
        <f t="shared" si="229"/>
        <v>40.771701095019907</v>
      </c>
      <c r="J717" s="3">
        <f>0.022</f>
        <v>2.1999999999999999E-2</v>
      </c>
      <c r="K717" s="3"/>
      <c r="L717" s="3"/>
      <c r="T717" s="3">
        <f>($F$38)*($F$39)*($C$17/2)</f>
        <v>19.669049999999999</v>
      </c>
      <c r="U717" s="3">
        <f t="shared" si="231"/>
        <v>660.88008000000002</v>
      </c>
      <c r="V717" s="3">
        <f t="shared" si="232"/>
        <v>1096.1187260145787</v>
      </c>
      <c r="W717" s="3">
        <f t="shared" si="230"/>
        <v>3.2843238650400974</v>
      </c>
      <c r="X717" s="3">
        <f t="shared" si="233"/>
        <v>9.5528508545246194</v>
      </c>
      <c r="AB717" s="3">
        <f>0.002</f>
        <v>2E-3</v>
      </c>
      <c r="AC717" s="3">
        <v>4</v>
      </c>
      <c r="AD717" s="3" t="s">
        <v>33</v>
      </c>
    </row>
    <row r="718" spans="2:30">
      <c r="B718" s="3">
        <f>($F$38)*($F$39)*($C$31/2)</f>
        <v>54.089887499999996</v>
      </c>
      <c r="C718" s="3">
        <f t="shared" si="234"/>
        <v>1817.42022</v>
      </c>
      <c r="D718" s="3">
        <f t="shared" si="228"/>
        <v>2252.6588660145785</v>
      </c>
      <c r="E718" s="3">
        <f t="shared" si="226"/>
        <v>6.7499631948766279</v>
      </c>
      <c r="F718" s="3">
        <f t="shared" si="229"/>
        <v>43.935003582741622</v>
      </c>
      <c r="J718" s="3">
        <f>0.025</f>
        <v>2.5000000000000001E-2</v>
      </c>
      <c r="K718" s="3"/>
      <c r="L718" s="3"/>
      <c r="T718" s="3">
        <f>($F$38)*($F$39)*($C$18/2)</f>
        <v>22.127681249999998</v>
      </c>
      <c r="U718" s="3">
        <f t="shared" si="231"/>
        <v>743.49009000000001</v>
      </c>
      <c r="V718" s="3">
        <f t="shared" si="232"/>
        <v>1178.7287360145788</v>
      </c>
      <c r="W718" s="3">
        <f t="shared" si="230"/>
        <v>3.5318499960101408</v>
      </c>
      <c r="X718" s="3">
        <f t="shared" si="233"/>
        <v>11.047030301489174</v>
      </c>
      <c r="AB718" s="3">
        <f>0.003</f>
        <v>3.0000000000000001E-3</v>
      </c>
      <c r="AC718" s="3">
        <v>4.5</v>
      </c>
      <c r="AD718" s="3" t="s">
        <v>33</v>
      </c>
    </row>
    <row r="719" spans="2:30">
      <c r="B719" s="3">
        <f>($F$38)*($F$39)*($C$32/2)</f>
        <v>56.548518749999999</v>
      </c>
      <c r="C719" s="3">
        <f t="shared" si="234"/>
        <v>1900.0302300000001</v>
      </c>
      <c r="D719" s="3">
        <f t="shared" si="228"/>
        <v>2335.2688760145788</v>
      </c>
      <c r="E719" s="3">
        <f t="shared" si="226"/>
        <v>6.9974993555625673</v>
      </c>
      <c r="F719" s="3">
        <f t="shared" si="229"/>
        <v>47.216478224974985</v>
      </c>
      <c r="J719" s="3">
        <f>0.027</f>
        <v>2.7E-2</v>
      </c>
      <c r="K719" s="3"/>
      <c r="L719" s="3"/>
      <c r="T719" s="3">
        <f>($F$38)*($F$39)*($C$19/2)</f>
        <v>24.586312499999998</v>
      </c>
      <c r="U719" s="3">
        <f t="shared" si="231"/>
        <v>826.1001</v>
      </c>
      <c r="V719" s="3">
        <f t="shared" si="232"/>
        <v>1261.3387460145786</v>
      </c>
      <c r="W719" s="3">
        <f t="shared" si="230"/>
        <v>3.7793761269801829</v>
      </c>
      <c r="X719" s="3">
        <f t="shared" si="233"/>
        <v>12.649730588743759</v>
      </c>
      <c r="AB719" s="3">
        <f>0.003</f>
        <v>3.0000000000000001E-3</v>
      </c>
      <c r="AC719" s="3">
        <v>5</v>
      </c>
      <c r="AD719" s="3" t="s">
        <v>33</v>
      </c>
    </row>
    <row r="720" spans="2:30">
      <c r="B720" s="3">
        <f>($F$38)*($F$39)*($C$33/2)</f>
        <v>59.007149999999996</v>
      </c>
      <c r="C720" s="3">
        <f t="shared" si="234"/>
        <v>1982.6402399999999</v>
      </c>
      <c r="D720" s="3">
        <f t="shared" si="228"/>
        <v>2417.8788860145787</v>
      </c>
      <c r="E720" s="3">
        <f t="shared" si="226"/>
        <v>7.2450355162485067</v>
      </c>
      <c r="F720" s="3">
        <f t="shared" si="229"/>
        <v>50.616125021719981</v>
      </c>
      <c r="J720" s="3">
        <f>0.029</f>
        <v>2.9000000000000001E-2</v>
      </c>
      <c r="K720" s="3"/>
      <c r="L720" s="3"/>
      <c r="T720" s="3">
        <f>($F$38)*($F$39)*($C$20/2)</f>
        <v>27.044943749999998</v>
      </c>
      <c r="U720" s="3">
        <f t="shared" si="231"/>
        <v>908.71010999999999</v>
      </c>
      <c r="V720" s="3">
        <f t="shared" si="232"/>
        <v>1343.9487560145787</v>
      </c>
      <c r="W720" s="3">
        <f t="shared" si="230"/>
        <v>4.0269022579502263</v>
      </c>
      <c r="X720" s="3">
        <f t="shared" si="233"/>
        <v>14.360951716288398</v>
      </c>
      <c r="AB720" s="3">
        <f>0.004</f>
        <v>4.0000000000000001E-3</v>
      </c>
      <c r="AC720" s="3">
        <v>5.5</v>
      </c>
      <c r="AD720" s="3" t="s">
        <v>33</v>
      </c>
    </row>
    <row r="721" spans="2:30">
      <c r="B721" s="3">
        <f>($F$38)*($F$39)*($C$34/2)</f>
        <v>0</v>
      </c>
      <c r="C721" s="3">
        <f>$C$46*B721</f>
        <v>0</v>
      </c>
      <c r="D721" s="3">
        <f t="shared" si="228"/>
        <v>435.23864601457871</v>
      </c>
      <c r="E721" s="3">
        <f t="shared" si="226"/>
        <v>1.304167659785967</v>
      </c>
      <c r="F721" s="3">
        <f t="shared" si="229"/>
        <v>1.6401165450515629</v>
      </c>
      <c r="J721" s="29"/>
      <c r="K721" s="4"/>
      <c r="L721" s="30"/>
      <c r="T721" s="3">
        <f>($F$38)*($F$39)*($C$21/2)</f>
        <v>29.503574999999998</v>
      </c>
      <c r="U721" s="3">
        <f t="shared" si="231"/>
        <v>991.32011999999997</v>
      </c>
      <c r="V721" s="3">
        <f t="shared" si="232"/>
        <v>1426.5587660145786</v>
      </c>
      <c r="W721" s="3">
        <f t="shared" si="230"/>
        <v>4.2744283889202688</v>
      </c>
      <c r="X721" s="3">
        <f t="shared" si="233"/>
        <v>16.180693684123071</v>
      </c>
      <c r="AB721" s="3">
        <f>0.005</f>
        <v>5.0000000000000001E-3</v>
      </c>
      <c r="AC721" s="3">
        <v>6</v>
      </c>
      <c r="AD721" s="3" t="s">
        <v>33</v>
      </c>
    </row>
    <row r="722" spans="2:30">
      <c r="B722" s="29"/>
      <c r="C722" s="4"/>
      <c r="D722" s="4"/>
      <c r="E722" s="4"/>
      <c r="F722" s="30"/>
      <c r="J722" s="29"/>
      <c r="K722" s="4"/>
      <c r="L722" s="30"/>
      <c r="T722" s="3">
        <f>($F$38)*($F$39)*($C$22/2)</f>
        <v>31.962206249999998</v>
      </c>
      <c r="U722" s="3">
        <f t="shared" si="231"/>
        <v>1073.93013</v>
      </c>
      <c r="V722" s="3">
        <f t="shared" si="232"/>
        <v>1509.1687760145787</v>
      </c>
      <c r="W722" s="3">
        <f t="shared" si="230"/>
        <v>4.5219545198903122</v>
      </c>
      <c r="X722" s="3">
        <f t="shared" si="233"/>
        <v>18.108956492247792</v>
      </c>
      <c r="AB722" s="3">
        <f>0.006</f>
        <v>6.0000000000000001E-3</v>
      </c>
      <c r="AC722" s="3">
        <v>6.5</v>
      </c>
      <c r="AD722" s="3" t="s">
        <v>33</v>
      </c>
    </row>
    <row r="723" spans="2:30">
      <c r="B723" s="29" t="s">
        <v>162</v>
      </c>
      <c r="C723" s="4"/>
      <c r="D723" s="4"/>
      <c r="E723" s="4"/>
      <c r="F723" s="30"/>
      <c r="J723" s="29" t="s">
        <v>163</v>
      </c>
      <c r="K723" s="4"/>
      <c r="L723" s="30"/>
      <c r="T723" s="3">
        <f>($F$38)*($F$39)*($C$23/2)</f>
        <v>34.420837499999998</v>
      </c>
      <c r="U723" s="3">
        <f>$C$46*T723</f>
        <v>1156.5401400000001</v>
      </c>
      <c r="V723" s="3">
        <f t="shared" si="232"/>
        <v>1591.7787860145788</v>
      </c>
      <c r="W723" s="3">
        <f t="shared" si="230"/>
        <v>4.7694806508603547</v>
      </c>
      <c r="X723" s="3">
        <f t="shared" si="233"/>
        <v>20.145740140662539</v>
      </c>
      <c r="AB723" s="3">
        <f>0.007</f>
        <v>7.0000000000000001E-3</v>
      </c>
      <c r="AC723" s="3">
        <v>7</v>
      </c>
      <c r="AD723" s="3" t="s">
        <v>33</v>
      </c>
    </row>
    <row r="724" spans="2:30">
      <c r="B724" s="45" t="s">
        <v>75</v>
      </c>
      <c r="C724" s="45" t="s">
        <v>76</v>
      </c>
      <c r="D724" s="45" t="s">
        <v>77</v>
      </c>
      <c r="E724" s="45" t="s">
        <v>78</v>
      </c>
      <c r="F724" s="45" t="s">
        <v>32</v>
      </c>
      <c r="J724" s="45" t="s">
        <v>32</v>
      </c>
      <c r="K724" s="3"/>
      <c r="L724" s="3"/>
      <c r="T724" s="3">
        <f>($F$38)*($F$39)*($C$24/2)</f>
        <v>36.879468750000001</v>
      </c>
      <c r="U724" s="3">
        <f t="shared" ref="U724:U733" si="235">$C$46*T724</f>
        <v>1239.1501500000002</v>
      </c>
      <c r="V724" s="3">
        <f t="shared" si="232"/>
        <v>1674.3887960145789</v>
      </c>
      <c r="W724" s="3">
        <f t="shared" si="230"/>
        <v>5.0170067818303981</v>
      </c>
      <c r="X724" s="3">
        <f t="shared" si="233"/>
        <v>22.291044629367349</v>
      </c>
      <c r="AB724" s="3">
        <f>0.008</f>
        <v>8.0000000000000002E-3</v>
      </c>
      <c r="AC724" s="3">
        <v>7.5</v>
      </c>
      <c r="AD724" s="3" t="s">
        <v>33</v>
      </c>
    </row>
    <row r="725" spans="2:30">
      <c r="B725" s="3">
        <f>($F$38)*($F$39)*($C$9/2)</f>
        <v>0</v>
      </c>
      <c r="C725" s="3">
        <f>$C$46*B725</f>
        <v>0</v>
      </c>
      <c r="D725" s="3">
        <f>C725+($C$50*$C$52)</f>
        <v>435.23864601457871</v>
      </c>
      <c r="E725" s="3">
        <f t="shared" ref="E725:E750" si="236">(D725)/($C$48+((($F$40)*($C$52))*$F$32)-(($C$49+$C$50)*$F$32^2))</f>
        <v>1.304114817279755</v>
      </c>
      <c r="F725" s="3">
        <f>($F$32*E725)*($F$32*E725*$C$52)/2</f>
        <v>1.5061655292497045</v>
      </c>
      <c r="J725" s="3">
        <v>0</v>
      </c>
      <c r="K725" s="3"/>
      <c r="L725" s="3"/>
      <c r="T725" s="3">
        <f>($F$38)*($F$39)*($C$25/2)</f>
        <v>39.338099999999997</v>
      </c>
      <c r="U725" s="3">
        <f t="shared" si="235"/>
        <v>1321.76016</v>
      </c>
      <c r="V725" s="3">
        <f t="shared" si="232"/>
        <v>1756.9988060145788</v>
      </c>
      <c r="W725" s="3">
        <f t="shared" si="230"/>
        <v>5.2645329128004406</v>
      </c>
      <c r="X725" s="3">
        <f t="shared" si="233"/>
        <v>24.544869958362185</v>
      </c>
      <c r="AB725" s="3">
        <f>0.009</f>
        <v>8.9999999999999993E-3</v>
      </c>
      <c r="AC725" s="3">
        <v>8</v>
      </c>
      <c r="AD725" s="3" t="s">
        <v>33</v>
      </c>
    </row>
    <row r="726" spans="2:30">
      <c r="B726" s="3">
        <f>($F$38)*($F$39)*($C$10/2)</f>
        <v>2.4586312499999998</v>
      </c>
      <c r="C726" s="3">
        <f t="shared" ref="C726:C738" si="237">$C$46*B726</f>
        <v>82.610010000000003</v>
      </c>
      <c r="D726" s="3">
        <f t="shared" ref="D726:D750" si="238">C726+($C$50*$C$52)</f>
        <v>517.84865601457875</v>
      </c>
      <c r="E726" s="3">
        <f t="shared" si="236"/>
        <v>1.5516409482497979</v>
      </c>
      <c r="F726" s="3">
        <f t="shared" ref="F726:F750" si="239">($F$32*E726)*($F$32*E726*$C$52)/2</f>
        <v>2.1321782538939251</v>
      </c>
      <c r="J726" s="3">
        <f>3.335*10^-5</f>
        <v>3.3350000000000004E-5</v>
      </c>
      <c r="K726" s="3"/>
      <c r="L726" s="3"/>
      <c r="T726" s="3">
        <f>($F$38)*($F$39)*($C$26/2)</f>
        <v>41.796731249999993</v>
      </c>
      <c r="U726" s="3">
        <f t="shared" si="235"/>
        <v>1404.3701699999999</v>
      </c>
      <c r="V726" s="3">
        <f t="shared" si="232"/>
        <v>1839.6088160145787</v>
      </c>
      <c r="W726" s="3">
        <f t="shared" si="230"/>
        <v>5.5120590437704831</v>
      </c>
      <c r="X726" s="3">
        <f t="shared" si="233"/>
        <v>26.907216127647064</v>
      </c>
      <c r="AB726" s="3">
        <f>0.01</f>
        <v>0.01</v>
      </c>
      <c r="AC726" s="3">
        <v>8.5</v>
      </c>
      <c r="AD726" s="3" t="s">
        <v>33</v>
      </c>
    </row>
    <row r="727" spans="2:30">
      <c r="B727" s="3">
        <f>($F$38)*($F$39)*($C$11/2)</f>
        <v>4.9172624999999996</v>
      </c>
      <c r="C727" s="3">
        <f t="shared" si="237"/>
        <v>165.22002000000001</v>
      </c>
      <c r="D727" s="3">
        <f t="shared" si="238"/>
        <v>600.45866601457874</v>
      </c>
      <c r="E727" s="3">
        <f t="shared" si="236"/>
        <v>1.7991670792198406</v>
      </c>
      <c r="F727" s="3">
        <f t="shared" si="239"/>
        <v>2.8667118188281857</v>
      </c>
      <c r="J727" s="3">
        <f>1.334*10^-4</f>
        <v>1.3340000000000002E-4</v>
      </c>
      <c r="K727" s="3"/>
      <c r="L727" s="3"/>
      <c r="T727" s="3">
        <f>($F$38)*($F$39)*($C$27/2)</f>
        <v>44.255362499999997</v>
      </c>
      <c r="U727" s="3">
        <f t="shared" si="235"/>
        <v>1486.98018</v>
      </c>
      <c r="V727" s="3">
        <f t="shared" si="232"/>
        <v>1922.2188260145788</v>
      </c>
      <c r="W727" s="3">
        <f t="shared" si="230"/>
        <v>5.7595851747405264</v>
      </c>
      <c r="X727" s="3">
        <f t="shared" si="233"/>
        <v>29.378083137221985</v>
      </c>
      <c r="AB727" s="3">
        <f>0.011</f>
        <v>1.0999999999999999E-2</v>
      </c>
      <c r="AC727" s="3">
        <v>9</v>
      </c>
      <c r="AD727" s="3" t="s">
        <v>33</v>
      </c>
    </row>
    <row r="728" spans="2:30">
      <c r="B728" s="3">
        <f>($F$38)*($F$39)*($C$12/2)</f>
        <v>7.3758937499999995</v>
      </c>
      <c r="C728" s="3">
        <f t="shared" si="237"/>
        <v>247.83002999999999</v>
      </c>
      <c r="D728" s="3">
        <f t="shared" si="238"/>
        <v>683.06867601457873</v>
      </c>
      <c r="E728" s="3">
        <f t="shared" si="236"/>
        <v>2.0466932101898836</v>
      </c>
      <c r="F728" s="3">
        <f t="shared" si="239"/>
        <v>3.70976622405249</v>
      </c>
      <c r="J728" s="3">
        <f>3.001*10^-4</f>
        <v>3.0010000000000003E-4</v>
      </c>
      <c r="K728" s="3"/>
      <c r="L728" s="3"/>
      <c r="T728" s="3">
        <f>($F$38)*($F$39)*($C$28/2)</f>
        <v>46.71399375</v>
      </c>
      <c r="U728" s="3">
        <f t="shared" si="235"/>
        <v>1569.5901900000001</v>
      </c>
      <c r="V728" s="3">
        <f t="shared" si="232"/>
        <v>2004.8288360145789</v>
      </c>
      <c r="W728" s="3">
        <f t="shared" si="230"/>
        <v>6.0071113057105689</v>
      </c>
      <c r="X728" s="3">
        <f t="shared" si="233"/>
        <v>31.957470987086943</v>
      </c>
      <c r="AB728" s="3">
        <f>0.012</f>
        <v>1.2E-2</v>
      </c>
      <c r="AC728" s="3">
        <v>9.5</v>
      </c>
      <c r="AD728" s="3" t="s">
        <v>33</v>
      </c>
    </row>
    <row r="729" spans="2:30">
      <c r="B729" s="3">
        <f>($F$38)*($F$39)*($C$13/2)</f>
        <v>9.8345249999999993</v>
      </c>
      <c r="C729" s="3">
        <f t="shared" si="237"/>
        <v>330.44004000000001</v>
      </c>
      <c r="D729" s="3">
        <f t="shared" si="238"/>
        <v>765.67868601457872</v>
      </c>
      <c r="E729" s="3">
        <f t="shared" si="236"/>
        <v>2.2942193411599261</v>
      </c>
      <c r="F729" s="3">
        <f t="shared" si="239"/>
        <v>4.6613414695668318</v>
      </c>
      <c r="J729" s="3">
        <f>5.336*10^-4</f>
        <v>5.3360000000000007E-4</v>
      </c>
      <c r="K729" s="3"/>
      <c r="L729" s="3"/>
      <c r="T729" s="3">
        <f>($F$38)*($F$39)*($C$29/2)</f>
        <v>49.172624999999996</v>
      </c>
      <c r="U729" s="3">
        <f t="shared" si="235"/>
        <v>1652.2002</v>
      </c>
      <c r="V729" s="3">
        <f t="shared" si="232"/>
        <v>2087.4388460145788</v>
      </c>
      <c r="W729" s="3">
        <f t="shared" si="230"/>
        <v>6.2546374366806115</v>
      </c>
      <c r="X729" s="3">
        <f t="shared" si="233"/>
        <v>34.645379677241948</v>
      </c>
      <c r="AB729" s="3">
        <f>0.013</f>
        <v>1.2999999999999999E-2</v>
      </c>
      <c r="AC729" s="3">
        <v>10</v>
      </c>
      <c r="AD729" s="3" t="s">
        <v>33</v>
      </c>
    </row>
    <row r="730" spans="2:30">
      <c r="B730" s="3">
        <f>($F$38)*($F$39)*($C$14/2)</f>
        <v>12.293156249999999</v>
      </c>
      <c r="C730" s="3">
        <f t="shared" si="237"/>
        <v>413.05005</v>
      </c>
      <c r="D730" s="3">
        <f t="shared" si="238"/>
        <v>848.2886960145787</v>
      </c>
      <c r="E730" s="3">
        <f t="shared" si="236"/>
        <v>2.541745472129969</v>
      </c>
      <c r="F730" s="3">
        <f t="shared" si="239"/>
        <v>5.7214375553712191</v>
      </c>
      <c r="J730" s="3">
        <f>8.337*10^-4</f>
        <v>8.3370000000000004E-4</v>
      </c>
      <c r="K730" s="3"/>
      <c r="L730" s="3"/>
      <c r="T730" s="3">
        <f>($F$38)*($F$39)*($C$30/2)</f>
        <v>51.631256249999993</v>
      </c>
      <c r="U730" s="3">
        <f t="shared" si="235"/>
        <v>1734.8102099999999</v>
      </c>
      <c r="V730" s="3">
        <f t="shared" si="232"/>
        <v>2170.0488560145786</v>
      </c>
      <c r="W730" s="3">
        <f t="shared" si="230"/>
        <v>6.502163567650654</v>
      </c>
      <c r="X730" s="3">
        <f t="shared" si="233"/>
        <v>37.441809207686994</v>
      </c>
      <c r="AB730" s="3">
        <f>0.015</f>
        <v>1.4999999999999999E-2</v>
      </c>
      <c r="AC730" s="3">
        <v>10.5</v>
      </c>
      <c r="AD730" s="3" t="s">
        <v>33</v>
      </c>
    </row>
    <row r="731" spans="2:30">
      <c r="B731" s="3">
        <f>($F$38)*($F$39)*($C$15/2)</f>
        <v>14.751787499999999</v>
      </c>
      <c r="C731" s="3">
        <f t="shared" si="237"/>
        <v>495.66005999999999</v>
      </c>
      <c r="D731" s="3">
        <f t="shared" si="238"/>
        <v>930.89870601457869</v>
      </c>
      <c r="E731" s="3">
        <f t="shared" si="236"/>
        <v>2.789271603100012</v>
      </c>
      <c r="F731" s="3">
        <f t="shared" si="239"/>
        <v>6.8900544814656435</v>
      </c>
      <c r="J731" s="3">
        <f>0.001</f>
        <v>1E-3</v>
      </c>
      <c r="K731" s="3"/>
      <c r="L731" s="3"/>
      <c r="T731" s="3">
        <f>($F$38)*($F$39)*($C$31/2)</f>
        <v>54.089887499999996</v>
      </c>
      <c r="U731" s="3">
        <f t="shared" si="235"/>
        <v>1817.42022</v>
      </c>
      <c r="V731" s="3">
        <f t="shared" si="232"/>
        <v>2252.6588660145785</v>
      </c>
      <c r="W731" s="3">
        <f t="shared" si="230"/>
        <v>6.7496896986206965</v>
      </c>
      <c r="X731" s="3">
        <f t="shared" si="233"/>
        <v>40.346759578422073</v>
      </c>
      <c r="AB731" s="3">
        <f>0.016</f>
        <v>1.6E-2</v>
      </c>
      <c r="AC731" s="3">
        <v>11</v>
      </c>
      <c r="AD731" s="3" t="s">
        <v>33</v>
      </c>
    </row>
    <row r="732" spans="2:30">
      <c r="B732" s="3">
        <f>($F$38)*($F$39)*($C$16/2)</f>
        <v>17.210418749999999</v>
      </c>
      <c r="C732" s="3">
        <f t="shared" si="237"/>
        <v>578.27007000000003</v>
      </c>
      <c r="D732" s="3">
        <f t="shared" si="238"/>
        <v>1013.5087160145788</v>
      </c>
      <c r="E732" s="3">
        <f t="shared" si="236"/>
        <v>3.0367977340700549</v>
      </c>
      <c r="F732" s="3">
        <f t="shared" si="239"/>
        <v>8.1671922478501138</v>
      </c>
      <c r="J732" s="3">
        <f>0.002</f>
        <v>2E-3</v>
      </c>
      <c r="K732" s="3"/>
      <c r="L732" s="3"/>
      <c r="T732" s="3">
        <f>($F$38)*($F$39)*($C$32/2)</f>
        <v>56.548518749999999</v>
      </c>
      <c r="U732" s="3">
        <f t="shared" si="235"/>
        <v>1900.0302300000001</v>
      </c>
      <c r="V732" s="3">
        <f t="shared" si="232"/>
        <v>2335.2688760145788</v>
      </c>
      <c r="W732" s="3">
        <f t="shared" si="230"/>
        <v>6.9972158295907407</v>
      </c>
      <c r="X732" s="3">
        <f t="shared" si="233"/>
        <v>43.360230789447215</v>
      </c>
      <c r="AB732" s="3">
        <f>0.018</f>
        <v>1.7999999999999999E-2</v>
      </c>
      <c r="AC732" s="3">
        <v>11.5</v>
      </c>
      <c r="AD732" s="3" t="s">
        <v>33</v>
      </c>
    </row>
    <row r="733" spans="2:30">
      <c r="B733" s="3">
        <f>($F$38)*($F$39)*($C$17/2)</f>
        <v>19.669049999999999</v>
      </c>
      <c r="C733" s="3">
        <f t="shared" si="237"/>
        <v>660.88008000000002</v>
      </c>
      <c r="D733" s="3">
        <f t="shared" si="238"/>
        <v>1096.1187260145787</v>
      </c>
      <c r="E733" s="3">
        <f t="shared" si="236"/>
        <v>3.2843238650400974</v>
      </c>
      <c r="F733" s="3">
        <f t="shared" si="239"/>
        <v>9.5528508545246194</v>
      </c>
      <c r="J733" s="3">
        <f>0.002</f>
        <v>2E-3</v>
      </c>
      <c r="K733" s="3"/>
      <c r="L733" s="3"/>
      <c r="T733" s="3">
        <f>($F$38)*($F$39)*($C$33/2)</f>
        <v>59.007149999999996</v>
      </c>
      <c r="U733" s="3">
        <f t="shared" si="235"/>
        <v>1982.6402399999999</v>
      </c>
      <c r="V733" s="3">
        <f t="shared" si="232"/>
        <v>2417.8788860145787</v>
      </c>
      <c r="W733" s="3">
        <f t="shared" si="230"/>
        <v>7.2447419605607832</v>
      </c>
      <c r="X733" s="3">
        <f t="shared" si="233"/>
        <v>46.482222840762383</v>
      </c>
      <c r="AB733" s="3">
        <f>0.019</f>
        <v>1.9E-2</v>
      </c>
      <c r="AC733" s="3">
        <v>12</v>
      </c>
      <c r="AD733" s="3" t="s">
        <v>33</v>
      </c>
    </row>
    <row r="734" spans="2:30">
      <c r="B734" s="3">
        <f>($F$38)*($F$39)*($C$18/2)</f>
        <v>22.127681249999998</v>
      </c>
      <c r="C734" s="3">
        <f t="shared" si="237"/>
        <v>743.49009000000001</v>
      </c>
      <c r="D734" s="3">
        <f t="shared" si="238"/>
        <v>1178.7287360145788</v>
      </c>
      <c r="E734" s="3">
        <f t="shared" si="236"/>
        <v>3.5318499960101408</v>
      </c>
      <c r="F734" s="3">
        <f t="shared" si="239"/>
        <v>11.047030301489174</v>
      </c>
      <c r="J734" s="3">
        <f>0.003</f>
        <v>3.0000000000000001E-3</v>
      </c>
      <c r="K734" s="3"/>
      <c r="L734" s="3"/>
      <c r="T734" s="3"/>
      <c r="U734" s="3"/>
      <c r="V734" s="3"/>
      <c r="W734" s="3"/>
      <c r="X734" s="3"/>
      <c r="AB734" s="29"/>
      <c r="AC734" s="4"/>
      <c r="AD734" s="30"/>
    </row>
    <row r="735" spans="2:30">
      <c r="B735" s="3">
        <f>($F$38)*($F$39)*($C$19/2)</f>
        <v>24.586312499999998</v>
      </c>
      <c r="C735" s="3">
        <f t="shared" si="237"/>
        <v>826.1001</v>
      </c>
      <c r="D735" s="3">
        <f t="shared" si="238"/>
        <v>1261.3387460145786</v>
      </c>
      <c r="E735" s="3">
        <f t="shared" si="236"/>
        <v>3.7793761269801829</v>
      </c>
      <c r="F735" s="3">
        <f t="shared" si="239"/>
        <v>12.649730588743759</v>
      </c>
      <c r="J735" s="3">
        <f>0.003</f>
        <v>3.0000000000000001E-3</v>
      </c>
      <c r="K735" s="3"/>
      <c r="L735" s="3"/>
      <c r="T735" s="29"/>
      <c r="U735" s="4"/>
      <c r="V735" s="4"/>
      <c r="W735" s="4"/>
      <c r="X735" s="30"/>
      <c r="AB735" s="29"/>
      <c r="AC735" s="4"/>
      <c r="AD735" s="30"/>
    </row>
    <row r="736" spans="2:30">
      <c r="B736" s="3">
        <f>($F$38)*($F$39)*($C$20/2)</f>
        <v>27.044943749999998</v>
      </c>
      <c r="C736" s="3">
        <f t="shared" si="237"/>
        <v>908.71010999999999</v>
      </c>
      <c r="D736" s="3">
        <f t="shared" si="238"/>
        <v>1343.9487560145787</v>
      </c>
      <c r="E736" s="3">
        <f t="shared" si="236"/>
        <v>4.0269022579502263</v>
      </c>
      <c r="F736" s="3">
        <f t="shared" si="239"/>
        <v>14.360951716288398</v>
      </c>
      <c r="J736" s="3">
        <f>0.004</f>
        <v>4.0000000000000001E-3</v>
      </c>
      <c r="K736" s="3">
        <v>5.5</v>
      </c>
      <c r="L736" s="3" t="s">
        <v>33</v>
      </c>
      <c r="T736" s="29" t="s">
        <v>164</v>
      </c>
      <c r="U736" s="4"/>
      <c r="V736" s="4"/>
      <c r="W736" s="4"/>
      <c r="X736" s="30"/>
      <c r="AB736" s="29" t="s">
        <v>165</v>
      </c>
      <c r="AC736" s="4"/>
      <c r="AD736" s="30"/>
    </row>
    <row r="737" spans="2:30">
      <c r="B737" s="3">
        <f>($F$38)*($F$39)*($C$21/2)</f>
        <v>29.503574999999998</v>
      </c>
      <c r="C737" s="3">
        <f t="shared" si="237"/>
        <v>991.32011999999997</v>
      </c>
      <c r="D737" s="3">
        <f t="shared" si="238"/>
        <v>1426.5587660145786</v>
      </c>
      <c r="E737" s="3">
        <f t="shared" si="236"/>
        <v>4.2744283889202688</v>
      </c>
      <c r="F737" s="3">
        <f t="shared" si="239"/>
        <v>16.180693684123071</v>
      </c>
      <c r="J737" s="3">
        <f>0.005</f>
        <v>5.0000000000000001E-3</v>
      </c>
      <c r="K737" s="3"/>
      <c r="L737" s="3"/>
      <c r="T737" s="45" t="s">
        <v>75</v>
      </c>
      <c r="U737" s="45" t="s">
        <v>76</v>
      </c>
      <c r="V737" s="45" t="s">
        <v>77</v>
      </c>
      <c r="W737" s="45" t="s">
        <v>78</v>
      </c>
      <c r="X737" s="45" t="s">
        <v>32</v>
      </c>
      <c r="AB737" s="45" t="s">
        <v>32</v>
      </c>
      <c r="AC737" s="3"/>
      <c r="AD737" s="3"/>
    </row>
    <row r="738" spans="2:30">
      <c r="B738" s="3">
        <f>($F$38)*($F$39)*($C$22/2)</f>
        <v>31.962206249999998</v>
      </c>
      <c r="C738" s="3">
        <f t="shared" si="237"/>
        <v>1073.93013</v>
      </c>
      <c r="D738" s="3">
        <f t="shared" si="238"/>
        <v>1509.1687760145787</v>
      </c>
      <c r="E738" s="3">
        <f t="shared" si="236"/>
        <v>4.5219545198903122</v>
      </c>
      <c r="F738" s="3">
        <f t="shared" si="239"/>
        <v>18.108956492247792</v>
      </c>
      <c r="J738" s="3">
        <f>0.006</f>
        <v>6.0000000000000001E-3</v>
      </c>
      <c r="K738" s="3"/>
      <c r="L738" s="3"/>
      <c r="T738" s="3">
        <f>($F$38)*($F$39)*($C$9/2)</f>
        <v>0</v>
      </c>
      <c r="U738" s="3">
        <f>$C$46*T738</f>
        <v>0</v>
      </c>
      <c r="V738" s="3">
        <f>U738+($C$50*$C$52)</f>
        <v>435.23864601457871</v>
      </c>
      <c r="W738" s="3">
        <f t="shared" ref="W738:W762" si="240">(V738)/($C$48+((($F$40)*($C$52))*$F$33)-(($C$49+$C$50)*$F$33^2))</f>
        <v>1.3041113886822253</v>
      </c>
      <c r="X738" s="3">
        <f>($F$33*W738)*($F$33*W738*$C$52)/2</f>
        <v>1.388074853060558</v>
      </c>
      <c r="AB738" s="3">
        <v>0</v>
      </c>
      <c r="AC738" s="3">
        <v>0</v>
      </c>
      <c r="AD738" s="3" t="s">
        <v>33</v>
      </c>
    </row>
    <row r="739" spans="2:30">
      <c r="B739" s="3">
        <f>($F$38)*($F$39)*($C$23/2)</f>
        <v>34.420837499999998</v>
      </c>
      <c r="C739" s="3">
        <f>$C$46*B739</f>
        <v>1156.5401400000001</v>
      </c>
      <c r="D739" s="3">
        <f t="shared" si="238"/>
        <v>1591.7787860145788</v>
      </c>
      <c r="E739" s="3">
        <f t="shared" si="236"/>
        <v>4.7694806508603547</v>
      </c>
      <c r="F739" s="3">
        <f t="shared" si="239"/>
        <v>20.145740140662539</v>
      </c>
      <c r="J739" s="3">
        <f>0.007</f>
        <v>7.0000000000000001E-3</v>
      </c>
      <c r="K739" s="3"/>
      <c r="L739" s="3"/>
      <c r="T739" s="3">
        <f>($F$38)*($F$39)*($C$10/2)</f>
        <v>2.4586312499999998</v>
      </c>
      <c r="U739" s="3">
        <f t="shared" ref="U739:U751" si="241">$C$46*T739</f>
        <v>82.610010000000003</v>
      </c>
      <c r="V739" s="3">
        <f t="shared" ref="V739:V762" si="242">U739+($C$50*$C$52)</f>
        <v>517.84865601457875</v>
      </c>
      <c r="W739" s="3">
        <f t="shared" si="240"/>
        <v>1.5516368688909472</v>
      </c>
      <c r="X739" s="3">
        <f t="shared" ref="X739:X762" si="243">($F$33*W739)*($F$33*W739*$C$52)/2</f>
        <v>1.9650051465107303</v>
      </c>
      <c r="AB739" s="3">
        <f>2.218*10^-5</f>
        <v>2.2180000000000001E-5</v>
      </c>
      <c r="AC739" s="3">
        <v>0.5</v>
      </c>
      <c r="AD739" s="3" t="s">
        <v>33</v>
      </c>
    </row>
    <row r="740" spans="2:30">
      <c r="B740" s="3">
        <f>($F$38)*($F$39)*($C$24/2)</f>
        <v>36.879468750000001</v>
      </c>
      <c r="C740" s="3">
        <f t="shared" ref="C740:C749" si="244">$C$46*B740</f>
        <v>1239.1501500000002</v>
      </c>
      <c r="D740" s="3">
        <f t="shared" si="238"/>
        <v>1674.3887960145789</v>
      </c>
      <c r="E740" s="3">
        <f t="shared" si="236"/>
        <v>5.0170067818303981</v>
      </c>
      <c r="F740" s="3">
        <f t="shared" si="239"/>
        <v>22.291044629367349</v>
      </c>
      <c r="J740" s="3">
        <f>0.008</f>
        <v>8.0000000000000002E-3</v>
      </c>
      <c r="K740" s="3"/>
      <c r="L740" s="3"/>
      <c r="T740" s="3">
        <f>($F$38)*($F$39)*($C$11/2)</f>
        <v>4.9172624999999996</v>
      </c>
      <c r="U740" s="3">
        <f t="shared" si="241"/>
        <v>165.22002000000001</v>
      </c>
      <c r="V740" s="3">
        <f t="shared" si="242"/>
        <v>600.45866601457874</v>
      </c>
      <c r="W740" s="3">
        <f t="shared" si="240"/>
        <v>1.7991623490996691</v>
      </c>
      <c r="X740" s="3">
        <f t="shared" si="243"/>
        <v>2.6419477204933393</v>
      </c>
      <c r="AB740" s="3">
        <f>8.872*10^-5</f>
        <v>8.8720000000000004E-5</v>
      </c>
      <c r="AC740" s="3">
        <v>1</v>
      </c>
      <c r="AD740" s="3" t="s">
        <v>33</v>
      </c>
    </row>
    <row r="741" spans="2:30">
      <c r="B741" s="3">
        <f>($F$38)*($F$39)*($C$25/2)</f>
        <v>39.338099999999997</v>
      </c>
      <c r="C741" s="3">
        <f t="shared" si="244"/>
        <v>1321.76016</v>
      </c>
      <c r="D741" s="3">
        <f t="shared" si="238"/>
        <v>1756.9988060145788</v>
      </c>
      <c r="E741" s="3">
        <f t="shared" si="236"/>
        <v>5.2645329128004406</v>
      </c>
      <c r="F741" s="3">
        <f t="shared" si="239"/>
        <v>24.544869958362185</v>
      </c>
      <c r="J741" s="3">
        <f>0.009</f>
        <v>8.9999999999999993E-3</v>
      </c>
      <c r="K741" s="3"/>
      <c r="L741" s="3"/>
      <c r="T741" s="3">
        <f>($F$38)*($F$39)*($C$12/2)</f>
        <v>7.3758937499999995</v>
      </c>
      <c r="U741" s="3">
        <f t="shared" si="241"/>
        <v>247.83002999999999</v>
      </c>
      <c r="V741" s="3">
        <f t="shared" si="242"/>
        <v>683.06867601457873</v>
      </c>
      <c r="W741" s="3">
        <f t="shared" si="240"/>
        <v>2.0466878293083908</v>
      </c>
      <c r="X741" s="3">
        <f t="shared" si="243"/>
        <v>3.4189025750083837</v>
      </c>
      <c r="AB741" s="3">
        <f>1.996*10^-4</f>
        <v>1.996E-4</v>
      </c>
      <c r="AC741" s="3">
        <v>1.5</v>
      </c>
      <c r="AD741" s="3" t="s">
        <v>33</v>
      </c>
    </row>
    <row r="742" spans="2:30">
      <c r="B742" s="3">
        <f>($F$38)*($F$39)*($C$26/2)</f>
        <v>41.796731249999993</v>
      </c>
      <c r="C742" s="3">
        <f t="shared" si="244"/>
        <v>1404.3701699999999</v>
      </c>
      <c r="D742" s="3">
        <f t="shared" si="238"/>
        <v>1839.6088160145787</v>
      </c>
      <c r="E742" s="3">
        <f t="shared" si="236"/>
        <v>5.5120590437704831</v>
      </c>
      <c r="F742" s="3">
        <f t="shared" si="239"/>
        <v>26.907216127647064</v>
      </c>
      <c r="J742" s="3">
        <f>0.01</f>
        <v>0.01</v>
      </c>
      <c r="K742" s="3"/>
      <c r="L742" s="3"/>
      <c r="T742" s="3">
        <f>($F$38)*($F$39)*($C$13/2)</f>
        <v>9.8345249999999993</v>
      </c>
      <c r="U742" s="3">
        <f t="shared" si="241"/>
        <v>330.44004000000001</v>
      </c>
      <c r="V742" s="3">
        <f t="shared" si="242"/>
        <v>765.67868601457872</v>
      </c>
      <c r="W742" s="3">
        <f t="shared" si="240"/>
        <v>2.2942133095171129</v>
      </c>
      <c r="X742" s="3">
        <f t="shared" si="243"/>
        <v>4.2958697100558663</v>
      </c>
      <c r="AB742" s="3">
        <f>3.549*10^-4</f>
        <v>3.5490000000000001E-4</v>
      </c>
      <c r="AC742" s="3">
        <v>2</v>
      </c>
      <c r="AD742" s="3" t="s">
        <v>33</v>
      </c>
    </row>
    <row r="743" spans="2:30">
      <c r="B743" s="3">
        <f>($F$38)*($F$39)*($C$27/2)</f>
        <v>44.255362499999997</v>
      </c>
      <c r="C743" s="3">
        <f t="shared" si="244"/>
        <v>1486.98018</v>
      </c>
      <c r="D743" s="3">
        <f t="shared" si="238"/>
        <v>1922.2188260145788</v>
      </c>
      <c r="E743" s="3">
        <f t="shared" si="236"/>
        <v>5.7595851747405264</v>
      </c>
      <c r="F743" s="3">
        <f t="shared" si="239"/>
        <v>29.378083137221985</v>
      </c>
      <c r="J743" s="3">
        <f>0.011</f>
        <v>1.0999999999999999E-2</v>
      </c>
      <c r="K743" s="3"/>
      <c r="L743" s="3"/>
      <c r="T743" s="3">
        <f>($F$38)*($F$39)*($C$14/2)</f>
        <v>12.293156249999999</v>
      </c>
      <c r="U743" s="3">
        <f t="shared" si="241"/>
        <v>413.05005</v>
      </c>
      <c r="V743" s="3">
        <f t="shared" si="242"/>
        <v>848.2886960145787</v>
      </c>
      <c r="W743" s="3">
        <f t="shared" si="240"/>
        <v>2.5417387897258346</v>
      </c>
      <c r="X743" s="3">
        <f t="shared" si="243"/>
        <v>5.2728491256357852</v>
      </c>
      <c r="AB743" s="3">
        <f>5.545*10^-4</f>
        <v>5.5449999999999998E-4</v>
      </c>
      <c r="AC743" s="3">
        <v>2.5</v>
      </c>
      <c r="AD743" s="3" t="s">
        <v>33</v>
      </c>
    </row>
    <row r="744" spans="2:30">
      <c r="B744" s="3">
        <f>($F$38)*($F$39)*($C$28/2)</f>
        <v>46.71399375</v>
      </c>
      <c r="C744" s="3">
        <f t="shared" si="244"/>
        <v>1569.5901900000001</v>
      </c>
      <c r="D744" s="3">
        <f t="shared" si="238"/>
        <v>2004.8288360145789</v>
      </c>
      <c r="E744" s="3">
        <f t="shared" si="236"/>
        <v>6.0071113057105689</v>
      </c>
      <c r="F744" s="3">
        <f t="shared" si="239"/>
        <v>31.957470987086943</v>
      </c>
      <c r="J744" s="3">
        <f>0.012</f>
        <v>1.2E-2</v>
      </c>
      <c r="K744" s="3"/>
      <c r="L744" s="3"/>
      <c r="T744" s="3">
        <f>($F$38)*($F$39)*($C$15/2)</f>
        <v>14.751787499999999</v>
      </c>
      <c r="U744" s="3">
        <f t="shared" si="241"/>
        <v>495.66005999999999</v>
      </c>
      <c r="V744" s="3">
        <f t="shared" si="242"/>
        <v>930.89870601457869</v>
      </c>
      <c r="W744" s="3">
        <f t="shared" si="240"/>
        <v>2.7892642699345567</v>
      </c>
      <c r="X744" s="3">
        <f t="shared" si="243"/>
        <v>6.349840821748141</v>
      </c>
      <c r="AB744" s="3">
        <f>7.985*10^-4</f>
        <v>7.9850000000000006E-4</v>
      </c>
      <c r="AC744" s="3">
        <v>3</v>
      </c>
      <c r="AD744" s="3" t="s">
        <v>33</v>
      </c>
    </row>
    <row r="745" spans="2:30">
      <c r="B745" s="3">
        <f>($F$38)*($F$39)*($C$29/2)</f>
        <v>49.172624999999996</v>
      </c>
      <c r="C745" s="3">
        <f t="shared" si="244"/>
        <v>1652.2002</v>
      </c>
      <c r="D745" s="3">
        <f t="shared" si="238"/>
        <v>2087.4388460145788</v>
      </c>
      <c r="E745" s="3">
        <f t="shared" si="236"/>
        <v>6.2546374366806115</v>
      </c>
      <c r="F745" s="3">
        <f t="shared" si="239"/>
        <v>34.645379677241948</v>
      </c>
      <c r="J745" s="3">
        <f>0.013</f>
        <v>1.2999999999999999E-2</v>
      </c>
      <c r="K745" s="3"/>
      <c r="L745" s="3"/>
      <c r="T745" s="3">
        <f>($F$38)*($F$39)*($C$16/2)</f>
        <v>17.210418749999999</v>
      </c>
      <c r="U745" s="3">
        <f t="shared" si="241"/>
        <v>578.27007000000003</v>
      </c>
      <c r="V745" s="3">
        <f t="shared" si="242"/>
        <v>1013.5087160145788</v>
      </c>
      <c r="W745" s="3">
        <f t="shared" si="240"/>
        <v>3.0367897501432788</v>
      </c>
      <c r="X745" s="3">
        <f t="shared" si="243"/>
        <v>7.5268447983929336</v>
      </c>
      <c r="AB745" s="3">
        <f>0.001</f>
        <v>1E-3</v>
      </c>
      <c r="AC745" s="3">
        <v>3.5</v>
      </c>
      <c r="AD745" s="3" t="s">
        <v>33</v>
      </c>
    </row>
    <row r="746" spans="2:30">
      <c r="B746" s="3">
        <f>($F$38)*($F$39)*($C$30/2)</f>
        <v>51.631256249999993</v>
      </c>
      <c r="C746" s="3">
        <f t="shared" si="244"/>
        <v>1734.8102099999999</v>
      </c>
      <c r="D746" s="3">
        <f t="shared" si="238"/>
        <v>2170.0488560145786</v>
      </c>
      <c r="E746" s="3">
        <f t="shared" si="236"/>
        <v>6.502163567650654</v>
      </c>
      <c r="F746" s="3">
        <f t="shared" si="239"/>
        <v>37.441809207686994</v>
      </c>
      <c r="J746" s="3">
        <f>0.015</f>
        <v>1.4999999999999999E-2</v>
      </c>
      <c r="K746" s="3"/>
      <c r="L746" s="3"/>
      <c r="T746" s="3">
        <f>($F$38)*($F$39)*($C$17/2)</f>
        <v>19.669049999999999</v>
      </c>
      <c r="U746" s="3">
        <f t="shared" si="241"/>
        <v>660.88008000000002</v>
      </c>
      <c r="V746" s="3">
        <f t="shared" si="242"/>
        <v>1096.1187260145787</v>
      </c>
      <c r="W746" s="3">
        <f t="shared" si="240"/>
        <v>3.284315230352</v>
      </c>
      <c r="X746" s="3">
        <f t="shared" si="243"/>
        <v>8.8038610555701595</v>
      </c>
      <c r="AB746" s="3">
        <f>0.001</f>
        <v>1E-3</v>
      </c>
      <c r="AC746" s="3">
        <v>4</v>
      </c>
      <c r="AD746" s="3" t="s">
        <v>33</v>
      </c>
    </row>
    <row r="747" spans="2:30">
      <c r="B747" s="3">
        <f>($F$38)*($F$39)*($C$31/2)</f>
        <v>54.089887499999996</v>
      </c>
      <c r="C747" s="3">
        <f t="shared" si="244"/>
        <v>1817.42022</v>
      </c>
      <c r="D747" s="3">
        <f t="shared" si="238"/>
        <v>2252.6588660145785</v>
      </c>
      <c r="E747" s="3">
        <f t="shared" si="236"/>
        <v>6.7496896986206965</v>
      </c>
      <c r="F747" s="3">
        <f t="shared" si="239"/>
        <v>40.346759578422073</v>
      </c>
      <c r="J747" s="3">
        <f>0.016</f>
        <v>1.6E-2</v>
      </c>
      <c r="K747" s="3"/>
      <c r="L747" s="3"/>
      <c r="T747" s="3">
        <f>($F$38)*($F$39)*($C$18/2)</f>
        <v>22.127681249999998</v>
      </c>
      <c r="U747" s="3">
        <f t="shared" si="241"/>
        <v>743.49009000000001</v>
      </c>
      <c r="V747" s="3">
        <f t="shared" si="242"/>
        <v>1178.7287360145788</v>
      </c>
      <c r="W747" s="3">
        <f t="shared" si="240"/>
        <v>3.5318407105607226</v>
      </c>
      <c r="X747" s="3">
        <f t="shared" si="243"/>
        <v>10.180889593279829</v>
      </c>
      <c r="AB747" s="3">
        <f>0.002</f>
        <v>2E-3</v>
      </c>
      <c r="AC747" s="3">
        <v>4.5</v>
      </c>
      <c r="AD747" s="3" t="s">
        <v>33</v>
      </c>
    </row>
    <row r="748" spans="2:30">
      <c r="B748" s="3">
        <f>($F$38)*($F$39)*($C$32/2)</f>
        <v>56.548518749999999</v>
      </c>
      <c r="C748" s="3">
        <f t="shared" si="244"/>
        <v>1900.0302300000001</v>
      </c>
      <c r="D748" s="3">
        <f t="shared" si="238"/>
        <v>2335.2688760145788</v>
      </c>
      <c r="E748" s="3">
        <f t="shared" si="236"/>
        <v>6.9972158295907407</v>
      </c>
      <c r="F748" s="3">
        <f t="shared" si="239"/>
        <v>43.360230789447215</v>
      </c>
      <c r="J748" s="3">
        <f>0.018</f>
        <v>1.7999999999999999E-2</v>
      </c>
      <c r="K748" s="3"/>
      <c r="L748" s="3"/>
      <c r="T748" s="3">
        <f>($F$38)*($F$39)*($C$19/2)</f>
        <v>24.586312499999998</v>
      </c>
      <c r="U748" s="3">
        <f t="shared" si="241"/>
        <v>826.1001</v>
      </c>
      <c r="V748" s="3">
        <f t="shared" si="242"/>
        <v>1261.3387460145786</v>
      </c>
      <c r="W748" s="3">
        <f t="shared" si="240"/>
        <v>3.7793661907694438</v>
      </c>
      <c r="X748" s="3">
        <f t="shared" si="243"/>
        <v>11.657930411521928</v>
      </c>
      <c r="AB748" s="3">
        <f>0.002</f>
        <v>2E-3</v>
      </c>
      <c r="AC748" s="3">
        <v>5</v>
      </c>
      <c r="AD748" s="3" t="s">
        <v>33</v>
      </c>
    </row>
    <row r="749" spans="2:30">
      <c r="B749" s="3">
        <f>($F$38)*($F$39)*($C$33/2)</f>
        <v>59.007149999999996</v>
      </c>
      <c r="C749" s="3">
        <f t="shared" si="244"/>
        <v>1982.6402399999999</v>
      </c>
      <c r="D749" s="3">
        <f t="shared" si="238"/>
        <v>2417.8788860145787</v>
      </c>
      <c r="E749" s="3">
        <f t="shared" si="236"/>
        <v>7.2447419605607832</v>
      </c>
      <c r="F749" s="3">
        <f t="shared" si="239"/>
        <v>46.482222840762383</v>
      </c>
      <c r="J749" s="3">
        <f>0.019</f>
        <v>1.9E-2</v>
      </c>
      <c r="K749" s="3"/>
      <c r="L749" s="3"/>
      <c r="T749" s="3">
        <f>($F$38)*($F$39)*($C$20/2)</f>
        <v>27.044943749999998</v>
      </c>
      <c r="U749" s="3">
        <f t="shared" si="241"/>
        <v>908.71010999999999</v>
      </c>
      <c r="V749" s="3">
        <f t="shared" si="242"/>
        <v>1343.9487560145787</v>
      </c>
      <c r="W749" s="3">
        <f t="shared" si="240"/>
        <v>4.0268916709781664</v>
      </c>
      <c r="X749" s="3">
        <f t="shared" si="243"/>
        <v>13.234983510296473</v>
      </c>
      <c r="AB749" s="3">
        <f>0.003</f>
        <v>3.0000000000000001E-3</v>
      </c>
      <c r="AC749" s="3">
        <v>5.5</v>
      </c>
      <c r="AD749" s="3" t="s">
        <v>33</v>
      </c>
    </row>
    <row r="750" spans="2:30">
      <c r="B750" s="3">
        <f>($F$38)*($F$39)*($C$34/2)</f>
        <v>0</v>
      </c>
      <c r="C750" s="3">
        <f>$C$46*B750</f>
        <v>0</v>
      </c>
      <c r="D750" s="3">
        <f t="shared" si="238"/>
        <v>435.23864601457871</v>
      </c>
      <c r="E750" s="3">
        <f t="shared" si="236"/>
        <v>1.304114817279755</v>
      </c>
      <c r="F750" s="3">
        <f t="shared" si="239"/>
        <v>1.5061655292497045</v>
      </c>
      <c r="J750" s="29"/>
      <c r="K750" s="4"/>
      <c r="L750" s="30"/>
      <c r="T750" s="3">
        <f>($F$38)*($F$39)*($C$21/2)</f>
        <v>29.503574999999998</v>
      </c>
      <c r="U750" s="3">
        <f t="shared" si="241"/>
        <v>991.32011999999997</v>
      </c>
      <c r="V750" s="3">
        <f t="shared" si="242"/>
        <v>1426.5587660145786</v>
      </c>
      <c r="W750" s="3">
        <f t="shared" si="240"/>
        <v>4.2744171511868876</v>
      </c>
      <c r="X750" s="3">
        <f t="shared" si="243"/>
        <v>14.91204888960344</v>
      </c>
      <c r="AB750" s="3">
        <f>0.003</f>
        <v>3.0000000000000001E-3</v>
      </c>
      <c r="AC750" s="3">
        <v>6</v>
      </c>
      <c r="AD750" s="3" t="s">
        <v>33</v>
      </c>
    </row>
    <row r="751" spans="2:30">
      <c r="B751" s="29"/>
      <c r="C751" s="4"/>
      <c r="D751" s="4"/>
      <c r="E751" s="4"/>
      <c r="F751" s="30"/>
      <c r="J751" s="29"/>
      <c r="K751" s="4"/>
      <c r="L751" s="30"/>
      <c r="T751" s="3">
        <f>($F$38)*($F$39)*($C$22/2)</f>
        <v>31.962206249999998</v>
      </c>
      <c r="U751" s="3">
        <f t="shared" si="241"/>
        <v>1073.93013</v>
      </c>
      <c r="V751" s="3">
        <f t="shared" si="242"/>
        <v>1509.1687760145787</v>
      </c>
      <c r="W751" s="3">
        <f t="shared" si="240"/>
        <v>4.5219426313956097</v>
      </c>
      <c r="X751" s="3">
        <f t="shared" si="243"/>
        <v>16.689126549442854</v>
      </c>
      <c r="AB751" s="3">
        <f>0.004</f>
        <v>4.0000000000000001E-3</v>
      </c>
      <c r="AC751" s="3">
        <v>6.5</v>
      </c>
      <c r="AD751" s="3" t="s">
        <v>33</v>
      </c>
    </row>
    <row r="752" spans="2:30">
      <c r="B752" s="29" t="s">
        <v>164</v>
      </c>
      <c r="C752" s="4"/>
      <c r="D752" s="4"/>
      <c r="E752" s="4"/>
      <c r="F752" s="30"/>
      <c r="J752" s="29" t="s">
        <v>165</v>
      </c>
      <c r="K752" s="4"/>
      <c r="L752" s="30"/>
      <c r="T752" s="3">
        <f>($F$38)*($F$39)*($C$23/2)</f>
        <v>34.420837499999998</v>
      </c>
      <c r="U752" s="3">
        <f>$C$46*T752</f>
        <v>1156.5401400000001</v>
      </c>
      <c r="V752" s="3">
        <f t="shared" si="242"/>
        <v>1591.7787860145788</v>
      </c>
      <c r="W752" s="3">
        <f t="shared" si="240"/>
        <v>4.7694681116043318</v>
      </c>
      <c r="X752" s="3">
        <f t="shared" si="243"/>
        <v>18.566216489814707</v>
      </c>
      <c r="AB752" s="3">
        <f>0.004</f>
        <v>4.0000000000000001E-3</v>
      </c>
      <c r="AC752" s="3">
        <v>7</v>
      </c>
      <c r="AD752" s="3" t="s">
        <v>33</v>
      </c>
    </row>
    <row r="753" spans="2:30">
      <c r="B753" s="45" t="s">
        <v>75</v>
      </c>
      <c r="C753" s="45" t="s">
        <v>76</v>
      </c>
      <c r="D753" s="45" t="s">
        <v>77</v>
      </c>
      <c r="E753" s="45" t="s">
        <v>78</v>
      </c>
      <c r="F753" s="45" t="s">
        <v>32</v>
      </c>
      <c r="J753" s="45" t="s">
        <v>32</v>
      </c>
      <c r="K753" s="3"/>
      <c r="L753" s="3"/>
      <c r="T753" s="3">
        <f>($F$38)*($F$39)*($C$24/2)</f>
        <v>36.879468750000001</v>
      </c>
      <c r="U753" s="3">
        <f t="shared" ref="U753:U762" si="245">$C$46*T753</f>
        <v>1239.1501500000002</v>
      </c>
      <c r="V753" s="3">
        <f t="shared" si="242"/>
        <v>1674.3887960145789</v>
      </c>
      <c r="W753" s="3">
        <f t="shared" si="240"/>
        <v>5.0169935918130539</v>
      </c>
      <c r="X753" s="3">
        <f t="shared" si="243"/>
        <v>20.543318710718992</v>
      </c>
      <c r="AB753" s="3">
        <f>0.005</f>
        <v>5.0000000000000001E-3</v>
      </c>
      <c r="AC753" s="3">
        <v>7.5</v>
      </c>
      <c r="AD753" s="3" t="s">
        <v>33</v>
      </c>
    </row>
    <row r="754" spans="2:30">
      <c r="B754" s="3">
        <f>($F$38)*($F$39)*($C$9/2)</f>
        <v>0</v>
      </c>
      <c r="C754" s="3">
        <f>$C$46*B754</f>
        <v>0</v>
      </c>
      <c r="D754" s="3">
        <f>C754+($C$50*$C$52)</f>
        <v>435.23864601457871</v>
      </c>
      <c r="E754" s="3">
        <f t="shared" ref="E754:E779" si="246">(D754)/($C$48+((($F$40)*($C$52))*$F$33)-(($C$49+$C$50)*$F$33^2))</f>
        <v>1.3041113886822253</v>
      </c>
      <c r="F754" s="3">
        <f>($F$33*E754)*($F$33*E754*$C$52)/2</f>
        <v>1.388074853060558</v>
      </c>
      <c r="J754" s="3">
        <v>0</v>
      </c>
      <c r="K754" s="3"/>
      <c r="L754" s="3"/>
      <c r="T754" s="3">
        <f>($F$38)*($F$39)*($C$25/2)</f>
        <v>39.338099999999997</v>
      </c>
      <c r="U754" s="3">
        <f t="shared" si="245"/>
        <v>1321.76016</v>
      </c>
      <c r="V754" s="3">
        <f t="shared" si="242"/>
        <v>1756.9988060145788</v>
      </c>
      <c r="W754" s="3">
        <f t="shared" si="240"/>
        <v>5.264519072021776</v>
      </c>
      <c r="X754" s="3">
        <f t="shared" si="243"/>
        <v>22.620433212155717</v>
      </c>
      <c r="AB754" s="3">
        <f>0.006</f>
        <v>6.0000000000000001E-3</v>
      </c>
      <c r="AC754" s="3">
        <v>8</v>
      </c>
      <c r="AD754" s="3" t="s">
        <v>33</v>
      </c>
    </row>
    <row r="755" spans="2:30">
      <c r="B755" s="3">
        <f>($F$38)*($F$39)*($C$10/2)</f>
        <v>2.4586312499999998</v>
      </c>
      <c r="C755" s="3">
        <f t="shared" ref="C755:C767" si="247">$C$46*B755</f>
        <v>82.610010000000003</v>
      </c>
      <c r="D755" s="3">
        <f t="shared" ref="D755:D779" si="248">C755+($C$50*$C$52)</f>
        <v>517.84865601457875</v>
      </c>
      <c r="E755" s="3">
        <f t="shared" si="246"/>
        <v>1.5516368688909472</v>
      </c>
      <c r="F755" s="3">
        <f t="shared" ref="F755:F779" si="249">($F$33*E755)*($F$33*E755*$C$52)/2</f>
        <v>1.9650051465107303</v>
      </c>
      <c r="J755" s="3">
        <f>2.218*10^-5</f>
        <v>2.2180000000000001E-5</v>
      </c>
      <c r="K755" s="3"/>
      <c r="L755" s="3"/>
      <c r="T755" s="3">
        <f>($F$38)*($F$39)*($C$26/2)</f>
        <v>41.796731249999993</v>
      </c>
      <c r="U755" s="3">
        <f t="shared" si="245"/>
        <v>1404.3701699999999</v>
      </c>
      <c r="V755" s="3">
        <f t="shared" si="242"/>
        <v>1839.6088160145787</v>
      </c>
      <c r="W755" s="3">
        <f t="shared" si="240"/>
        <v>5.5120445522304973</v>
      </c>
      <c r="X755" s="3">
        <f t="shared" si="243"/>
        <v>24.797559994124871</v>
      </c>
      <c r="AB755" s="3">
        <f>0.006</f>
        <v>6.0000000000000001E-3</v>
      </c>
      <c r="AC755" s="3">
        <v>8.5</v>
      </c>
      <c r="AD755" s="3" t="s">
        <v>33</v>
      </c>
    </row>
    <row r="756" spans="2:30">
      <c r="B756" s="3">
        <f>($F$38)*($F$39)*($C$11/2)</f>
        <v>4.9172624999999996</v>
      </c>
      <c r="C756" s="3">
        <f t="shared" si="247"/>
        <v>165.22002000000001</v>
      </c>
      <c r="D756" s="3">
        <f t="shared" si="248"/>
        <v>600.45866601457874</v>
      </c>
      <c r="E756" s="3">
        <f t="shared" si="246"/>
        <v>1.7991623490996691</v>
      </c>
      <c r="F756" s="3">
        <f t="shared" si="249"/>
        <v>2.6419477204933393</v>
      </c>
      <c r="J756" s="3">
        <f>8.872*10^-5</f>
        <v>8.8720000000000004E-5</v>
      </c>
      <c r="K756" s="3"/>
      <c r="L756" s="3"/>
      <c r="T756" s="3">
        <f>($F$38)*($F$39)*($C$27/2)</f>
        <v>44.255362499999997</v>
      </c>
      <c r="U756" s="3">
        <f t="shared" si="245"/>
        <v>1486.98018</v>
      </c>
      <c r="V756" s="3">
        <f t="shared" si="242"/>
        <v>1922.2188260145788</v>
      </c>
      <c r="W756" s="3">
        <f t="shared" si="240"/>
        <v>5.7595700324392194</v>
      </c>
      <c r="X756" s="3">
        <f t="shared" si="243"/>
        <v>27.074699056626464</v>
      </c>
      <c r="AB756" s="3">
        <f>0.007</f>
        <v>7.0000000000000001E-3</v>
      </c>
      <c r="AC756" s="3">
        <v>9</v>
      </c>
      <c r="AD756" s="3" t="s">
        <v>33</v>
      </c>
    </row>
    <row r="757" spans="2:30">
      <c r="B757" s="3">
        <f>($F$38)*($F$39)*($C$12/2)</f>
        <v>7.3758937499999995</v>
      </c>
      <c r="C757" s="3">
        <f t="shared" si="247"/>
        <v>247.83002999999999</v>
      </c>
      <c r="D757" s="3">
        <f t="shared" si="248"/>
        <v>683.06867601457873</v>
      </c>
      <c r="E757" s="3">
        <f t="shared" si="246"/>
        <v>2.0466878293083908</v>
      </c>
      <c r="F757" s="3">
        <f t="shared" si="249"/>
        <v>3.4189025750083837</v>
      </c>
      <c r="J757" s="3">
        <f>1.996*10^-4</f>
        <v>1.996E-4</v>
      </c>
      <c r="K757" s="3"/>
      <c r="L757" s="3"/>
      <c r="T757" s="3">
        <f>($F$38)*($F$39)*($C$28/2)</f>
        <v>46.71399375</v>
      </c>
      <c r="U757" s="3">
        <f t="shared" si="245"/>
        <v>1569.5901900000001</v>
      </c>
      <c r="V757" s="3">
        <f t="shared" si="242"/>
        <v>2004.8288360145789</v>
      </c>
      <c r="W757" s="3">
        <f t="shared" si="240"/>
        <v>6.0070955126479415</v>
      </c>
      <c r="X757" s="3">
        <f t="shared" si="243"/>
        <v>29.451850399660501</v>
      </c>
      <c r="AB757" s="3">
        <f>0.008</f>
        <v>8.0000000000000002E-3</v>
      </c>
      <c r="AC757" s="3">
        <v>9.5</v>
      </c>
      <c r="AD757" s="3" t="s">
        <v>33</v>
      </c>
    </row>
    <row r="758" spans="2:30">
      <c r="B758" s="3">
        <f>($F$38)*($F$39)*($C$13/2)</f>
        <v>9.8345249999999993</v>
      </c>
      <c r="C758" s="3">
        <f t="shared" si="247"/>
        <v>330.44004000000001</v>
      </c>
      <c r="D758" s="3">
        <f t="shared" si="248"/>
        <v>765.67868601457872</v>
      </c>
      <c r="E758" s="3">
        <f t="shared" si="246"/>
        <v>2.2942133095171129</v>
      </c>
      <c r="F758" s="3">
        <f t="shared" si="249"/>
        <v>4.2958697100558663</v>
      </c>
      <c r="J758" s="3">
        <f>3.549*10^-4</f>
        <v>3.5490000000000001E-4</v>
      </c>
      <c r="K758" s="3"/>
      <c r="L758" s="3"/>
      <c r="T758" s="3">
        <f>($F$38)*($F$39)*($C$29/2)</f>
        <v>49.172624999999996</v>
      </c>
      <c r="U758" s="3">
        <f t="shared" si="245"/>
        <v>1652.2002</v>
      </c>
      <c r="V758" s="3">
        <f t="shared" si="242"/>
        <v>2087.4388460145788</v>
      </c>
      <c r="W758" s="3">
        <f t="shared" si="240"/>
        <v>6.2546209928566627</v>
      </c>
      <c r="X758" s="3">
        <f t="shared" si="243"/>
        <v>31.929014023226966</v>
      </c>
      <c r="AB758" s="3">
        <f>0.009</f>
        <v>8.9999999999999993E-3</v>
      </c>
      <c r="AC758" s="3">
        <v>10</v>
      </c>
      <c r="AD758" s="3" t="s">
        <v>33</v>
      </c>
    </row>
    <row r="759" spans="2:30">
      <c r="B759" s="3">
        <f>($F$38)*($F$39)*($C$14/2)</f>
        <v>12.293156249999999</v>
      </c>
      <c r="C759" s="3">
        <f t="shared" si="247"/>
        <v>413.05005</v>
      </c>
      <c r="D759" s="3">
        <f t="shared" si="248"/>
        <v>848.2886960145787</v>
      </c>
      <c r="E759" s="3">
        <f t="shared" si="246"/>
        <v>2.5417387897258346</v>
      </c>
      <c r="F759" s="3">
        <f t="shared" si="249"/>
        <v>5.2728491256357852</v>
      </c>
      <c r="J759" s="3">
        <f>5.545*10^-4</f>
        <v>5.5449999999999998E-4</v>
      </c>
      <c r="K759" s="3"/>
      <c r="L759" s="3"/>
      <c r="T759" s="3">
        <f>($F$38)*($F$39)*($C$30/2)</f>
        <v>51.631256249999993</v>
      </c>
      <c r="U759" s="3">
        <f t="shared" si="245"/>
        <v>1734.8102099999999</v>
      </c>
      <c r="V759" s="3">
        <f t="shared" si="242"/>
        <v>2170.0488560145786</v>
      </c>
      <c r="W759" s="3">
        <f t="shared" si="240"/>
        <v>6.5021464730653848</v>
      </c>
      <c r="X759" s="3">
        <f t="shared" si="243"/>
        <v>34.506189927325863</v>
      </c>
      <c r="AB759" s="3">
        <f>0.01</f>
        <v>0.01</v>
      </c>
      <c r="AC759" s="3">
        <v>10.5</v>
      </c>
      <c r="AD759" s="3" t="s">
        <v>33</v>
      </c>
    </row>
    <row r="760" spans="2:30">
      <c r="B760" s="3">
        <f>($F$38)*($F$39)*($C$15/2)</f>
        <v>14.751787499999999</v>
      </c>
      <c r="C760" s="3">
        <f t="shared" si="247"/>
        <v>495.66005999999999</v>
      </c>
      <c r="D760" s="3">
        <f t="shared" si="248"/>
        <v>930.89870601457869</v>
      </c>
      <c r="E760" s="3">
        <f t="shared" si="246"/>
        <v>2.7892642699345567</v>
      </c>
      <c r="F760" s="3">
        <f t="shared" si="249"/>
        <v>6.349840821748141</v>
      </c>
      <c r="J760" s="3">
        <f>7.985*10^-4</f>
        <v>7.9850000000000006E-4</v>
      </c>
      <c r="K760" s="3"/>
      <c r="L760" s="3"/>
      <c r="T760" s="3">
        <f>($F$38)*($F$39)*($C$31/2)</f>
        <v>54.089887499999996</v>
      </c>
      <c r="U760" s="3">
        <f t="shared" si="245"/>
        <v>1817.42022</v>
      </c>
      <c r="V760" s="3">
        <f t="shared" si="242"/>
        <v>2252.6588660145785</v>
      </c>
      <c r="W760" s="3">
        <f t="shared" si="240"/>
        <v>6.7496719532741061</v>
      </c>
      <c r="X760" s="3">
        <f t="shared" si="243"/>
        <v>37.183378111957211</v>
      </c>
      <c r="AB760" s="3">
        <f>0.011</f>
        <v>1.0999999999999999E-2</v>
      </c>
      <c r="AC760" s="3">
        <v>11</v>
      </c>
      <c r="AD760" s="3" t="s">
        <v>33</v>
      </c>
    </row>
    <row r="761" spans="2:30">
      <c r="B761" s="3">
        <f>($F$38)*($F$39)*($C$16/2)</f>
        <v>17.210418749999999</v>
      </c>
      <c r="C761" s="3">
        <f t="shared" si="247"/>
        <v>578.27007000000003</v>
      </c>
      <c r="D761" s="3">
        <f t="shared" si="248"/>
        <v>1013.5087160145788</v>
      </c>
      <c r="E761" s="3">
        <f t="shared" si="246"/>
        <v>3.0367897501432788</v>
      </c>
      <c r="F761" s="3">
        <f t="shared" si="249"/>
        <v>7.5268447983929336</v>
      </c>
      <c r="J761" s="3">
        <f>0.001</f>
        <v>1E-3</v>
      </c>
      <c r="K761" s="3"/>
      <c r="L761" s="3"/>
      <c r="T761" s="3">
        <f>($F$38)*($F$39)*($C$32/2)</f>
        <v>56.548518749999999</v>
      </c>
      <c r="U761" s="3">
        <f t="shared" si="245"/>
        <v>1900.0302300000001</v>
      </c>
      <c r="V761" s="3">
        <f t="shared" si="242"/>
        <v>2335.2688760145788</v>
      </c>
      <c r="W761" s="3">
        <f t="shared" si="240"/>
        <v>6.9971974334828291</v>
      </c>
      <c r="X761" s="3">
        <f t="shared" si="243"/>
        <v>39.960578577120998</v>
      </c>
      <c r="AB761" s="3">
        <f>0.012</f>
        <v>1.2E-2</v>
      </c>
      <c r="AC761" s="3">
        <v>11.5</v>
      </c>
      <c r="AD761" s="3" t="s">
        <v>33</v>
      </c>
    </row>
    <row r="762" spans="2:30">
      <c r="B762" s="3">
        <f>($F$38)*($F$39)*($C$17/2)</f>
        <v>19.669049999999999</v>
      </c>
      <c r="C762" s="3">
        <f t="shared" si="247"/>
        <v>660.88008000000002</v>
      </c>
      <c r="D762" s="3">
        <f t="shared" si="248"/>
        <v>1096.1187260145787</v>
      </c>
      <c r="E762" s="3">
        <f t="shared" si="246"/>
        <v>3.284315230352</v>
      </c>
      <c r="F762" s="3">
        <f t="shared" si="249"/>
        <v>8.8038610555701595</v>
      </c>
      <c r="J762" s="3">
        <f>0.001</f>
        <v>1E-3</v>
      </c>
      <c r="K762" s="3"/>
      <c r="L762" s="3"/>
      <c r="T762" s="3">
        <f>($F$38)*($F$39)*($C$33/2)</f>
        <v>59.007149999999996</v>
      </c>
      <c r="U762" s="3">
        <f t="shared" si="245"/>
        <v>1982.6402399999999</v>
      </c>
      <c r="V762" s="3">
        <f t="shared" si="242"/>
        <v>2417.8788860145787</v>
      </c>
      <c r="W762" s="3">
        <f t="shared" si="240"/>
        <v>7.2447229136915503</v>
      </c>
      <c r="X762" s="3">
        <f t="shared" si="243"/>
        <v>42.83779132281721</v>
      </c>
      <c r="AB762" s="3">
        <f>0.013</f>
        <v>1.2999999999999999E-2</v>
      </c>
      <c r="AC762" s="3">
        <v>12</v>
      </c>
      <c r="AD762" s="3" t="s">
        <v>33</v>
      </c>
    </row>
    <row r="763" spans="2:30">
      <c r="B763" s="3">
        <f>($F$38)*($F$39)*($C$18/2)</f>
        <v>22.127681249999998</v>
      </c>
      <c r="C763" s="3">
        <f t="shared" si="247"/>
        <v>743.49009000000001</v>
      </c>
      <c r="D763" s="3">
        <f t="shared" si="248"/>
        <v>1178.7287360145788</v>
      </c>
      <c r="E763" s="3">
        <f t="shared" si="246"/>
        <v>3.5318407105607226</v>
      </c>
      <c r="F763" s="3">
        <f t="shared" si="249"/>
        <v>10.180889593279829</v>
      </c>
      <c r="J763" s="3">
        <f>0.002</f>
        <v>2E-3</v>
      </c>
      <c r="K763" s="3"/>
      <c r="L763" s="3"/>
      <c r="T763" s="3"/>
      <c r="U763" s="3"/>
      <c r="V763" s="3"/>
      <c r="W763" s="3"/>
      <c r="X763" s="3"/>
    </row>
    <row r="764" spans="2:30">
      <c r="B764" s="3">
        <f>($F$38)*($F$39)*($C$19/2)</f>
        <v>24.586312499999998</v>
      </c>
      <c r="C764" s="3">
        <f t="shared" si="247"/>
        <v>826.1001</v>
      </c>
      <c r="D764" s="3">
        <f t="shared" si="248"/>
        <v>1261.3387460145786</v>
      </c>
      <c r="E764" s="3">
        <f t="shared" si="246"/>
        <v>3.7793661907694438</v>
      </c>
      <c r="F764" s="3">
        <f t="shared" si="249"/>
        <v>11.657930411521928</v>
      </c>
      <c r="J764" s="3">
        <f>0.002</f>
        <v>2E-3</v>
      </c>
      <c r="K764" s="3"/>
      <c r="L764" s="3"/>
    </row>
    <row r="765" spans="2:30">
      <c r="B765" s="3">
        <f>($F$38)*($F$39)*($C$20/2)</f>
        <v>27.044943749999998</v>
      </c>
      <c r="C765" s="3">
        <f t="shared" si="247"/>
        <v>908.71010999999999</v>
      </c>
      <c r="D765" s="3">
        <f t="shared" si="248"/>
        <v>1343.9487560145787</v>
      </c>
      <c r="E765" s="3">
        <f t="shared" si="246"/>
        <v>4.0268916709781664</v>
      </c>
      <c r="F765" s="3">
        <f t="shared" si="249"/>
        <v>13.234983510296473</v>
      </c>
      <c r="J765" s="3">
        <f>0.003</f>
        <v>3.0000000000000001E-3</v>
      </c>
      <c r="K765" s="3">
        <v>5.5</v>
      </c>
      <c r="L765" s="3" t="s">
        <v>33</v>
      </c>
    </row>
    <row r="766" spans="2:30">
      <c r="B766" s="3">
        <f>($F$38)*($F$39)*($C$21/2)</f>
        <v>29.503574999999998</v>
      </c>
      <c r="C766" s="3">
        <f t="shared" si="247"/>
        <v>991.32011999999997</v>
      </c>
      <c r="D766" s="3">
        <f t="shared" si="248"/>
        <v>1426.5587660145786</v>
      </c>
      <c r="E766" s="3">
        <f t="shared" si="246"/>
        <v>4.2744171511868876</v>
      </c>
      <c r="F766" s="3">
        <f t="shared" si="249"/>
        <v>14.91204888960344</v>
      </c>
      <c r="J766" s="3">
        <f>0.003</f>
        <v>3.0000000000000001E-3</v>
      </c>
      <c r="K766" s="3"/>
      <c r="L766" s="3"/>
    </row>
    <row r="767" spans="2:30">
      <c r="B767" s="3">
        <f>($F$38)*($F$39)*($C$22/2)</f>
        <v>31.962206249999998</v>
      </c>
      <c r="C767" s="3">
        <f t="shared" si="247"/>
        <v>1073.93013</v>
      </c>
      <c r="D767" s="3">
        <f t="shared" si="248"/>
        <v>1509.1687760145787</v>
      </c>
      <c r="E767" s="3">
        <f t="shared" si="246"/>
        <v>4.5219426313956097</v>
      </c>
      <c r="F767" s="3">
        <f t="shared" si="249"/>
        <v>16.689126549442854</v>
      </c>
      <c r="J767" s="3">
        <f>0.004</f>
        <v>4.0000000000000001E-3</v>
      </c>
      <c r="K767" s="3"/>
      <c r="L767" s="3"/>
    </row>
    <row r="768" spans="2:30">
      <c r="B768" s="3">
        <f>($F$38)*($F$39)*($C$23/2)</f>
        <v>34.420837499999998</v>
      </c>
      <c r="C768" s="3">
        <f>$C$46*B768</f>
        <v>1156.5401400000001</v>
      </c>
      <c r="D768" s="3">
        <f t="shared" si="248"/>
        <v>1591.7787860145788</v>
      </c>
      <c r="E768" s="3">
        <f t="shared" si="246"/>
        <v>4.7694681116043318</v>
      </c>
      <c r="F768" s="3">
        <f t="shared" si="249"/>
        <v>18.566216489814707</v>
      </c>
      <c r="J768" s="3">
        <f>0.004</f>
        <v>4.0000000000000001E-3</v>
      </c>
      <c r="K768" s="3"/>
      <c r="L768" s="3"/>
    </row>
    <row r="769" spans="2:12">
      <c r="B769" s="3">
        <f>($F$38)*($F$39)*($C$24/2)</f>
        <v>36.879468750000001</v>
      </c>
      <c r="C769" s="3">
        <f t="shared" ref="C769:C778" si="250">$C$46*B769</f>
        <v>1239.1501500000002</v>
      </c>
      <c r="D769" s="3">
        <f t="shared" si="248"/>
        <v>1674.3887960145789</v>
      </c>
      <c r="E769" s="3">
        <f t="shared" si="246"/>
        <v>5.0169935918130539</v>
      </c>
      <c r="F769" s="3">
        <f t="shared" si="249"/>
        <v>20.543318710718992</v>
      </c>
      <c r="J769" s="3">
        <f>0.005</f>
        <v>5.0000000000000001E-3</v>
      </c>
      <c r="K769" s="3"/>
      <c r="L769" s="3"/>
    </row>
    <row r="770" spans="2:12">
      <c r="B770" s="3">
        <f>($F$38)*($F$39)*($C$25/2)</f>
        <v>39.338099999999997</v>
      </c>
      <c r="C770" s="3">
        <f t="shared" si="250"/>
        <v>1321.76016</v>
      </c>
      <c r="D770" s="3">
        <f t="shared" si="248"/>
        <v>1756.9988060145788</v>
      </c>
      <c r="E770" s="3">
        <f t="shared" si="246"/>
        <v>5.264519072021776</v>
      </c>
      <c r="F770" s="3">
        <f t="shared" si="249"/>
        <v>22.620433212155717</v>
      </c>
      <c r="J770" s="3">
        <f>0.006</f>
        <v>6.0000000000000001E-3</v>
      </c>
      <c r="K770" s="3"/>
      <c r="L770" s="3"/>
    </row>
    <row r="771" spans="2:12">
      <c r="B771" s="3">
        <f>($F$38)*($F$39)*($C$26/2)</f>
        <v>41.796731249999993</v>
      </c>
      <c r="C771" s="3">
        <f t="shared" si="250"/>
        <v>1404.3701699999999</v>
      </c>
      <c r="D771" s="3">
        <f t="shared" si="248"/>
        <v>1839.6088160145787</v>
      </c>
      <c r="E771" s="3">
        <f t="shared" si="246"/>
        <v>5.5120445522304973</v>
      </c>
      <c r="F771" s="3">
        <f t="shared" si="249"/>
        <v>24.797559994124871</v>
      </c>
      <c r="J771" s="3">
        <f>0.006</f>
        <v>6.0000000000000001E-3</v>
      </c>
      <c r="K771" s="3"/>
      <c r="L771" s="3"/>
    </row>
    <row r="772" spans="2:12">
      <c r="B772" s="3">
        <f>($F$38)*($F$39)*($C$27/2)</f>
        <v>44.255362499999997</v>
      </c>
      <c r="C772" s="3">
        <f t="shared" si="250"/>
        <v>1486.98018</v>
      </c>
      <c r="D772" s="3">
        <f t="shared" si="248"/>
        <v>1922.2188260145788</v>
      </c>
      <c r="E772" s="3">
        <f t="shared" si="246"/>
        <v>5.7595700324392194</v>
      </c>
      <c r="F772" s="3">
        <f t="shared" si="249"/>
        <v>27.074699056626464</v>
      </c>
      <c r="J772" s="3">
        <f>0.007</f>
        <v>7.0000000000000001E-3</v>
      </c>
      <c r="K772" s="3"/>
      <c r="L772" s="3"/>
    </row>
    <row r="773" spans="2:12">
      <c r="B773" s="3">
        <f>($F$38)*($F$39)*($C$28/2)</f>
        <v>46.71399375</v>
      </c>
      <c r="C773" s="3">
        <f t="shared" si="250"/>
        <v>1569.5901900000001</v>
      </c>
      <c r="D773" s="3">
        <f t="shared" si="248"/>
        <v>2004.8288360145789</v>
      </c>
      <c r="E773" s="3">
        <f t="shared" si="246"/>
        <v>6.0070955126479415</v>
      </c>
      <c r="F773" s="3">
        <f t="shared" si="249"/>
        <v>29.451850399660501</v>
      </c>
      <c r="J773" s="3">
        <f>0.008</f>
        <v>8.0000000000000002E-3</v>
      </c>
      <c r="K773" s="3"/>
      <c r="L773" s="3"/>
    </row>
    <row r="774" spans="2:12">
      <c r="B774" s="3">
        <f>($F$38)*($F$39)*($C$29/2)</f>
        <v>49.172624999999996</v>
      </c>
      <c r="C774" s="3">
        <f t="shared" si="250"/>
        <v>1652.2002</v>
      </c>
      <c r="D774" s="3">
        <f t="shared" si="248"/>
        <v>2087.4388460145788</v>
      </c>
      <c r="E774" s="3">
        <f t="shared" si="246"/>
        <v>6.2546209928566627</v>
      </c>
      <c r="F774" s="3">
        <f t="shared" si="249"/>
        <v>31.929014023226966</v>
      </c>
      <c r="J774" s="3">
        <f>0.009</f>
        <v>8.9999999999999993E-3</v>
      </c>
      <c r="K774" s="3"/>
      <c r="L774" s="3"/>
    </row>
    <row r="775" spans="2:12">
      <c r="B775" s="3">
        <f>($F$38)*($F$39)*($C$30/2)</f>
        <v>51.631256249999993</v>
      </c>
      <c r="C775" s="3">
        <f t="shared" si="250"/>
        <v>1734.8102099999999</v>
      </c>
      <c r="D775" s="3">
        <f t="shared" si="248"/>
        <v>2170.0488560145786</v>
      </c>
      <c r="E775" s="3">
        <f t="shared" si="246"/>
        <v>6.5021464730653848</v>
      </c>
      <c r="F775" s="3">
        <f t="shared" si="249"/>
        <v>34.506189927325863</v>
      </c>
      <c r="J775" s="3">
        <f>0.01</f>
        <v>0.01</v>
      </c>
      <c r="K775" s="3"/>
      <c r="L775" s="3"/>
    </row>
    <row r="776" spans="2:12">
      <c r="B776" s="3">
        <f>($F$38)*($F$39)*($C$31/2)</f>
        <v>54.089887499999996</v>
      </c>
      <c r="C776" s="3">
        <f t="shared" si="250"/>
        <v>1817.42022</v>
      </c>
      <c r="D776" s="3">
        <f t="shared" si="248"/>
        <v>2252.6588660145785</v>
      </c>
      <c r="E776" s="3">
        <f t="shared" si="246"/>
        <v>6.7496719532741061</v>
      </c>
      <c r="F776" s="3">
        <f t="shared" si="249"/>
        <v>37.183378111957211</v>
      </c>
      <c r="J776" s="3">
        <f>0.011</f>
        <v>1.0999999999999999E-2</v>
      </c>
      <c r="K776" s="3"/>
      <c r="L776" s="3"/>
    </row>
    <row r="777" spans="2:12">
      <c r="B777" s="3">
        <f>($F$38)*($F$39)*($C$32/2)</f>
        <v>56.548518749999999</v>
      </c>
      <c r="C777" s="3">
        <f t="shared" si="250"/>
        <v>1900.0302300000001</v>
      </c>
      <c r="D777" s="3">
        <f t="shared" si="248"/>
        <v>2335.2688760145788</v>
      </c>
      <c r="E777" s="3">
        <f t="shared" si="246"/>
        <v>6.9971974334828291</v>
      </c>
      <c r="F777" s="3">
        <f t="shared" si="249"/>
        <v>39.960578577120998</v>
      </c>
      <c r="J777" s="3">
        <f>0.012</f>
        <v>1.2E-2</v>
      </c>
      <c r="K777" s="3"/>
      <c r="L777" s="3"/>
    </row>
    <row r="778" spans="2:12">
      <c r="B778" s="3">
        <f>($F$38)*($F$39)*($C$33/2)</f>
        <v>59.007149999999996</v>
      </c>
      <c r="C778" s="3">
        <f t="shared" si="250"/>
        <v>1982.6402399999999</v>
      </c>
      <c r="D778" s="3">
        <f t="shared" si="248"/>
        <v>2417.8788860145787</v>
      </c>
      <c r="E778" s="3">
        <f t="shared" si="246"/>
        <v>7.2447229136915503</v>
      </c>
      <c r="F778" s="3">
        <f t="shared" si="249"/>
        <v>42.83779132281721</v>
      </c>
      <c r="J778" s="3">
        <f>0.013</f>
        <v>1.2999999999999999E-2</v>
      </c>
      <c r="K778" s="3"/>
      <c r="L778" s="3"/>
    </row>
    <row r="779" spans="2:12">
      <c r="B779" s="3">
        <f>($F$38)*($F$39)*($C$34/2)</f>
        <v>0</v>
      </c>
      <c r="C779" s="3">
        <f>$C$46*B779</f>
        <v>0</v>
      </c>
      <c r="D779" s="3">
        <f t="shared" si="248"/>
        <v>435.23864601457871</v>
      </c>
      <c r="E779" s="3">
        <f t="shared" si="246"/>
        <v>1.3041113886822253</v>
      </c>
      <c r="F779" s="3">
        <f t="shared" si="249"/>
        <v>1.388074853060558</v>
      </c>
    </row>
  </sheetData>
  <mergeCells count="8">
    <mergeCell ref="T38:X38"/>
    <mergeCell ref="AB38:AD38"/>
    <mergeCell ref="AG38:AK38"/>
    <mergeCell ref="AO38:AQ38"/>
    <mergeCell ref="B3:G3"/>
    <mergeCell ref="B6:D6"/>
    <mergeCell ref="B37:C37"/>
    <mergeCell ref="J37:K37"/>
  </mergeCells>
  <phoneticPr fontId="10" type="noConversion"/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Strathclyde Standard Desktop</dc:creator>
  <cp:keywords/>
  <dc:description/>
  <cp:lastModifiedBy>Eva Topham</cp:lastModifiedBy>
  <cp:revision/>
  <dcterms:created xsi:type="dcterms:W3CDTF">2015-02-18T18:46:11Z</dcterms:created>
  <dcterms:modified xsi:type="dcterms:W3CDTF">2015-05-09T19:05:19Z</dcterms:modified>
</cp:coreProperties>
</file>