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435"/>
  </bookViews>
  <sheets>
    <sheet name="Inputs" sheetId="11" r:id="rId1"/>
    <sheet name="Neaps" sheetId="4" r:id="rId2"/>
    <sheet name="Springs" sheetId="5" r:id="rId3"/>
    <sheet name="Wave particle velocity" sheetId="2" r:id="rId4"/>
    <sheet name="Wave Drift (net flow)" sheetId="3" r:id="rId5"/>
    <sheet name="X distance Change" sheetId="7" r:id="rId6"/>
    <sheet name="Position and size" sheetId="13" r:id="rId7"/>
    <sheet name="Total" sheetId="6" r:id="rId8"/>
    <sheet name="Useful Links" sheetId="8" r:id="rId9"/>
  </sheets>
  <calcPr calcId="152511"/>
</workbook>
</file>

<file path=xl/calcChain.xml><?xml version="1.0" encoding="utf-8"?>
<calcChain xmlns="http://schemas.openxmlformats.org/spreadsheetml/2006/main">
  <c r="B3" i="3"/>
  <c r="B6" i="2" l="1"/>
  <c r="M42" i="13" l="1"/>
  <c r="M43" s="1"/>
  <c r="C10" i="11" l="1"/>
  <c r="C12" s="1"/>
  <c r="B2" i="2"/>
  <c r="Y4" i="5"/>
  <c r="W4"/>
  <c r="U4"/>
  <c r="S4"/>
  <c r="Q4"/>
  <c r="O4"/>
  <c r="M4"/>
  <c r="K4"/>
  <c r="I4"/>
  <c r="G4"/>
  <c r="E4"/>
  <c r="C4"/>
  <c r="C4" i="4"/>
  <c r="E4"/>
  <c r="G4"/>
  <c r="I4"/>
  <c r="K4"/>
  <c r="M4"/>
  <c r="O4"/>
  <c r="Q4"/>
  <c r="S4"/>
  <c r="U4"/>
  <c r="W4"/>
  <c r="Y4"/>
  <c r="A3"/>
  <c r="C12" s="1"/>
  <c r="S12" i="5" s="1"/>
  <c r="B4" i="2" l="1"/>
  <c r="B8"/>
  <c r="C11" i="11"/>
  <c r="B5" i="2" s="1"/>
  <c r="A3" i="5"/>
  <c r="B3" i="4"/>
  <c r="C13" s="1"/>
  <c r="M13" i="5" s="1"/>
  <c r="Q12"/>
  <c r="I12"/>
  <c r="K12"/>
  <c r="O12"/>
  <c r="E12" i="4"/>
  <c r="G12" s="1"/>
  <c r="I12" s="1"/>
  <c r="K12" s="1"/>
  <c r="M12" s="1"/>
  <c r="O12" s="1"/>
  <c r="Q12" s="1"/>
  <c r="S12" s="1"/>
  <c r="U12" s="1"/>
  <c r="W12" s="1"/>
  <c r="Y12" s="1"/>
  <c r="Y12" i="5"/>
  <c r="W12"/>
  <c r="G12"/>
  <c r="C12"/>
  <c r="E12" s="1"/>
  <c r="U12"/>
  <c r="M12"/>
  <c r="M7" i="4"/>
  <c r="N7" s="1"/>
  <c r="O6"/>
  <c r="P6" s="1"/>
  <c r="K8"/>
  <c r="L8" s="1"/>
  <c r="I9"/>
  <c r="J9" s="1"/>
  <c r="G10"/>
  <c r="H10" s="1"/>
  <c r="E11"/>
  <c r="F11" s="1"/>
  <c r="F6"/>
  <c r="H6"/>
  <c r="J6"/>
  <c r="L6"/>
  <c r="N6"/>
  <c r="F7"/>
  <c r="H7"/>
  <c r="J7"/>
  <c r="L7"/>
  <c r="F8"/>
  <c r="H8"/>
  <c r="J8"/>
  <c r="F9"/>
  <c r="H9"/>
  <c r="F10"/>
  <c r="B3" i="2"/>
  <c r="N12" i="4" l="1"/>
  <c r="AH11" i="6" s="1"/>
  <c r="P12" i="4"/>
  <c r="AN11" i="6" s="1"/>
  <c r="O13" i="5"/>
  <c r="I13"/>
  <c r="J13" s="1"/>
  <c r="J12" i="4"/>
  <c r="V11" i="6" s="1"/>
  <c r="H12" i="4"/>
  <c r="Q13" i="5"/>
  <c r="Y13"/>
  <c r="C13"/>
  <c r="E13" s="1"/>
  <c r="F13" s="1"/>
  <c r="U13"/>
  <c r="K13"/>
  <c r="G13"/>
  <c r="H13" s="1"/>
  <c r="F12" i="4"/>
  <c r="J11" i="6" s="1"/>
  <c r="W13" i="5"/>
  <c r="E13" i="4"/>
  <c r="I12" i="6" s="1"/>
  <c r="K12" s="1"/>
  <c r="L12" i="4"/>
  <c r="AB11" i="6" s="1"/>
  <c r="S13" i="5"/>
  <c r="C14" i="4"/>
  <c r="D14" s="1"/>
  <c r="I10"/>
  <c r="J10" s="1"/>
  <c r="G11"/>
  <c r="H11" s="1"/>
  <c r="P10" i="6" s="1"/>
  <c r="K9" i="4"/>
  <c r="L9" s="1"/>
  <c r="M8"/>
  <c r="N8" s="1"/>
  <c r="AH7" i="6" s="1"/>
  <c r="J10"/>
  <c r="AB7"/>
  <c r="V8"/>
  <c r="AH6"/>
  <c r="AN5"/>
  <c r="A7" i="7"/>
  <c r="A9"/>
  <c r="F6" i="5"/>
  <c r="H6"/>
  <c r="J6"/>
  <c r="O6"/>
  <c r="F7"/>
  <c r="H7"/>
  <c r="J7"/>
  <c r="M7"/>
  <c r="F8"/>
  <c r="H8"/>
  <c r="J8"/>
  <c r="K8"/>
  <c r="M8" s="1"/>
  <c r="N8" s="1"/>
  <c r="F9"/>
  <c r="H9"/>
  <c r="I9"/>
  <c r="J9" s="1"/>
  <c r="F10"/>
  <c r="G10"/>
  <c r="H10" s="1"/>
  <c r="E11"/>
  <c r="F11" s="1"/>
  <c r="D12"/>
  <c r="F12"/>
  <c r="H12"/>
  <c r="J12"/>
  <c r="N12"/>
  <c r="P12"/>
  <c r="N13"/>
  <c r="A6" i="7"/>
  <c r="A10"/>
  <c r="A8"/>
  <c r="A5"/>
  <c r="I10" i="6"/>
  <c r="K10" s="1"/>
  <c r="I11"/>
  <c r="K11" s="1"/>
  <c r="J4"/>
  <c r="I4"/>
  <c r="BQ5"/>
  <c r="BQ6"/>
  <c r="BS6" s="1"/>
  <c r="BQ7"/>
  <c r="BS7" s="1"/>
  <c r="BQ8"/>
  <c r="BS8" s="1"/>
  <c r="BQ9"/>
  <c r="BS9" s="1"/>
  <c r="BQ11"/>
  <c r="BS11" s="1"/>
  <c r="BR4"/>
  <c r="BQ4"/>
  <c r="BQ2"/>
  <c r="BQ3"/>
  <c r="BQ1"/>
  <c r="BK5"/>
  <c r="BK6"/>
  <c r="BM6" s="1"/>
  <c r="BK7"/>
  <c r="BM7" s="1"/>
  <c r="BK8"/>
  <c r="BM8" s="1"/>
  <c r="BK11"/>
  <c r="BM11" s="1"/>
  <c r="BL4"/>
  <c r="BK4"/>
  <c r="BK2"/>
  <c r="BK3"/>
  <c r="BK1"/>
  <c r="BE5"/>
  <c r="BG5" s="1"/>
  <c r="BE6"/>
  <c r="BG6" s="1"/>
  <c r="BE7"/>
  <c r="BG7" s="1"/>
  <c r="BE11"/>
  <c r="BG11" s="1"/>
  <c r="BF4"/>
  <c r="BE4"/>
  <c r="BE2"/>
  <c r="BE3"/>
  <c r="BE1"/>
  <c r="AZ4"/>
  <c r="AY5"/>
  <c r="BA5" s="1"/>
  <c r="AY6"/>
  <c r="BA6" s="1"/>
  <c r="AY11"/>
  <c r="BA11" s="1"/>
  <c r="AY4"/>
  <c r="AY2"/>
  <c r="AY3"/>
  <c r="AY1"/>
  <c r="BS5"/>
  <c r="BM5"/>
  <c r="AT4"/>
  <c r="AS5"/>
  <c r="AU5" s="1"/>
  <c r="AS11"/>
  <c r="AU11" s="1"/>
  <c r="AS4"/>
  <c r="AS2"/>
  <c r="AS3"/>
  <c r="AS1"/>
  <c r="AN4"/>
  <c r="AM5"/>
  <c r="AM11"/>
  <c r="AM4"/>
  <c r="AM2"/>
  <c r="AM3"/>
  <c r="AM1"/>
  <c r="AH4"/>
  <c r="AG6"/>
  <c r="AI6" s="1"/>
  <c r="AG11"/>
  <c r="AI11" s="1"/>
  <c r="AG4"/>
  <c r="AG2"/>
  <c r="AG1"/>
  <c r="AB4"/>
  <c r="AA7"/>
  <c r="AC7" s="1"/>
  <c r="AA11"/>
  <c r="AC11" s="1"/>
  <c r="AA4"/>
  <c r="AA2"/>
  <c r="AA3"/>
  <c r="AA1"/>
  <c r="V4"/>
  <c r="U8"/>
  <c r="W8" s="1"/>
  <c r="U11"/>
  <c r="W11" s="1"/>
  <c r="U4"/>
  <c r="U2"/>
  <c r="U3"/>
  <c r="O3"/>
  <c r="U1"/>
  <c r="O1"/>
  <c r="P4"/>
  <c r="O9"/>
  <c r="Q9" s="1"/>
  <c r="O11"/>
  <c r="Q11" s="1"/>
  <c r="O4"/>
  <c r="I1"/>
  <c r="I3"/>
  <c r="AO5" l="1"/>
  <c r="B3" i="13"/>
  <c r="AO11" i="6"/>
  <c r="B9" i="13"/>
  <c r="A13" i="7"/>
  <c r="D13" i="5"/>
  <c r="C15" i="4"/>
  <c r="A14" i="7" s="1"/>
  <c r="W14" i="5"/>
  <c r="K14"/>
  <c r="L14" s="1"/>
  <c r="Q14"/>
  <c r="Y14"/>
  <c r="G14"/>
  <c r="H14" s="1"/>
  <c r="M14"/>
  <c r="N14" s="1"/>
  <c r="C14"/>
  <c r="E14" s="1"/>
  <c r="F14" s="1"/>
  <c r="S14"/>
  <c r="E14" i="4"/>
  <c r="I13" i="6" s="1"/>
  <c r="K13" s="1"/>
  <c r="U14" i="5"/>
  <c r="O14"/>
  <c r="P14" s="1"/>
  <c r="G13" i="4"/>
  <c r="F13"/>
  <c r="J12" i="6" s="1"/>
  <c r="I14" i="5"/>
  <c r="J14" s="1"/>
  <c r="I10"/>
  <c r="J10" s="1"/>
  <c r="G11"/>
  <c r="H11" s="1"/>
  <c r="O10" i="6"/>
  <c r="Q10" s="1"/>
  <c r="AG7"/>
  <c r="AI7" s="1"/>
  <c r="V9"/>
  <c r="K10" i="4"/>
  <c r="L10" s="1"/>
  <c r="M9"/>
  <c r="N9" s="1"/>
  <c r="I11"/>
  <c r="U9" i="6"/>
  <c r="W9" s="1"/>
  <c r="AG3"/>
  <c r="P11"/>
  <c r="P9"/>
  <c r="P13" i="5"/>
  <c r="P6"/>
  <c r="L13"/>
  <c r="K9"/>
  <c r="M9" s="1"/>
  <c r="N9" s="1"/>
  <c r="N7"/>
  <c r="N6"/>
  <c r="L8"/>
  <c r="L6"/>
  <c r="L7"/>
  <c r="L12"/>
  <c r="H11" i="6"/>
  <c r="B1"/>
  <c r="B2"/>
  <c r="I2" s="1"/>
  <c r="B3"/>
  <c r="B4"/>
  <c r="C4"/>
  <c r="B13"/>
  <c r="D13" s="1"/>
  <c r="D5" i="3"/>
  <c r="B15" i="2"/>
  <c r="B19"/>
  <c r="B16"/>
  <c r="B14"/>
  <c r="B13"/>
  <c r="B10"/>
  <c r="D24" l="1"/>
  <c r="M24"/>
  <c r="V24"/>
  <c r="I24"/>
  <c r="AC24"/>
  <c r="Y24"/>
  <c r="N24"/>
  <c r="L24"/>
  <c r="U24"/>
  <c r="O24"/>
  <c r="Q24"/>
  <c r="T24"/>
  <c r="H24"/>
  <c r="E24"/>
  <c r="AB24"/>
  <c r="AD24"/>
  <c r="P24"/>
  <c r="AG24"/>
  <c r="G24"/>
  <c r="G26" s="1"/>
  <c r="W24"/>
  <c r="X24"/>
  <c r="J24"/>
  <c r="AE24"/>
  <c r="AA24"/>
  <c r="AF24"/>
  <c r="Z24"/>
  <c r="S24"/>
  <c r="F24"/>
  <c r="R24"/>
  <c r="K24"/>
  <c r="C24"/>
  <c r="B24"/>
  <c r="D14" i="5"/>
  <c r="C16" i="4"/>
  <c r="B15" i="6" s="1"/>
  <c r="D15" s="1"/>
  <c r="U15" i="5"/>
  <c r="V15" s="1"/>
  <c r="K15"/>
  <c r="L15" s="1"/>
  <c r="C15"/>
  <c r="E15" s="1"/>
  <c r="F15" s="1"/>
  <c r="Q15"/>
  <c r="R15" s="1"/>
  <c r="O15"/>
  <c r="P15" s="1"/>
  <c r="M15"/>
  <c r="N15" s="1"/>
  <c r="G15"/>
  <c r="H15" s="1"/>
  <c r="D15" i="4"/>
  <c r="C14" i="6" s="1"/>
  <c r="Y15" i="5"/>
  <c r="Z15" s="1"/>
  <c r="E5" i="3"/>
  <c r="E6" s="1"/>
  <c r="E15" i="4"/>
  <c r="G15" s="1"/>
  <c r="W15" i="5"/>
  <c r="X15" s="1"/>
  <c r="B14" i="6"/>
  <c r="D14" s="1"/>
  <c r="F14" s="1"/>
  <c r="I15" i="5"/>
  <c r="J15" s="1"/>
  <c r="S15"/>
  <c r="T15" s="1"/>
  <c r="K10"/>
  <c r="M10" s="1"/>
  <c r="N10" s="1"/>
  <c r="F14" i="4"/>
  <c r="J13" i="6" s="1"/>
  <c r="G14" i="4"/>
  <c r="I14" s="1"/>
  <c r="I13"/>
  <c r="H13"/>
  <c r="P12" i="6" s="1"/>
  <c r="O12"/>
  <c r="Q12" s="1"/>
  <c r="R12" s="1"/>
  <c r="I11" i="5"/>
  <c r="J11" s="1"/>
  <c r="C17" i="4"/>
  <c r="S16" i="5"/>
  <c r="T16" s="1"/>
  <c r="L9"/>
  <c r="J11" i="4"/>
  <c r="V10" i="6" s="1"/>
  <c r="U10"/>
  <c r="W10" s="1"/>
  <c r="Y10" s="1"/>
  <c r="M10" i="4"/>
  <c r="N10" s="1"/>
  <c r="K11"/>
  <c r="L11" s="1"/>
  <c r="AB10" i="6" s="1"/>
  <c r="AD7"/>
  <c r="M12"/>
  <c r="BC5"/>
  <c r="AD11"/>
  <c r="R10"/>
  <c r="AJ7"/>
  <c r="BU7"/>
  <c r="Y11"/>
  <c r="R11"/>
  <c r="BU9"/>
  <c r="L10"/>
  <c r="X8"/>
  <c r="M11"/>
  <c r="AV5"/>
  <c r="BN5"/>
  <c r="BO6"/>
  <c r="BB5"/>
  <c r="AE11"/>
  <c r="BN6"/>
  <c r="BH5"/>
  <c r="BT9"/>
  <c r="BC11"/>
  <c r="M10"/>
  <c r="L12"/>
  <c r="AQ11"/>
  <c r="BN11"/>
  <c r="BU6"/>
  <c r="BT7"/>
  <c r="BB11"/>
  <c r="BO5"/>
  <c r="BI5"/>
  <c r="BI11"/>
  <c r="AP11"/>
  <c r="BT5"/>
  <c r="BT6"/>
  <c r="BN8"/>
  <c r="AW5"/>
  <c r="AE7"/>
  <c r="AQ5"/>
  <c r="BU8"/>
  <c r="BN7"/>
  <c r="BB6"/>
  <c r="AJ11"/>
  <c r="S9"/>
  <c r="S11"/>
  <c r="L11"/>
  <c r="BI6"/>
  <c r="AK6"/>
  <c r="BH6"/>
  <c r="BH11"/>
  <c r="BT8"/>
  <c r="BH7"/>
  <c r="BC6"/>
  <c r="Y8"/>
  <c r="S10"/>
  <c r="AK11"/>
  <c r="X11"/>
  <c r="M13"/>
  <c r="R9"/>
  <c r="BI7"/>
  <c r="BT11"/>
  <c r="L13"/>
  <c r="AJ6"/>
  <c r="AW11"/>
  <c r="BO7"/>
  <c r="BU11"/>
  <c r="AP5"/>
  <c r="BO8"/>
  <c r="BU5"/>
  <c r="AK7"/>
  <c r="AL7" s="1"/>
  <c r="H5" i="13" s="1"/>
  <c r="AV11" i="6"/>
  <c r="BO11"/>
  <c r="Y9"/>
  <c r="X9"/>
  <c r="AB8"/>
  <c r="AA8"/>
  <c r="AC8" s="1"/>
  <c r="AB9"/>
  <c r="AA9"/>
  <c r="AC9" s="1"/>
  <c r="F15"/>
  <c r="E13"/>
  <c r="D6" i="3"/>
  <c r="F13" i="6"/>
  <c r="E15"/>
  <c r="D3" i="3"/>
  <c r="Y11" i="5"/>
  <c r="W10"/>
  <c r="U10" s="1"/>
  <c r="U9"/>
  <c r="S9" s="1"/>
  <c r="Q9" s="1"/>
  <c r="O9" s="1"/>
  <c r="P9" s="1"/>
  <c r="S8"/>
  <c r="Q8" s="1"/>
  <c r="Q7"/>
  <c r="O7" s="1"/>
  <c r="P7" s="1"/>
  <c r="Z14"/>
  <c r="X14"/>
  <c r="V14"/>
  <c r="T14"/>
  <c r="R14"/>
  <c r="Z13"/>
  <c r="X13"/>
  <c r="V13"/>
  <c r="T13"/>
  <c r="R13"/>
  <c r="Z12"/>
  <c r="X12"/>
  <c r="V12"/>
  <c r="T12"/>
  <c r="R12"/>
  <c r="Z10"/>
  <c r="Z9"/>
  <c r="X9"/>
  <c r="Z8"/>
  <c r="X8"/>
  <c r="V8"/>
  <c r="Z7"/>
  <c r="X7"/>
  <c r="V7"/>
  <c r="T7"/>
  <c r="Z6"/>
  <c r="X6"/>
  <c r="V6"/>
  <c r="T6"/>
  <c r="R6"/>
  <c r="Y11" i="4"/>
  <c r="W10"/>
  <c r="BK9" i="6" s="1"/>
  <c r="BM9" s="1"/>
  <c r="BO9" s="1"/>
  <c r="U9" i="4"/>
  <c r="BE8" i="6" s="1"/>
  <c r="BG8" s="1"/>
  <c r="BI8" s="1"/>
  <c r="S8" i="4"/>
  <c r="T8" s="1"/>
  <c r="AZ7" i="6" s="1"/>
  <c r="Q7" i="4"/>
  <c r="Z6"/>
  <c r="BR5" i="6" s="1"/>
  <c r="Z7" i="4"/>
  <c r="BR6" i="6" s="1"/>
  <c r="Z8" i="4"/>
  <c r="BR7" i="6" s="1"/>
  <c r="Z9" i="4"/>
  <c r="BR8" i="6" s="1"/>
  <c r="Z10" i="4"/>
  <c r="BR9" i="6" s="1"/>
  <c r="X6" i="4"/>
  <c r="BL5" i="6" s="1"/>
  <c r="X7" i="4"/>
  <c r="BL6" i="6" s="1"/>
  <c r="X8" i="4"/>
  <c r="BL7" i="6" s="1"/>
  <c r="X9" i="4"/>
  <c r="BL8" i="6" s="1"/>
  <c r="V6" i="4"/>
  <c r="BF5" i="6" s="1"/>
  <c r="V7" i="4"/>
  <c r="BF6" i="6" s="1"/>
  <c r="V8" i="4"/>
  <c r="BF7" i="6" s="1"/>
  <c r="T6" i="4"/>
  <c r="AZ5" i="6" s="1"/>
  <c r="T7" i="4"/>
  <c r="AZ6" i="6" s="1"/>
  <c r="R6" i="4"/>
  <c r="AT5" i="6" s="1"/>
  <c r="Z12" i="4"/>
  <c r="BR11" i="6" s="1"/>
  <c r="X12" i="4"/>
  <c r="BL11" i="6" s="1"/>
  <c r="V12" i="4"/>
  <c r="BF11" i="6" s="1"/>
  <c r="T12" i="4"/>
  <c r="AZ11" i="6" s="1"/>
  <c r="R12" i="4"/>
  <c r="AT11" i="6" s="1"/>
  <c r="C13"/>
  <c r="M16" i="5" l="1"/>
  <c r="N16" s="1"/>
  <c r="T11" i="6"/>
  <c r="E9" i="13" s="1"/>
  <c r="D16" i="4"/>
  <c r="C15" i="6" s="1"/>
  <c r="O16" i="5"/>
  <c r="P16" s="1"/>
  <c r="U16"/>
  <c r="V16" s="1"/>
  <c r="N10" i="6"/>
  <c r="D8" i="13" s="1"/>
  <c r="E16" i="4"/>
  <c r="F16" s="1"/>
  <c r="J15" i="6" s="1"/>
  <c r="W16" i="5"/>
  <c r="X16" s="1"/>
  <c r="T10" i="6"/>
  <c r="E8" i="13" s="1"/>
  <c r="C16" i="5"/>
  <c r="D16" s="1"/>
  <c r="I16"/>
  <c r="J16" s="1"/>
  <c r="Q16"/>
  <c r="R16" s="1"/>
  <c r="F5" i="3"/>
  <c r="F6" s="1"/>
  <c r="F7" s="1"/>
  <c r="Z8" i="6"/>
  <c r="F6" i="13" s="1"/>
  <c r="A15" i="7"/>
  <c r="G16" i="5"/>
  <c r="H16" s="1"/>
  <c r="K16"/>
  <c r="L16" s="1"/>
  <c r="Y16"/>
  <c r="Z16" s="1"/>
  <c r="Z9" i="6"/>
  <c r="F7" i="13" s="1"/>
  <c r="N11" i="6"/>
  <c r="D9" i="13" s="1"/>
  <c r="D15" i="5"/>
  <c r="AR11" i="6"/>
  <c r="I9" i="13" s="1"/>
  <c r="AL11" i="6"/>
  <c r="H9" i="13" s="1"/>
  <c r="AL6" i="6"/>
  <c r="H4" i="13" s="1"/>
  <c r="T9" i="6"/>
  <c r="E7" i="13" s="1"/>
  <c r="Z11" i="6"/>
  <c r="F9" i="13" s="1"/>
  <c r="G15" i="6"/>
  <c r="C13" i="13" s="1"/>
  <c r="AR5" i="6"/>
  <c r="I3" i="13" s="1"/>
  <c r="J3" s="1"/>
  <c r="G13" i="6"/>
  <c r="C11" i="13" s="1"/>
  <c r="N13" i="6"/>
  <c r="D11" i="13" s="1"/>
  <c r="AF7" i="6"/>
  <c r="G5" i="13" s="1"/>
  <c r="AF11" i="6"/>
  <c r="G9" i="13" s="1"/>
  <c r="N12" i="6"/>
  <c r="D10" i="13" s="1"/>
  <c r="H14" i="4"/>
  <c r="P13" i="6" s="1"/>
  <c r="I14"/>
  <c r="K14" s="1"/>
  <c r="L14" s="1"/>
  <c r="E14"/>
  <c r="G14" s="1"/>
  <c r="C12" i="13" s="1"/>
  <c r="E3" i="3"/>
  <c r="O13" i="6"/>
  <c r="Q13" s="1"/>
  <c r="S13" s="1"/>
  <c r="L10" i="5"/>
  <c r="F15" i="4"/>
  <c r="J14" i="6" s="1"/>
  <c r="S12"/>
  <c r="T12" s="1"/>
  <c r="E10" i="13" s="1"/>
  <c r="K11" i="5"/>
  <c r="M11" s="1"/>
  <c r="N11" s="1"/>
  <c r="K13" i="4"/>
  <c r="J13"/>
  <c r="V12" i="6" s="1"/>
  <c r="U12"/>
  <c r="W12" s="1"/>
  <c r="H12"/>
  <c r="T8" i="5"/>
  <c r="V9"/>
  <c r="D7" i="3"/>
  <c r="D20" i="2"/>
  <c r="E7" i="3"/>
  <c r="E20" i="2"/>
  <c r="I15" i="4"/>
  <c r="H15"/>
  <c r="P14" i="6" s="1"/>
  <c r="O14"/>
  <c r="Q14" s="1"/>
  <c r="W11" i="5"/>
  <c r="U11" s="1"/>
  <c r="Z11"/>
  <c r="X10"/>
  <c r="K14" i="4"/>
  <c r="J14"/>
  <c r="V13" i="6" s="1"/>
  <c r="U13"/>
  <c r="W13" s="1"/>
  <c r="H13"/>
  <c r="C18" i="4"/>
  <c r="Q17" i="5"/>
  <c r="R17" s="1"/>
  <c r="W17"/>
  <c r="X17" s="1"/>
  <c r="O17"/>
  <c r="P17" s="1"/>
  <c r="S17"/>
  <c r="T17" s="1"/>
  <c r="U17"/>
  <c r="V17" s="1"/>
  <c r="Y17"/>
  <c r="Z17" s="1"/>
  <c r="K17"/>
  <c r="L17" s="1"/>
  <c r="I17"/>
  <c r="J17" s="1"/>
  <c r="M17"/>
  <c r="N17" s="1"/>
  <c r="G17"/>
  <c r="H17" s="1"/>
  <c r="C17"/>
  <c r="E17" i="4"/>
  <c r="D17"/>
  <c r="C16" i="6" s="1"/>
  <c r="A16" i="7"/>
  <c r="B16" i="6"/>
  <c r="D16" s="1"/>
  <c r="G5" i="3"/>
  <c r="O8" i="5"/>
  <c r="P8" s="1"/>
  <c r="R8"/>
  <c r="R7"/>
  <c r="T9"/>
  <c r="V9" i="4"/>
  <c r="BF8" i="6" s="1"/>
  <c r="U10" i="4"/>
  <c r="V10" s="1"/>
  <c r="BF9" i="6" s="1"/>
  <c r="X10"/>
  <c r="Z10" s="1"/>
  <c r="F8" i="13" s="1"/>
  <c r="AA10" i="6"/>
  <c r="AC10" s="1"/>
  <c r="AD10" s="1"/>
  <c r="X10" i="4"/>
  <c r="BL9" i="6" s="1"/>
  <c r="Q8" i="4"/>
  <c r="AY7" i="6"/>
  <c r="BA7" s="1"/>
  <c r="BH8"/>
  <c r="S9" i="4"/>
  <c r="Z11"/>
  <c r="BR10" i="6" s="1"/>
  <c r="BQ10"/>
  <c r="BS10" s="1"/>
  <c r="BN9"/>
  <c r="R7" i="4"/>
  <c r="AT6" i="6" s="1"/>
  <c r="O7" i="4"/>
  <c r="AS6" i="6"/>
  <c r="AU6" s="1"/>
  <c r="M11" i="4"/>
  <c r="N11" s="1"/>
  <c r="AH10" i="6" s="1"/>
  <c r="BJ6"/>
  <c r="BD6"/>
  <c r="BV5"/>
  <c r="BV9"/>
  <c r="BV8"/>
  <c r="BD11"/>
  <c r="BV11"/>
  <c r="BV6"/>
  <c r="BJ11"/>
  <c r="BP8"/>
  <c r="BP6"/>
  <c r="BJ7"/>
  <c r="BD5"/>
  <c r="BP7"/>
  <c r="BV7"/>
  <c r="BP11"/>
  <c r="AX11"/>
  <c r="AX5"/>
  <c r="BJ5"/>
  <c r="BP5"/>
  <c r="AG9"/>
  <c r="AI9" s="1"/>
  <c r="AH9"/>
  <c r="AE8"/>
  <c r="AD8"/>
  <c r="AG8"/>
  <c r="AI8" s="1"/>
  <c r="AH8"/>
  <c r="AD9"/>
  <c r="AE9"/>
  <c r="R9" i="5"/>
  <c r="V10"/>
  <c r="S10"/>
  <c r="W11" i="4"/>
  <c r="BK10" i="6" s="1"/>
  <c r="BM10" s="1"/>
  <c r="I15" l="1"/>
  <c r="K15" s="1"/>
  <c r="M15" s="1"/>
  <c r="G16" i="4"/>
  <c r="H16" s="1"/>
  <c r="P15" i="6" s="1"/>
  <c r="F3" i="3"/>
  <c r="E16" i="5"/>
  <c r="F16" s="1"/>
  <c r="F20" i="2"/>
  <c r="F22" s="1"/>
  <c r="AF8" i="6"/>
  <c r="G6" i="13" s="1"/>
  <c r="AF9" i="6"/>
  <c r="G7" i="13" s="1"/>
  <c r="M14" i="6"/>
  <c r="N14" s="1"/>
  <c r="D12" i="13" s="1"/>
  <c r="R13" i="6"/>
  <c r="T13" s="1"/>
  <c r="E11" i="13" s="1"/>
  <c r="L11" i="5"/>
  <c r="X11"/>
  <c r="X12" i="6"/>
  <c r="Y12"/>
  <c r="M13" i="4"/>
  <c r="AA12" i="6"/>
  <c r="AC12" s="1"/>
  <c r="L13" i="4"/>
  <c r="AB12" i="6" s="1"/>
  <c r="D25" i="2"/>
  <c r="D26"/>
  <c r="D22"/>
  <c r="E25"/>
  <c r="E26"/>
  <c r="E22"/>
  <c r="AE10" i="6"/>
  <c r="AF10" s="1"/>
  <c r="G8" i="13" s="1"/>
  <c r="G6" i="3"/>
  <c r="G3"/>
  <c r="O18" i="5"/>
  <c r="P18" s="1"/>
  <c r="U18"/>
  <c r="V18" s="1"/>
  <c r="M18"/>
  <c r="N18" s="1"/>
  <c r="Q18"/>
  <c r="R18" s="1"/>
  <c r="S18"/>
  <c r="T18" s="1"/>
  <c r="W18"/>
  <c r="X18" s="1"/>
  <c r="Y18"/>
  <c r="Z18" s="1"/>
  <c r="G18"/>
  <c r="H18" s="1"/>
  <c r="K18"/>
  <c r="L18" s="1"/>
  <c r="I18"/>
  <c r="J18" s="1"/>
  <c r="C18"/>
  <c r="E18" i="4"/>
  <c r="D18"/>
  <c r="C17" i="6" s="1"/>
  <c r="C19" i="4"/>
  <c r="A17" i="7"/>
  <c r="B17" i="6"/>
  <c r="D17" s="1"/>
  <c r="H5" i="3"/>
  <c r="E16" i="6"/>
  <c r="F16"/>
  <c r="Y13"/>
  <c r="X13"/>
  <c r="R14"/>
  <c r="S14"/>
  <c r="E17" i="5"/>
  <c r="F17" s="1"/>
  <c r="D17"/>
  <c r="G17" i="4"/>
  <c r="F17"/>
  <c r="J16" i="6" s="1"/>
  <c r="I16"/>
  <c r="K16" s="1"/>
  <c r="K15" i="4"/>
  <c r="J15"/>
  <c r="V14" i="6" s="1"/>
  <c r="U14"/>
  <c r="W14" s="1"/>
  <c r="H14"/>
  <c r="BJ8"/>
  <c r="M14" i="4"/>
  <c r="L14"/>
  <c r="AB13" i="6" s="1"/>
  <c r="AA13"/>
  <c r="AC13" s="1"/>
  <c r="I16" i="4"/>
  <c r="O15" i="6"/>
  <c r="Q15" s="1"/>
  <c r="BE9"/>
  <c r="BG9" s="1"/>
  <c r="BH9" s="1"/>
  <c r="S10" i="4"/>
  <c r="AY9" i="6" s="1"/>
  <c r="BA9" s="1"/>
  <c r="BB9" s="1"/>
  <c r="BP9"/>
  <c r="AV6"/>
  <c r="AW6"/>
  <c r="P7" i="4"/>
  <c r="AN6" i="6" s="1"/>
  <c r="AM6"/>
  <c r="AG10"/>
  <c r="AI10" s="1"/>
  <c r="AK10" s="1"/>
  <c r="AY8"/>
  <c r="BA8" s="1"/>
  <c r="T9" i="4"/>
  <c r="AZ8" i="6" s="1"/>
  <c r="Q9" i="4"/>
  <c r="BT10" i="6"/>
  <c r="BU10"/>
  <c r="BC7"/>
  <c r="BB7"/>
  <c r="BO10"/>
  <c r="BN10"/>
  <c r="O8" i="4"/>
  <c r="R8"/>
  <c r="AT7" i="6" s="1"/>
  <c r="AS7"/>
  <c r="AU7" s="1"/>
  <c r="AK8"/>
  <c r="AJ8"/>
  <c r="AK9"/>
  <c r="AJ9"/>
  <c r="S11" i="5"/>
  <c r="V11"/>
  <c r="U11" i="4"/>
  <c r="BE10" i="6" s="1"/>
  <c r="BG10" s="1"/>
  <c r="X11" i="4"/>
  <c r="BL10" i="6" s="1"/>
  <c r="T10" i="5"/>
  <c r="Q10"/>
  <c r="O10" s="1"/>
  <c r="P10" s="1"/>
  <c r="L15" i="6" l="1"/>
  <c r="N15" s="1"/>
  <c r="D13" i="13" s="1"/>
  <c r="F25" i="2"/>
  <c r="F26"/>
  <c r="AL8" i="6"/>
  <c r="H6" i="13" s="1"/>
  <c r="T14" i="6"/>
  <c r="E12" i="13" s="1"/>
  <c r="G16" i="6"/>
  <c r="C14" i="13" s="1"/>
  <c r="AL9" i="6"/>
  <c r="H7" i="13" s="1"/>
  <c r="Z12" i="6"/>
  <c r="F10" i="13" s="1"/>
  <c r="AO6" i="6"/>
  <c r="AP6" s="1"/>
  <c r="B4" i="13"/>
  <c r="Z13" i="6"/>
  <c r="F11" i="13" s="1"/>
  <c r="O13" i="4"/>
  <c r="N13"/>
  <c r="AH12" i="6" s="1"/>
  <c r="AG12"/>
  <c r="AI12" s="1"/>
  <c r="AE12"/>
  <c r="AD12"/>
  <c r="G7" i="3"/>
  <c r="G20" i="2"/>
  <c r="AD13" i="6"/>
  <c r="AE13"/>
  <c r="X14"/>
  <c r="Y14"/>
  <c r="H6" i="3"/>
  <c r="H3"/>
  <c r="S15" i="6"/>
  <c r="R15"/>
  <c r="F17"/>
  <c r="E17"/>
  <c r="L16"/>
  <c r="M16"/>
  <c r="M19" i="5"/>
  <c r="N19" s="1"/>
  <c r="O19"/>
  <c r="P19" s="1"/>
  <c r="S19"/>
  <c r="T19" s="1"/>
  <c r="K19"/>
  <c r="L19" s="1"/>
  <c r="Q19"/>
  <c r="R19" s="1"/>
  <c r="I19"/>
  <c r="J19" s="1"/>
  <c r="U19"/>
  <c r="V19" s="1"/>
  <c r="W19"/>
  <c r="X19" s="1"/>
  <c r="C19"/>
  <c r="G19"/>
  <c r="H19" s="1"/>
  <c r="Y19"/>
  <c r="Z19" s="1"/>
  <c r="D19" i="4"/>
  <c r="C18" i="6" s="1"/>
  <c r="A18" i="7"/>
  <c r="C20" i="4"/>
  <c r="E19"/>
  <c r="B18" i="6"/>
  <c r="D18" s="1"/>
  <c r="I5" i="3"/>
  <c r="K16" i="4"/>
  <c r="U15" i="6"/>
  <c r="W15" s="1"/>
  <c r="J16" i="4"/>
  <c r="V15" i="6" s="1"/>
  <c r="H15"/>
  <c r="M15" i="4"/>
  <c r="L15"/>
  <c r="AB14" i="6" s="1"/>
  <c r="AA14"/>
  <c r="AC14" s="1"/>
  <c r="O14" i="4"/>
  <c r="N14"/>
  <c r="AH13" i="6" s="1"/>
  <c r="AG13"/>
  <c r="AI13" s="1"/>
  <c r="I17" i="4"/>
  <c r="H17"/>
  <c r="P16" i="6" s="1"/>
  <c r="O16"/>
  <c r="Q16" s="1"/>
  <c r="G18" i="4"/>
  <c r="F18"/>
  <c r="J17" i="6" s="1"/>
  <c r="I17"/>
  <c r="K17" s="1"/>
  <c r="E18" i="5"/>
  <c r="F18" s="1"/>
  <c r="D18"/>
  <c r="BC9" i="6"/>
  <c r="BI9"/>
  <c r="BJ9" s="1"/>
  <c r="T10" i="4"/>
  <c r="AZ9" i="6" s="1"/>
  <c r="Q10" i="4"/>
  <c r="BD7" i="6"/>
  <c r="AV7"/>
  <c r="AW7"/>
  <c r="BP10"/>
  <c r="AJ10"/>
  <c r="AL10" s="1"/>
  <c r="H8" i="13" s="1"/>
  <c r="P8" i="4"/>
  <c r="AN7" i="6" s="1"/>
  <c r="AM7"/>
  <c r="BV10"/>
  <c r="BI10"/>
  <c r="BH10"/>
  <c r="R9" i="4"/>
  <c r="AT8" i="6" s="1"/>
  <c r="O9" i="4"/>
  <c r="AS8" i="6"/>
  <c r="AU8" s="1"/>
  <c r="BB8"/>
  <c r="BC8"/>
  <c r="AX6"/>
  <c r="R10" i="5"/>
  <c r="Q11"/>
  <c r="O11" s="1"/>
  <c r="P11" s="1"/>
  <c r="T11"/>
  <c r="V11" i="4"/>
  <c r="BF10" i="6" s="1"/>
  <c r="S11" i="4"/>
  <c r="AY10" i="6" s="1"/>
  <c r="BA10" s="1"/>
  <c r="T15" l="1"/>
  <c r="E13" i="13" s="1"/>
  <c r="AF13" i="6"/>
  <c r="G11" i="13" s="1"/>
  <c r="AQ6" i="6"/>
  <c r="AR6" s="1"/>
  <c r="I4" i="13" s="1"/>
  <c r="J4" s="1"/>
  <c r="G17" i="6"/>
  <c r="C15" i="13" s="1"/>
  <c r="AF12" i="6"/>
  <c r="G10" i="13" s="1"/>
  <c r="AO7" i="6"/>
  <c r="AP7" s="1"/>
  <c r="B5" i="13"/>
  <c r="N16" i="6"/>
  <c r="D14" i="13" s="1"/>
  <c r="Z14" i="6"/>
  <c r="F12" i="13" s="1"/>
  <c r="BD9" i="6"/>
  <c r="AK12"/>
  <c r="AJ12"/>
  <c r="Q13" i="4"/>
  <c r="P13"/>
  <c r="AN12" i="6" s="1"/>
  <c r="AM12"/>
  <c r="G25" i="2"/>
  <c r="G22"/>
  <c r="H7" i="3"/>
  <c r="H20" i="2"/>
  <c r="K20" i="5"/>
  <c r="L20" s="1"/>
  <c r="M20"/>
  <c r="N20" s="1"/>
  <c r="Q20"/>
  <c r="R20" s="1"/>
  <c r="Y20"/>
  <c r="Z20" s="1"/>
  <c r="I20"/>
  <c r="J20" s="1"/>
  <c r="C20"/>
  <c r="O20"/>
  <c r="P20" s="1"/>
  <c r="S20"/>
  <c r="T20" s="1"/>
  <c r="U20"/>
  <c r="V20" s="1"/>
  <c r="G20"/>
  <c r="H20" s="1"/>
  <c r="W20"/>
  <c r="X20" s="1"/>
  <c r="A19" i="7"/>
  <c r="B19" i="6"/>
  <c r="D19" s="1"/>
  <c r="D20" i="4"/>
  <c r="C19" i="6" s="1"/>
  <c r="J5" i="3"/>
  <c r="C21" i="4"/>
  <c r="E20"/>
  <c r="I18"/>
  <c r="H18"/>
  <c r="P17" i="6" s="1"/>
  <c r="O17"/>
  <c r="Q17" s="1"/>
  <c r="R16"/>
  <c r="S16"/>
  <c r="O15" i="4"/>
  <c r="N15"/>
  <c r="AH14" i="6" s="1"/>
  <c r="AG14"/>
  <c r="AI14" s="1"/>
  <c r="I6" i="3"/>
  <c r="I3"/>
  <c r="E19" i="5"/>
  <c r="F19" s="1"/>
  <c r="D19"/>
  <c r="E18" i="6"/>
  <c r="F18"/>
  <c r="K17" i="4"/>
  <c r="J17"/>
  <c r="V16" i="6" s="1"/>
  <c r="U16"/>
  <c r="W16" s="1"/>
  <c r="H16"/>
  <c r="X15"/>
  <c r="Y15"/>
  <c r="M16" i="4"/>
  <c r="L16"/>
  <c r="AB15" i="6" s="1"/>
  <c r="AA15"/>
  <c r="AC15" s="1"/>
  <c r="I18"/>
  <c r="K18" s="1"/>
  <c r="G19" i="4"/>
  <c r="F19"/>
  <c r="J18" i="6" s="1"/>
  <c r="AJ13"/>
  <c r="AK13"/>
  <c r="L17"/>
  <c r="M17"/>
  <c r="Q14" i="4"/>
  <c r="P14"/>
  <c r="AN13" i="6" s="1"/>
  <c r="AM13"/>
  <c r="AD14"/>
  <c r="AE14"/>
  <c r="AX7"/>
  <c r="AS9"/>
  <c r="AU9" s="1"/>
  <c r="R10" i="4"/>
  <c r="AT9" i="6" s="1"/>
  <c r="O10" i="4"/>
  <c r="BD8" i="6"/>
  <c r="BJ10"/>
  <c r="P9" i="4"/>
  <c r="AN8" i="6" s="1"/>
  <c r="AM8"/>
  <c r="BB10"/>
  <c r="BC10"/>
  <c r="AV8"/>
  <c r="AW8"/>
  <c r="R11" i="5"/>
  <c r="Q11" i="4"/>
  <c r="T11"/>
  <c r="AZ10" i="6" s="1"/>
  <c r="N17" l="1"/>
  <c r="D15" i="13" s="1"/>
  <c r="G18" i="6"/>
  <c r="C16" i="13" s="1"/>
  <c r="AQ7" i="6"/>
  <c r="AR7" s="1"/>
  <c r="I5" i="13" s="1"/>
  <c r="J5" s="1"/>
  <c r="AL13" i="6"/>
  <c r="H11" i="13" s="1"/>
  <c r="Z15" i="6"/>
  <c r="F13" i="13" s="1"/>
  <c r="AL12" i="6"/>
  <c r="H10" i="13" s="1"/>
  <c r="AO12" i="6"/>
  <c r="AQ12" s="1"/>
  <c r="B10" i="13"/>
  <c r="AO13" i="6"/>
  <c r="AQ13" s="1"/>
  <c r="B11" i="13"/>
  <c r="T16" i="6"/>
  <c r="E14" i="13" s="1"/>
  <c r="AO8" i="6"/>
  <c r="AP8" s="1"/>
  <c r="B6" i="13"/>
  <c r="AF14" i="6"/>
  <c r="G12" i="13" s="1"/>
  <c r="S13" i="4"/>
  <c r="AS12" i="6"/>
  <c r="AU12" s="1"/>
  <c r="R13" i="4"/>
  <c r="AT12" i="6" s="1"/>
  <c r="H25" i="2"/>
  <c r="H26"/>
  <c r="H22"/>
  <c r="I7" i="3"/>
  <c r="I20" i="2"/>
  <c r="X16" i="6"/>
  <c r="Y16"/>
  <c r="Q15" i="4"/>
  <c r="P15"/>
  <c r="AN14" i="6" s="1"/>
  <c r="AM14"/>
  <c r="Y21" i="5"/>
  <c r="Z21" s="1"/>
  <c r="I21"/>
  <c r="J21" s="1"/>
  <c r="C21"/>
  <c r="K21"/>
  <c r="L21" s="1"/>
  <c r="O21"/>
  <c r="P21" s="1"/>
  <c r="W21"/>
  <c r="X21" s="1"/>
  <c r="G21"/>
  <c r="H21" s="1"/>
  <c r="M21"/>
  <c r="N21" s="1"/>
  <c r="Q21"/>
  <c r="R21" s="1"/>
  <c r="S21"/>
  <c r="T21" s="1"/>
  <c r="U21"/>
  <c r="V21" s="1"/>
  <c r="B20" i="6"/>
  <c r="D20" s="1"/>
  <c r="K5" i="3"/>
  <c r="C22" i="4"/>
  <c r="E21"/>
  <c r="D21"/>
  <c r="C20" i="6" s="1"/>
  <c r="A20" i="7"/>
  <c r="J3" i="3"/>
  <c r="J6"/>
  <c r="I19" i="4"/>
  <c r="H19"/>
  <c r="P18" i="6" s="1"/>
  <c r="O18"/>
  <c r="Q18" s="1"/>
  <c r="E20" i="5"/>
  <c r="F20" s="1"/>
  <c r="D20"/>
  <c r="L18" i="6"/>
  <c r="M18"/>
  <c r="S14" i="4"/>
  <c r="AS13" i="6"/>
  <c r="AU13" s="1"/>
  <c r="R14" i="4"/>
  <c r="AT13" i="6" s="1"/>
  <c r="S17"/>
  <c r="R17"/>
  <c r="AD15"/>
  <c r="AE15"/>
  <c r="E19"/>
  <c r="F19"/>
  <c r="M17" i="4"/>
  <c r="L17"/>
  <c r="AB16" i="6" s="1"/>
  <c r="AA16"/>
  <c r="AC16" s="1"/>
  <c r="AJ14"/>
  <c r="AK14"/>
  <c r="K18" i="4"/>
  <c r="U17" i="6"/>
  <c r="W17" s="1"/>
  <c r="J18" i="4"/>
  <c r="V17" i="6" s="1"/>
  <c r="H17"/>
  <c r="O16" i="4"/>
  <c r="N16"/>
  <c r="AH15" i="6" s="1"/>
  <c r="AG15"/>
  <c r="AI15" s="1"/>
  <c r="G20" i="4"/>
  <c r="F20"/>
  <c r="J19" i="6" s="1"/>
  <c r="I19"/>
  <c r="K19" s="1"/>
  <c r="P10" i="4"/>
  <c r="AN9" i="6" s="1"/>
  <c r="AM9"/>
  <c r="AW9"/>
  <c r="AV9"/>
  <c r="AX8"/>
  <c r="R11" i="4"/>
  <c r="AT10" i="6" s="1"/>
  <c r="O11" i="4"/>
  <c r="AS10" i="6"/>
  <c r="AU10" s="1"/>
  <c r="BD10"/>
  <c r="AP13" l="1"/>
  <c r="AR13" s="1"/>
  <c r="I11" i="13" s="1"/>
  <c r="J11" s="1"/>
  <c r="AL14" i="6"/>
  <c r="H12" i="13" s="1"/>
  <c r="Z16" i="6"/>
  <c r="F14" i="13" s="1"/>
  <c r="N18" i="6"/>
  <c r="D16" i="13" s="1"/>
  <c r="AP12" i="6"/>
  <c r="AR12" s="1"/>
  <c r="I10" i="13" s="1"/>
  <c r="AQ8" i="6"/>
  <c r="AR8" s="1"/>
  <c r="I6" i="13" s="1"/>
  <c r="J6" s="1"/>
  <c r="G19" i="6"/>
  <c r="C17" i="13" s="1"/>
  <c r="AO9" i="6"/>
  <c r="AP9" s="1"/>
  <c r="B7" i="13"/>
  <c r="T17" i="6"/>
  <c r="E15" i="13" s="1"/>
  <c r="AO14" i="6"/>
  <c r="AQ14" s="1"/>
  <c r="B12" i="13"/>
  <c r="AF15" i="6"/>
  <c r="G13" i="13" s="1"/>
  <c r="AV12" i="6"/>
  <c r="AW12"/>
  <c r="U13" i="4"/>
  <c r="AY12" i="6"/>
  <c r="BA12" s="1"/>
  <c r="T13" i="4"/>
  <c r="AZ12" i="6" s="1"/>
  <c r="J7" i="3"/>
  <c r="J20" i="2"/>
  <c r="I25"/>
  <c r="I22"/>
  <c r="I26"/>
  <c r="U14" i="4"/>
  <c r="AY13" i="6"/>
  <c r="BA13" s="1"/>
  <c r="T14" i="4"/>
  <c r="AZ13" i="6" s="1"/>
  <c r="G21" i="4"/>
  <c r="F21"/>
  <c r="J20" i="6" s="1"/>
  <c r="I20"/>
  <c r="K20" s="1"/>
  <c r="S15" i="4"/>
  <c r="AS14" i="6"/>
  <c r="AU14" s="1"/>
  <c r="R15" i="4"/>
  <c r="AT14" i="6" s="1"/>
  <c r="M19"/>
  <c r="L19"/>
  <c r="X17"/>
  <c r="Y17"/>
  <c r="R18"/>
  <c r="S18"/>
  <c r="H20" i="4"/>
  <c r="P19" i="6" s="1"/>
  <c r="I20" i="4"/>
  <c r="O19" i="6"/>
  <c r="Q19" s="1"/>
  <c r="M18" i="4"/>
  <c r="L18"/>
  <c r="AB17" i="6" s="1"/>
  <c r="AA17"/>
  <c r="AC17" s="1"/>
  <c r="AW13"/>
  <c r="AV13"/>
  <c r="AD16"/>
  <c r="AE16"/>
  <c r="K6" i="3"/>
  <c r="K3"/>
  <c r="W22" i="5"/>
  <c r="X22" s="1"/>
  <c r="G22"/>
  <c r="H22" s="1"/>
  <c r="I22"/>
  <c r="J22" s="1"/>
  <c r="M22"/>
  <c r="N22" s="1"/>
  <c r="U22"/>
  <c r="V22" s="1"/>
  <c r="Y22"/>
  <c r="Z22" s="1"/>
  <c r="K22"/>
  <c r="L22" s="1"/>
  <c r="O22"/>
  <c r="P22" s="1"/>
  <c r="Q22"/>
  <c r="R22" s="1"/>
  <c r="C22"/>
  <c r="S22"/>
  <c r="T22" s="1"/>
  <c r="C23" i="4"/>
  <c r="A21" i="7"/>
  <c r="B21" i="6"/>
  <c r="D21" s="1"/>
  <c r="E22" i="4"/>
  <c r="D22"/>
  <c r="C21" i="6" s="1"/>
  <c r="L5" i="3"/>
  <c r="Q16" i="4"/>
  <c r="P16"/>
  <c r="AN15" i="6" s="1"/>
  <c r="AM15"/>
  <c r="E20"/>
  <c r="F20"/>
  <c r="U18"/>
  <c r="W18" s="1"/>
  <c r="H18"/>
  <c r="K19" i="4"/>
  <c r="J19"/>
  <c r="V18" i="6" s="1"/>
  <c r="AK15"/>
  <c r="AJ15"/>
  <c r="O17" i="4"/>
  <c r="N17"/>
  <c r="AH16" i="6" s="1"/>
  <c r="AG16"/>
  <c r="AI16" s="1"/>
  <c r="E21" i="5"/>
  <c r="F21" s="1"/>
  <c r="D21"/>
  <c r="AX9" i="6"/>
  <c r="AW10"/>
  <c r="AV10"/>
  <c r="P11" i="4"/>
  <c r="AN10" i="6" s="1"/>
  <c r="AM10"/>
  <c r="AP14" l="1"/>
  <c r="AR14" s="1"/>
  <c r="I12" i="13" s="1"/>
  <c r="J12" s="1"/>
  <c r="AQ9" i="6"/>
  <c r="AR9" s="1"/>
  <c r="I7" i="13" s="1"/>
  <c r="J7" s="1"/>
  <c r="AL15" i="6"/>
  <c r="H13" i="13" s="1"/>
  <c r="G20" i="6"/>
  <c r="C18" i="13" s="1"/>
  <c r="AF16" i="6"/>
  <c r="G14" i="13" s="1"/>
  <c r="T18" i="6"/>
  <c r="E16" i="13" s="1"/>
  <c r="N19" i="6"/>
  <c r="D17" i="13" s="1"/>
  <c r="AO10" i="6"/>
  <c r="AQ10" s="1"/>
  <c r="B8" i="13"/>
  <c r="AO15" i="6"/>
  <c r="AQ15" s="1"/>
  <c r="B13" i="13"/>
  <c r="Z17" i="6"/>
  <c r="F15" i="13" s="1"/>
  <c r="AX12" i="6"/>
  <c r="W13" i="4"/>
  <c r="BE12" i="6"/>
  <c r="BG12" s="1"/>
  <c r="V13" i="4"/>
  <c r="BF12" i="6" s="1"/>
  <c r="BC12"/>
  <c r="BB12"/>
  <c r="AX13"/>
  <c r="J25" i="2"/>
  <c r="J26"/>
  <c r="J22"/>
  <c r="K7" i="3"/>
  <c r="K20" i="2"/>
  <c r="AW14" i="6"/>
  <c r="AV14"/>
  <c r="U23" i="5"/>
  <c r="V23" s="1"/>
  <c r="K23"/>
  <c r="L23" s="1"/>
  <c r="S23"/>
  <c r="T23" s="1"/>
  <c r="W23"/>
  <c r="X23" s="1"/>
  <c r="M23"/>
  <c r="N23" s="1"/>
  <c r="I23"/>
  <c r="J23" s="1"/>
  <c r="O23"/>
  <c r="P23" s="1"/>
  <c r="C23"/>
  <c r="G23"/>
  <c r="H23" s="1"/>
  <c r="Y23"/>
  <c r="Z23" s="1"/>
  <c r="Q23"/>
  <c r="R23" s="1"/>
  <c r="C24" i="4"/>
  <c r="B22" i="6"/>
  <c r="D22" s="1"/>
  <c r="E23" i="4"/>
  <c r="A22" i="7"/>
  <c r="D23" i="4"/>
  <c r="C22" i="6" s="1"/>
  <c r="M5" i="3"/>
  <c r="AD17" i="6"/>
  <c r="AE17"/>
  <c r="U15" i="4"/>
  <c r="AY14" i="6"/>
  <c r="BA14" s="1"/>
  <c r="T15" i="4"/>
  <c r="AZ14" i="6" s="1"/>
  <c r="M20"/>
  <c r="L20"/>
  <c r="S16" i="4"/>
  <c r="AS15" i="6"/>
  <c r="AU15" s="1"/>
  <c r="R16" i="4"/>
  <c r="AT15" i="6" s="1"/>
  <c r="E22" i="5"/>
  <c r="F22" s="1"/>
  <c r="D22"/>
  <c r="AJ16" i="6"/>
  <c r="AK16"/>
  <c r="Y18"/>
  <c r="X18"/>
  <c r="J20" i="4"/>
  <c r="V19" i="6" s="1"/>
  <c r="U19"/>
  <c r="W19" s="1"/>
  <c r="H19"/>
  <c r="K20" i="4"/>
  <c r="O18"/>
  <c r="N18"/>
  <c r="AH17" i="6" s="1"/>
  <c r="AG17"/>
  <c r="AI17" s="1"/>
  <c r="G22" i="4"/>
  <c r="I21" i="6"/>
  <c r="K21" s="1"/>
  <c r="F22" i="4"/>
  <c r="J21" i="6" s="1"/>
  <c r="BB13"/>
  <c r="BC13"/>
  <c r="M19" i="4"/>
  <c r="L19"/>
  <c r="AB18" i="6" s="1"/>
  <c r="AA18"/>
  <c r="AC18" s="1"/>
  <c r="L3" i="3"/>
  <c r="L6"/>
  <c r="R19" i="6"/>
  <c r="S19"/>
  <c r="I21" i="4"/>
  <c r="H21"/>
  <c r="P20" i="6" s="1"/>
  <c r="O20"/>
  <c r="Q20" s="1"/>
  <c r="Q17" i="4"/>
  <c r="P17"/>
  <c r="AN16" i="6" s="1"/>
  <c r="AM16"/>
  <c r="E21"/>
  <c r="F21"/>
  <c r="W14" i="4"/>
  <c r="BE13" i="6"/>
  <c r="BG13" s="1"/>
  <c r="V14" i="4"/>
  <c r="BF13" i="6" s="1"/>
  <c r="AX10"/>
  <c r="AP10" l="1"/>
  <c r="AR10" s="1"/>
  <c r="I8" i="13" s="1"/>
  <c r="J8" s="1"/>
  <c r="N20" i="6"/>
  <c r="D18" i="13" s="1"/>
  <c r="AP15" i="6"/>
  <c r="AR15" s="1"/>
  <c r="I13" i="13" s="1"/>
  <c r="J13" s="1"/>
  <c r="AL16" i="6"/>
  <c r="H14" i="13" s="1"/>
  <c r="G21" i="6"/>
  <c r="C19" i="13" s="1"/>
  <c r="T19" i="6"/>
  <c r="E17" i="13" s="1"/>
  <c r="Z18" i="6"/>
  <c r="F16" i="13" s="1"/>
  <c r="AF17" i="6"/>
  <c r="G15" i="13" s="1"/>
  <c r="AO16" i="6"/>
  <c r="AP16" s="1"/>
  <c r="B14" i="13"/>
  <c r="AX14" i="6"/>
  <c r="BD12"/>
  <c r="BI12"/>
  <c r="BH12"/>
  <c r="Y13" i="4"/>
  <c r="BK12" i="6"/>
  <c r="BM12" s="1"/>
  <c r="X13" i="4"/>
  <c r="BL12" i="6" s="1"/>
  <c r="L7" i="3"/>
  <c r="L20" i="2"/>
  <c r="K25"/>
  <c r="K22"/>
  <c r="K26"/>
  <c r="BD13" i="6"/>
  <c r="AW15"/>
  <c r="AV15"/>
  <c r="W15" i="4"/>
  <c r="BE14" i="6"/>
  <c r="BG14" s="1"/>
  <c r="V15" i="4"/>
  <c r="BF14" i="6" s="1"/>
  <c r="S24" i="5"/>
  <c r="T24" s="1"/>
  <c r="Y24"/>
  <c r="Z24" s="1"/>
  <c r="Q24"/>
  <c r="R24" s="1"/>
  <c r="U24"/>
  <c r="V24" s="1"/>
  <c r="K24"/>
  <c r="L24" s="1"/>
  <c r="G24"/>
  <c r="H24" s="1"/>
  <c r="M24"/>
  <c r="N24" s="1"/>
  <c r="I24"/>
  <c r="J24" s="1"/>
  <c r="W24"/>
  <c r="X24" s="1"/>
  <c r="O24"/>
  <c r="P24" s="1"/>
  <c r="C24"/>
  <c r="N5" i="3"/>
  <c r="B23" i="6"/>
  <c r="D23" s="1"/>
  <c r="E24" i="4"/>
  <c r="D24"/>
  <c r="C23" i="6" s="1"/>
  <c r="A23" i="7"/>
  <c r="C25" i="4"/>
  <c r="Q18"/>
  <c r="P18"/>
  <c r="AN17" i="6" s="1"/>
  <c r="AM17"/>
  <c r="U16" i="4"/>
  <c r="AY15" i="6"/>
  <c r="BA15" s="1"/>
  <c r="T16" i="4"/>
  <c r="AZ15" i="6" s="1"/>
  <c r="M6" i="3"/>
  <c r="M3"/>
  <c r="M21" i="6"/>
  <c r="L21"/>
  <c r="E23" i="5"/>
  <c r="F23" s="1"/>
  <c r="D23"/>
  <c r="S17" i="4"/>
  <c r="AS16" i="6"/>
  <c r="AU16" s="1"/>
  <c r="R17" i="4"/>
  <c r="AT16" i="6" s="1"/>
  <c r="AD18"/>
  <c r="AE18"/>
  <c r="H22" i="4"/>
  <c r="P21" i="6" s="1"/>
  <c r="O21"/>
  <c r="Q21" s="1"/>
  <c r="I22" i="4"/>
  <c r="Y19" i="6"/>
  <c r="X19"/>
  <c r="U20"/>
  <c r="W20" s="1"/>
  <c r="H20"/>
  <c r="K21" i="4"/>
  <c r="J21"/>
  <c r="V20" i="6" s="1"/>
  <c r="L20" i="4"/>
  <c r="AB19" i="6" s="1"/>
  <c r="AA19"/>
  <c r="AC19" s="1"/>
  <c r="M20" i="4"/>
  <c r="BI13" i="6"/>
  <c r="BH13"/>
  <c r="R20"/>
  <c r="S20"/>
  <c r="F23" i="4"/>
  <c r="J22" i="6" s="1"/>
  <c r="G23" i="4"/>
  <c r="I22" i="6"/>
  <c r="K22" s="1"/>
  <c r="Y14" i="4"/>
  <c r="BK13" i="6"/>
  <c r="BM13" s="1"/>
  <c r="X14" i="4"/>
  <c r="BL13" i="6" s="1"/>
  <c r="AG18"/>
  <c r="AI18" s="1"/>
  <c r="N19" i="4"/>
  <c r="AH18" i="6" s="1"/>
  <c r="O19" i="4"/>
  <c r="AJ17" i="6"/>
  <c r="AK17"/>
  <c r="BB14"/>
  <c r="BC14"/>
  <c r="E22"/>
  <c r="F22"/>
  <c r="Z19" l="1"/>
  <c r="F17" i="13" s="1"/>
  <c r="N21" i="6"/>
  <c r="D19" i="13" s="1"/>
  <c r="AO17" i="6"/>
  <c r="AQ17" s="1"/>
  <c r="B15" i="13"/>
  <c r="G22" i="6"/>
  <c r="C20" i="13" s="1"/>
  <c r="AL17" i="6"/>
  <c r="H15" i="13" s="1"/>
  <c r="AQ16" i="6"/>
  <c r="AR16" s="1"/>
  <c r="I14" i="13" s="1"/>
  <c r="J14" s="1"/>
  <c r="T20" i="6"/>
  <c r="E18" i="13" s="1"/>
  <c r="AF18" i="6"/>
  <c r="G16" i="13" s="1"/>
  <c r="BJ13" i="6"/>
  <c r="AX15"/>
  <c r="BJ12"/>
  <c r="BD14"/>
  <c r="BN12"/>
  <c r="BO12"/>
  <c r="BQ12"/>
  <c r="BS12" s="1"/>
  <c r="Z13" i="4"/>
  <c r="BR12" i="6" s="1"/>
  <c r="M7" i="3"/>
  <c r="M20" i="2"/>
  <c r="L25"/>
  <c r="L22"/>
  <c r="L26"/>
  <c r="AK18" i="6"/>
  <c r="AJ18"/>
  <c r="S18" i="4"/>
  <c r="AS17" i="6"/>
  <c r="AU17" s="1"/>
  <c r="R18" i="4"/>
  <c r="AT17" i="6" s="1"/>
  <c r="P19" i="4"/>
  <c r="AN18" i="6" s="1"/>
  <c r="AM18"/>
  <c r="Q19" i="4"/>
  <c r="L22" i="6"/>
  <c r="M22"/>
  <c r="Y20"/>
  <c r="X20"/>
  <c r="Q25" i="5"/>
  <c r="R25" s="1"/>
  <c r="W25"/>
  <c r="X25" s="1"/>
  <c r="O25"/>
  <c r="P25" s="1"/>
  <c r="S25"/>
  <c r="T25" s="1"/>
  <c r="K25"/>
  <c r="L25" s="1"/>
  <c r="G25"/>
  <c r="H25" s="1"/>
  <c r="Y25"/>
  <c r="Z25" s="1"/>
  <c r="U25"/>
  <c r="V25" s="1"/>
  <c r="C25"/>
  <c r="M25"/>
  <c r="N25" s="1"/>
  <c r="I25"/>
  <c r="J25" s="1"/>
  <c r="E25" i="4"/>
  <c r="D25"/>
  <c r="C24" i="6" s="1"/>
  <c r="B24"/>
  <c r="D24" s="1"/>
  <c r="O5" i="3"/>
  <c r="A24" i="7"/>
  <c r="C26" i="4"/>
  <c r="H23"/>
  <c r="P22" i="6" s="1"/>
  <c r="O22"/>
  <c r="Q22" s="1"/>
  <c r="I23" i="4"/>
  <c r="AW16" i="6"/>
  <c r="AV16"/>
  <c r="U17" i="4"/>
  <c r="AY16" i="6"/>
  <c r="BA16" s="1"/>
  <c r="T17" i="4"/>
  <c r="AZ16" i="6" s="1"/>
  <c r="H21"/>
  <c r="K22" i="4"/>
  <c r="J22"/>
  <c r="V21" i="6" s="1"/>
  <c r="U21"/>
  <c r="W21" s="1"/>
  <c r="BN13"/>
  <c r="BO13"/>
  <c r="S21"/>
  <c r="R21"/>
  <c r="W16" i="4"/>
  <c r="BE15" i="6"/>
  <c r="BG15" s="1"/>
  <c r="V16" i="4"/>
  <c r="BF15" i="6" s="1"/>
  <c r="E23"/>
  <c r="F23"/>
  <c r="BI14"/>
  <c r="BH14"/>
  <c r="AE19"/>
  <c r="AD19"/>
  <c r="BB15"/>
  <c r="BC15"/>
  <c r="F24" i="4"/>
  <c r="J23" i="6" s="1"/>
  <c r="I23"/>
  <c r="K23" s="1"/>
  <c r="G24" i="4"/>
  <c r="Y15"/>
  <c r="BK14" i="6"/>
  <c r="BM14" s="1"/>
  <c r="X15" i="4"/>
  <c r="BL14" i="6" s="1"/>
  <c r="BQ13"/>
  <c r="BS13" s="1"/>
  <c r="Z14" i="4"/>
  <c r="BR13" i="6" s="1"/>
  <c r="N6" i="3"/>
  <c r="N3"/>
  <c r="AG19" i="6"/>
  <c r="AI19" s="1"/>
  <c r="O20" i="4"/>
  <c r="N20"/>
  <c r="AH19" i="6" s="1"/>
  <c r="AA20"/>
  <c r="AC20" s="1"/>
  <c r="M21" i="4"/>
  <c r="L21"/>
  <c r="AB20" i="6" s="1"/>
  <c r="E24" i="5"/>
  <c r="F24" s="1"/>
  <c r="D24"/>
  <c r="Z20" i="6" l="1"/>
  <c r="F18" i="13" s="1"/>
  <c r="AF19" i="6"/>
  <c r="G17" i="13" s="1"/>
  <c r="AL18" i="6"/>
  <c r="H16" i="13" s="1"/>
  <c r="AP17" i="6"/>
  <c r="AR17" s="1"/>
  <c r="I15" i="13" s="1"/>
  <c r="J15" s="1"/>
  <c r="G23" i="6"/>
  <c r="C21" i="13" s="1"/>
  <c r="N22" i="6"/>
  <c r="D20" i="13" s="1"/>
  <c r="AO18" i="6"/>
  <c r="AQ18" s="1"/>
  <c r="B16" i="13"/>
  <c r="T21" i="6"/>
  <c r="E19" i="13" s="1"/>
  <c r="AX16" i="6"/>
  <c r="BP12"/>
  <c r="BT12"/>
  <c r="BU12"/>
  <c r="BJ14"/>
  <c r="BP13"/>
  <c r="BD15"/>
  <c r="N7" i="3"/>
  <c r="N20" i="2"/>
  <c r="M25"/>
  <c r="M22"/>
  <c r="M26"/>
  <c r="AG20" i="6"/>
  <c r="AI20" s="1"/>
  <c r="O21" i="4"/>
  <c r="N21"/>
  <c r="AH20" i="6" s="1"/>
  <c r="I24" i="4"/>
  <c r="H24"/>
  <c r="P23" i="6" s="1"/>
  <c r="O23"/>
  <c r="Q23" s="1"/>
  <c r="S19" i="4"/>
  <c r="AS18" i="6"/>
  <c r="AU18" s="1"/>
  <c r="R19" i="4"/>
  <c r="AT18" i="6" s="1"/>
  <c r="AE20"/>
  <c r="AD20"/>
  <c r="L23"/>
  <c r="M23"/>
  <c r="BB16"/>
  <c r="BC16"/>
  <c r="W17" i="4"/>
  <c r="BE16" i="6"/>
  <c r="BG16" s="1"/>
  <c r="V17" i="4"/>
  <c r="BF16" i="6" s="1"/>
  <c r="O26" i="5"/>
  <c r="P26" s="1"/>
  <c r="U26"/>
  <c r="V26" s="1"/>
  <c r="M26"/>
  <c r="N26" s="1"/>
  <c r="Q26"/>
  <c r="R26" s="1"/>
  <c r="W26"/>
  <c r="X26" s="1"/>
  <c r="Y26"/>
  <c r="Z26" s="1"/>
  <c r="I26"/>
  <c r="J26" s="1"/>
  <c r="K26"/>
  <c r="L26" s="1"/>
  <c r="C26"/>
  <c r="S26"/>
  <c r="T26" s="1"/>
  <c r="G26"/>
  <c r="H26" s="1"/>
  <c r="E26" i="4"/>
  <c r="B25" i="6"/>
  <c r="D25" s="1"/>
  <c r="D26" i="4"/>
  <c r="C25" i="6" s="1"/>
  <c r="P5" i="3"/>
  <c r="A25" i="7"/>
  <c r="C27" i="4"/>
  <c r="E25" i="5"/>
  <c r="F25" s="1"/>
  <c r="D25"/>
  <c r="BT13" i="6"/>
  <c r="BU13"/>
  <c r="O6" i="3"/>
  <c r="O3"/>
  <c r="AV17" i="6"/>
  <c r="AW17"/>
  <c r="AJ19"/>
  <c r="AK19"/>
  <c r="BI15"/>
  <c r="BH15"/>
  <c r="AA21"/>
  <c r="AC21" s="1"/>
  <c r="M22" i="4"/>
  <c r="L22"/>
  <c r="AB21" i="6" s="1"/>
  <c r="E24"/>
  <c r="F24"/>
  <c r="U18" i="4"/>
  <c r="AY17" i="6"/>
  <c r="BA17" s="1"/>
  <c r="T18" i="4"/>
  <c r="AZ17" i="6" s="1"/>
  <c r="X21"/>
  <c r="Y21"/>
  <c r="Q20" i="4"/>
  <c r="P20"/>
  <c r="AN19" i="6" s="1"/>
  <c r="AM19"/>
  <c r="BN14"/>
  <c r="BO14"/>
  <c r="Y16" i="4"/>
  <c r="BK15" i="6"/>
  <c r="BM15" s="1"/>
  <c r="X16" i="4"/>
  <c r="BL15" i="6" s="1"/>
  <c r="K23" i="4"/>
  <c r="U22" i="6"/>
  <c r="W22" s="1"/>
  <c r="H22"/>
  <c r="J23" i="4"/>
  <c r="V22" i="6" s="1"/>
  <c r="BQ14"/>
  <c r="BS14" s="1"/>
  <c r="Z15" i="4"/>
  <c r="BR14" i="6" s="1"/>
  <c r="S22"/>
  <c r="R22"/>
  <c r="F25" i="4"/>
  <c r="J24" i="6" s="1"/>
  <c r="I24"/>
  <c r="K24" s="1"/>
  <c r="G25" i="4"/>
  <c r="AP18" i="6" l="1"/>
  <c r="AR18" s="1"/>
  <c r="I16" i="13" s="1"/>
  <c r="J16" s="1"/>
  <c r="Z21" i="6"/>
  <c r="F19" i="13" s="1"/>
  <c r="AL19" i="6"/>
  <c r="H17" i="13" s="1"/>
  <c r="T22" i="6"/>
  <c r="E20" i="13" s="1"/>
  <c r="AO19" i="6"/>
  <c r="AQ19" s="1"/>
  <c r="B17" i="13"/>
  <c r="G24" i="6"/>
  <c r="C22" i="13" s="1"/>
  <c r="AF20" i="6"/>
  <c r="G18" i="13" s="1"/>
  <c r="N23" i="6"/>
  <c r="D21" i="13" s="1"/>
  <c r="BV12" i="6"/>
  <c r="BD16"/>
  <c r="BP14"/>
  <c r="AX17"/>
  <c r="BJ15"/>
  <c r="BV13"/>
  <c r="N25" i="2"/>
  <c r="N22"/>
  <c r="N26"/>
  <c r="O7" i="3"/>
  <c r="O20" i="2"/>
  <c r="L24" i="6"/>
  <c r="M24"/>
  <c r="BN15"/>
  <c r="BO15"/>
  <c r="O22" i="4"/>
  <c r="N22"/>
  <c r="AH21" i="6" s="1"/>
  <c r="AG21"/>
  <c r="AI21" s="1"/>
  <c r="M27" i="5"/>
  <c r="N27" s="1"/>
  <c r="S27"/>
  <c r="T27" s="1"/>
  <c r="K27"/>
  <c r="L27" s="1"/>
  <c r="O27"/>
  <c r="P27" s="1"/>
  <c r="U27"/>
  <c r="V27" s="1"/>
  <c r="I27"/>
  <c r="J27" s="1"/>
  <c r="W27"/>
  <c r="X27" s="1"/>
  <c r="Y27"/>
  <c r="Z27" s="1"/>
  <c r="Q27"/>
  <c r="R27" s="1"/>
  <c r="C27"/>
  <c r="G27"/>
  <c r="H27" s="1"/>
  <c r="C28" i="4"/>
  <c r="E27"/>
  <c r="D27"/>
  <c r="C26" i="6" s="1"/>
  <c r="A26" i="7"/>
  <c r="B26" i="6"/>
  <c r="D26" s="1"/>
  <c r="Q5" i="3"/>
  <c r="E26" i="5"/>
  <c r="F26" s="1"/>
  <c r="D26"/>
  <c r="BU14" i="6"/>
  <c r="BT14"/>
  <c r="BQ15"/>
  <c r="BS15" s="1"/>
  <c r="Z16" i="4"/>
  <c r="BR15" i="6" s="1"/>
  <c r="AE21"/>
  <c r="AD21"/>
  <c r="S23"/>
  <c r="R23"/>
  <c r="H25" i="4"/>
  <c r="P24" i="6" s="1"/>
  <c r="O24"/>
  <c r="Q24" s="1"/>
  <c r="I25" i="4"/>
  <c r="P6" i="3"/>
  <c r="P3"/>
  <c r="BH16" i="6"/>
  <c r="BI16"/>
  <c r="W18" i="4"/>
  <c r="BE17" i="6"/>
  <c r="BG17" s="1"/>
  <c r="V18" i="4"/>
  <c r="BF17" i="6" s="1"/>
  <c r="F25"/>
  <c r="E25"/>
  <c r="X22"/>
  <c r="Y22"/>
  <c r="F26" i="4"/>
  <c r="J25" i="6" s="1"/>
  <c r="G26" i="4"/>
  <c r="I25" i="6"/>
  <c r="K25" s="1"/>
  <c r="AV18"/>
  <c r="AW18"/>
  <c r="Q21" i="4"/>
  <c r="P21"/>
  <c r="AN20" i="6" s="1"/>
  <c r="AM20"/>
  <c r="BB17"/>
  <c r="BC17"/>
  <c r="Y17" i="4"/>
  <c r="BK16" i="6"/>
  <c r="BM16" s="1"/>
  <c r="X17" i="4"/>
  <c r="BL16" i="6" s="1"/>
  <c r="L23" i="4"/>
  <c r="AB22" i="6" s="1"/>
  <c r="M23" i="4"/>
  <c r="AA22" i="6"/>
  <c r="AC22" s="1"/>
  <c r="AS19"/>
  <c r="AU19" s="1"/>
  <c r="R20" i="4"/>
  <c r="AT19" i="6" s="1"/>
  <c r="S20" i="4"/>
  <c r="AY18" i="6"/>
  <c r="BA18" s="1"/>
  <c r="T19" i="4"/>
  <c r="AZ18" i="6" s="1"/>
  <c r="U19" i="4"/>
  <c r="AJ20" i="6"/>
  <c r="AK20"/>
  <c r="K24" i="4"/>
  <c r="J24"/>
  <c r="V23" i="6" s="1"/>
  <c r="U23"/>
  <c r="W23" s="1"/>
  <c r="H23"/>
  <c r="AP19" l="1"/>
  <c r="AR19" s="1"/>
  <c r="I17" i="13" s="1"/>
  <c r="J17" s="1"/>
  <c r="G25" i="6"/>
  <c r="C23" i="13" s="1"/>
  <c r="T23" i="6"/>
  <c r="E21" i="13" s="1"/>
  <c r="Z22" i="6"/>
  <c r="F20" i="13" s="1"/>
  <c r="AO20" i="6"/>
  <c r="AP20" s="1"/>
  <c r="B18" i="13"/>
  <c r="AF21" i="6"/>
  <c r="G19" i="13" s="1"/>
  <c r="AL20" i="6"/>
  <c r="H18" i="13" s="1"/>
  <c r="N24" i="6"/>
  <c r="D22" i="13" s="1"/>
  <c r="BJ16" i="6"/>
  <c r="AX18"/>
  <c r="P7" i="3"/>
  <c r="P20" i="2"/>
  <c r="BD17" i="6"/>
  <c r="BV14"/>
  <c r="BP15"/>
  <c r="O25" i="2"/>
  <c r="O22"/>
  <c r="O26"/>
  <c r="V19" i="4"/>
  <c r="BF18" i="6" s="1"/>
  <c r="W19" i="4"/>
  <c r="BE18" i="6"/>
  <c r="BG18" s="1"/>
  <c r="AD22"/>
  <c r="AE22"/>
  <c r="BQ16"/>
  <c r="BS16" s="1"/>
  <c r="Z17" i="4"/>
  <c r="BR16" i="6" s="1"/>
  <c r="M25"/>
  <c r="L25"/>
  <c r="BI17"/>
  <c r="BH17"/>
  <c r="H24"/>
  <c r="U24"/>
  <c r="W24" s="1"/>
  <c r="K25" i="4"/>
  <c r="J25"/>
  <c r="V24" i="6" s="1"/>
  <c r="F26"/>
  <c r="E26"/>
  <c r="AK21"/>
  <c r="AJ21"/>
  <c r="O23" i="4"/>
  <c r="N23"/>
  <c r="AH22" i="6" s="1"/>
  <c r="AG22"/>
  <c r="AI22" s="1"/>
  <c r="I26" i="4"/>
  <c r="H26"/>
  <c r="P25" i="6" s="1"/>
  <c r="O25"/>
  <c r="Q25" s="1"/>
  <c r="Y18" i="4"/>
  <c r="BK17" i="6"/>
  <c r="BM17" s="1"/>
  <c r="X18" i="4"/>
  <c r="BL17" i="6" s="1"/>
  <c r="S24"/>
  <c r="R24"/>
  <c r="BC18"/>
  <c r="BB18"/>
  <c r="BU15"/>
  <c r="BT15"/>
  <c r="Q22" i="4"/>
  <c r="P22"/>
  <c r="AN21" i="6" s="1"/>
  <c r="AM21"/>
  <c r="Y23"/>
  <c r="X23"/>
  <c r="G27" i="4"/>
  <c r="F27"/>
  <c r="J26" i="6" s="1"/>
  <c r="I26"/>
  <c r="K26" s="1"/>
  <c r="AA23"/>
  <c r="AC23" s="1"/>
  <c r="L24" i="4"/>
  <c r="AB23" i="6" s="1"/>
  <c r="M24" i="4"/>
  <c r="AY19" i="6"/>
  <c r="BA19" s="1"/>
  <c r="T20" i="4"/>
  <c r="AZ19" i="6" s="1"/>
  <c r="U20" i="4"/>
  <c r="E27" i="5"/>
  <c r="F27" s="1"/>
  <c r="D27"/>
  <c r="Q28"/>
  <c r="R28" s="1"/>
  <c r="Y28"/>
  <c r="Z28" s="1"/>
  <c r="I28"/>
  <c r="J28" s="1"/>
  <c r="C28"/>
  <c r="K28"/>
  <c r="L28" s="1"/>
  <c r="M28"/>
  <c r="N28" s="1"/>
  <c r="S28"/>
  <c r="T28" s="1"/>
  <c r="G28"/>
  <c r="H28" s="1"/>
  <c r="U28"/>
  <c r="V28" s="1"/>
  <c r="W28"/>
  <c r="X28" s="1"/>
  <c r="O28"/>
  <c r="P28" s="1"/>
  <c r="E28" i="4"/>
  <c r="D28"/>
  <c r="R5" i="3"/>
  <c r="B27" i="6"/>
  <c r="D27" s="1"/>
  <c r="C29" i="4"/>
  <c r="A27" i="7"/>
  <c r="S21" i="4"/>
  <c r="AS20" i="6"/>
  <c r="AU20" s="1"/>
  <c r="R21" i="4"/>
  <c r="AT20" i="6" s="1"/>
  <c r="AW19"/>
  <c r="AV19"/>
  <c r="BN16"/>
  <c r="BO16"/>
  <c r="Q6" i="3"/>
  <c r="Q3"/>
  <c r="T24" i="6" l="1"/>
  <c r="E22" i="13" s="1"/>
  <c r="AQ20" i="6"/>
  <c r="AR20" s="1"/>
  <c r="I18" i="13" s="1"/>
  <c r="J18" s="1"/>
  <c r="G26" i="6"/>
  <c r="C24" i="13" s="1"/>
  <c r="N25" i="6"/>
  <c r="D23" i="13" s="1"/>
  <c r="C27" i="6"/>
  <c r="Z23"/>
  <c r="F21" i="13" s="1"/>
  <c r="AL21" i="6"/>
  <c r="H19" i="13" s="1"/>
  <c r="AO21" i="6"/>
  <c r="AQ21" s="1"/>
  <c r="B19" i="13"/>
  <c r="AF22" i="6"/>
  <c r="G20" i="13" s="1"/>
  <c r="BV15" i="6"/>
  <c r="BP16"/>
  <c r="BJ17"/>
  <c r="Q7" i="3"/>
  <c r="Q20" i="2"/>
  <c r="P25"/>
  <c r="P26"/>
  <c r="P22"/>
  <c r="R6" i="3"/>
  <c r="R3"/>
  <c r="L26" i="6"/>
  <c r="M26"/>
  <c r="J26" i="4"/>
  <c r="V25" i="6" s="1"/>
  <c r="K26" i="4"/>
  <c r="U25" i="6"/>
  <c r="W25" s="1"/>
  <c r="H25"/>
  <c r="AW20"/>
  <c r="AV20"/>
  <c r="G28" i="4"/>
  <c r="F28"/>
  <c r="I27" i="6"/>
  <c r="K27" s="1"/>
  <c r="E28" i="5"/>
  <c r="F28" s="1"/>
  <c r="D28"/>
  <c r="W20" i="4"/>
  <c r="BE19" i="6"/>
  <c r="BG19" s="1"/>
  <c r="V20" i="4"/>
  <c r="BF19" i="6" s="1"/>
  <c r="H27" i="4"/>
  <c r="P26" i="6" s="1"/>
  <c r="O26"/>
  <c r="Q26" s="1"/>
  <c r="I27" i="4"/>
  <c r="AJ22" i="6"/>
  <c r="AK22"/>
  <c r="AA24"/>
  <c r="AC24" s="1"/>
  <c r="M25" i="4"/>
  <c r="L25"/>
  <c r="AB24" i="6" s="1"/>
  <c r="BU16"/>
  <c r="BT16"/>
  <c r="AS21"/>
  <c r="AU21" s="1"/>
  <c r="R22" i="4"/>
  <c r="AT21" i="6" s="1"/>
  <c r="S22" i="4"/>
  <c r="O24"/>
  <c r="N24"/>
  <c r="AH23" i="6" s="1"/>
  <c r="AG23"/>
  <c r="AI23" s="1"/>
  <c r="BH18"/>
  <c r="BI18"/>
  <c r="U21" i="4"/>
  <c r="AY20" i="6"/>
  <c r="BA20" s="1"/>
  <c r="T21" i="4"/>
  <c r="AZ20" i="6" s="1"/>
  <c r="BB19"/>
  <c r="BC19"/>
  <c r="Q23" i="4"/>
  <c r="P23"/>
  <c r="AN22" i="6" s="1"/>
  <c r="AM22"/>
  <c r="BN17"/>
  <c r="BO17"/>
  <c r="Y29" i="5"/>
  <c r="Z29" s="1"/>
  <c r="O29"/>
  <c r="P29" s="1"/>
  <c r="W29"/>
  <c r="X29" s="1"/>
  <c r="G29"/>
  <c r="H29" s="1"/>
  <c r="I29"/>
  <c r="J29" s="1"/>
  <c r="C29"/>
  <c r="K29"/>
  <c r="L29" s="1"/>
  <c r="Q29"/>
  <c r="R29" s="1"/>
  <c r="S29"/>
  <c r="T29" s="1"/>
  <c r="U29"/>
  <c r="V29" s="1"/>
  <c r="M29"/>
  <c r="N29" s="1"/>
  <c r="S5" i="3"/>
  <c r="B28" i="6"/>
  <c r="D28" s="1"/>
  <c r="E29" i="4"/>
  <c r="D29"/>
  <c r="C28" i="6" s="1"/>
  <c r="A28" i="7"/>
  <c r="C30" i="4"/>
  <c r="BQ17" i="6"/>
  <c r="BS17" s="1"/>
  <c r="Z18" i="4"/>
  <c r="BR17" i="6" s="1"/>
  <c r="Y19" i="4"/>
  <c r="BK18" i="6"/>
  <c r="BM18" s="1"/>
  <c r="X19" i="4"/>
  <c r="BL18" i="6" s="1"/>
  <c r="Y24"/>
  <c r="X24"/>
  <c r="AX19"/>
  <c r="E27"/>
  <c r="F27"/>
  <c r="AE23"/>
  <c r="AD23"/>
  <c r="BD18"/>
  <c r="S25"/>
  <c r="R25"/>
  <c r="J27" l="1"/>
  <c r="Z24"/>
  <c r="F22" i="13" s="1"/>
  <c r="T25" i="6"/>
  <c r="E23" i="13" s="1"/>
  <c r="AP21" i="6"/>
  <c r="AR21" s="1"/>
  <c r="I19" i="13" s="1"/>
  <c r="J19" s="1"/>
  <c r="AF23" i="6"/>
  <c r="G21" i="13" s="1"/>
  <c r="G27" i="6"/>
  <c r="C25" i="13" s="1"/>
  <c r="AO22" i="6"/>
  <c r="AP22" s="1"/>
  <c r="B20" i="13"/>
  <c r="AL22" i="6"/>
  <c r="H20" i="13" s="1"/>
  <c r="N26" i="6"/>
  <c r="D24" i="13" s="1"/>
  <c r="BP17" i="6"/>
  <c r="BV16"/>
  <c r="BJ18"/>
  <c r="R7" i="3"/>
  <c r="R20" i="2"/>
  <c r="BD19" i="6"/>
  <c r="Q25" i="2"/>
  <c r="Q26"/>
  <c r="Q22"/>
  <c r="W30" i="5"/>
  <c r="X30" s="1"/>
  <c r="M30"/>
  <c r="N30" s="1"/>
  <c r="U30"/>
  <c r="V30" s="1"/>
  <c r="G30"/>
  <c r="H30" s="1"/>
  <c r="Y30"/>
  <c r="Z30" s="1"/>
  <c r="O30"/>
  <c r="P30" s="1"/>
  <c r="Q30"/>
  <c r="R30" s="1"/>
  <c r="I30"/>
  <c r="J30" s="1"/>
  <c r="S30"/>
  <c r="T30" s="1"/>
  <c r="K30"/>
  <c r="L30" s="1"/>
  <c r="C30"/>
  <c r="E30" i="4"/>
  <c r="D30"/>
  <c r="C29" i="6" s="1"/>
  <c r="C31" i="4"/>
  <c r="A29" i="7"/>
  <c r="B29" i="6"/>
  <c r="D29" s="1"/>
  <c r="T5" i="3"/>
  <c r="P24" i="4"/>
  <c r="AN23" i="6" s="1"/>
  <c r="Q24" i="4"/>
  <c r="AM23" i="6"/>
  <c r="AG24"/>
  <c r="AI24" s="1"/>
  <c r="O25" i="4"/>
  <c r="N25"/>
  <c r="AH24" i="6" s="1"/>
  <c r="I28" i="4"/>
  <c r="H28"/>
  <c r="O27" i="6"/>
  <c r="Q27" s="1"/>
  <c r="AE24"/>
  <c r="AD24"/>
  <c r="BB20"/>
  <c r="BC20"/>
  <c r="U22" i="4"/>
  <c r="AY21" i="6"/>
  <c r="BA21" s="1"/>
  <c r="T22" i="4"/>
  <c r="AZ21" i="6" s="1"/>
  <c r="BH19"/>
  <c r="BI19"/>
  <c r="AX20"/>
  <c r="E29" i="5"/>
  <c r="F29" s="1"/>
  <c r="D29"/>
  <c r="W21" i="4"/>
  <c r="BE20" i="6"/>
  <c r="BG20" s="1"/>
  <c r="V21" i="4"/>
  <c r="BF20" i="6" s="1"/>
  <c r="BQ18"/>
  <c r="BS18" s="1"/>
  <c r="Z19" i="4"/>
  <c r="BR18" i="6" s="1"/>
  <c r="AW21"/>
  <c r="AV21"/>
  <c r="Y25"/>
  <c r="X25"/>
  <c r="F29" i="4"/>
  <c r="J28" i="6" s="1"/>
  <c r="I28"/>
  <c r="K28" s="1"/>
  <c r="G29" i="4"/>
  <c r="Y20"/>
  <c r="BK19" i="6"/>
  <c r="BM19" s="1"/>
  <c r="X20" i="4"/>
  <c r="BL19" i="6" s="1"/>
  <c r="E28"/>
  <c r="F28"/>
  <c r="S6" i="3"/>
  <c r="S3"/>
  <c r="BU17" i="6"/>
  <c r="BT17"/>
  <c r="AS22"/>
  <c r="AU22" s="1"/>
  <c r="R23" i="4"/>
  <c r="AT22" i="6" s="1"/>
  <c r="S23" i="4"/>
  <c r="AK23" i="6"/>
  <c r="AJ23"/>
  <c r="J27" i="4"/>
  <c r="V26" i="6" s="1"/>
  <c r="U26"/>
  <c r="W26" s="1"/>
  <c r="H26"/>
  <c r="K27" i="4"/>
  <c r="L27" i="6"/>
  <c r="M27"/>
  <c r="L26" i="4"/>
  <c r="AB25" i="6" s="1"/>
  <c r="AA25"/>
  <c r="AC25" s="1"/>
  <c r="M26" i="4"/>
  <c r="BN18" i="6"/>
  <c r="BO18"/>
  <c r="S26"/>
  <c r="R26"/>
  <c r="AL23" l="1"/>
  <c r="H21" i="13" s="1"/>
  <c r="AF24" i="6"/>
  <c r="G22" i="13" s="1"/>
  <c r="P27" i="6"/>
  <c r="Z25"/>
  <c r="F23" i="13" s="1"/>
  <c r="T26" i="6"/>
  <c r="E24" i="13" s="1"/>
  <c r="G28" i="6"/>
  <c r="C26" i="13" s="1"/>
  <c r="AQ22" i="6"/>
  <c r="AR22" s="1"/>
  <c r="I20" i="13" s="1"/>
  <c r="J20" s="1"/>
  <c r="N27" i="6"/>
  <c r="D25" i="13" s="1"/>
  <c r="AO23" i="6"/>
  <c r="AQ23" s="1"/>
  <c r="B21" i="13"/>
  <c r="BV17" i="6"/>
  <c r="BP18"/>
  <c r="S7" i="3"/>
  <c r="S20" i="2"/>
  <c r="R25"/>
  <c r="R26"/>
  <c r="R22"/>
  <c r="BN19" i="6"/>
  <c r="BO19"/>
  <c r="K28" i="4"/>
  <c r="U27" i="6"/>
  <c r="W27" s="1"/>
  <c r="J28" i="4"/>
  <c r="H27" i="6"/>
  <c r="F29"/>
  <c r="E29"/>
  <c r="X26"/>
  <c r="Y26"/>
  <c r="BQ19"/>
  <c r="BS19" s="1"/>
  <c r="Z20" i="4"/>
  <c r="BR19" i="6" s="1"/>
  <c r="BD20"/>
  <c r="O26" i="4"/>
  <c r="N26"/>
  <c r="AH25" i="6" s="1"/>
  <c r="AG25"/>
  <c r="AI25" s="1"/>
  <c r="O28"/>
  <c r="Q28" s="1"/>
  <c r="I29" i="4"/>
  <c r="H29"/>
  <c r="P28" i="6" s="1"/>
  <c r="P25" i="4"/>
  <c r="AN24" i="6" s="1"/>
  <c r="AM24"/>
  <c r="Q25" i="4"/>
  <c r="U31" i="5"/>
  <c r="V31" s="1"/>
  <c r="K31"/>
  <c r="L31" s="1"/>
  <c r="S31"/>
  <c r="T31" s="1"/>
  <c r="W31"/>
  <c r="X31" s="1"/>
  <c r="Y31"/>
  <c r="Z31" s="1"/>
  <c r="M31"/>
  <c r="N31" s="1"/>
  <c r="C31"/>
  <c r="O31"/>
  <c r="P31" s="1"/>
  <c r="G31"/>
  <c r="H31" s="1"/>
  <c r="Q31"/>
  <c r="R31" s="1"/>
  <c r="I31"/>
  <c r="J31" s="1"/>
  <c r="E31" i="4"/>
  <c r="D31"/>
  <c r="C30" i="6" s="1"/>
  <c r="B30"/>
  <c r="D30" s="1"/>
  <c r="U5" i="3"/>
  <c r="A30" i="7"/>
  <c r="C32" i="4"/>
  <c r="AK24" i="6"/>
  <c r="AJ24"/>
  <c r="BU18"/>
  <c r="BT18"/>
  <c r="AP23"/>
  <c r="T23" i="4"/>
  <c r="AZ22" i="6" s="1"/>
  <c r="U23" i="4"/>
  <c r="AY22" i="6"/>
  <c r="BA22" s="1"/>
  <c r="AS23"/>
  <c r="AU23" s="1"/>
  <c r="S24" i="4"/>
  <c r="R24"/>
  <c r="AT23" i="6" s="1"/>
  <c r="E30" i="5"/>
  <c r="F30" s="1"/>
  <c r="D30"/>
  <c r="L28" i="6"/>
  <c r="M28"/>
  <c r="BJ19"/>
  <c r="BI20"/>
  <c r="BH20"/>
  <c r="BC21"/>
  <c r="BB21"/>
  <c r="S27"/>
  <c r="R27"/>
  <c r="AD25"/>
  <c r="AE25"/>
  <c r="F30" i="4"/>
  <c r="J29" i="6" s="1"/>
  <c r="I29"/>
  <c r="K29" s="1"/>
  <c r="G30" i="4"/>
  <c r="M27"/>
  <c r="AA26" i="6"/>
  <c r="AC26" s="1"/>
  <c r="L27" i="4"/>
  <c r="AB26" i="6" s="1"/>
  <c r="AV22"/>
  <c r="AW22"/>
  <c r="AX21"/>
  <c r="BK20"/>
  <c r="BM20" s="1"/>
  <c r="X21" i="4"/>
  <c r="BL20" i="6" s="1"/>
  <c r="Y21" i="4"/>
  <c r="W22"/>
  <c r="BE21" i="6"/>
  <c r="BG21" s="1"/>
  <c r="V22" i="4"/>
  <c r="BF21" i="6" s="1"/>
  <c r="T6" i="3"/>
  <c r="T3"/>
  <c r="N28" i="6" l="1"/>
  <c r="D26" i="13" s="1"/>
  <c r="AL24" i="6"/>
  <c r="H22" i="13" s="1"/>
  <c r="T27" i="6"/>
  <c r="E25" i="13" s="1"/>
  <c r="V27" i="6"/>
  <c r="AR23"/>
  <c r="I21" i="13" s="1"/>
  <c r="J21" s="1"/>
  <c r="AF25" i="6"/>
  <c r="G23" i="13" s="1"/>
  <c r="G29" i="6"/>
  <c r="C27" i="13" s="1"/>
  <c r="Z26" i="6"/>
  <c r="F24" i="13" s="1"/>
  <c r="AO24" i="6"/>
  <c r="AQ24" s="1"/>
  <c r="B22" i="13"/>
  <c r="BV18" i="6"/>
  <c r="BJ20"/>
  <c r="BP19"/>
  <c r="AX22"/>
  <c r="T7" i="3"/>
  <c r="T20" i="2"/>
  <c r="S25"/>
  <c r="S22"/>
  <c r="S26"/>
  <c r="BN20" i="6"/>
  <c r="BO20"/>
  <c r="L29"/>
  <c r="M29"/>
  <c r="S25" i="4"/>
  <c r="AS24" i="6"/>
  <c r="AU24" s="1"/>
  <c r="R25" i="4"/>
  <c r="AT24" i="6" s="1"/>
  <c r="AK25"/>
  <c r="AJ25"/>
  <c r="U3" i="3"/>
  <c r="U6"/>
  <c r="E31" i="5"/>
  <c r="F31" s="1"/>
  <c r="D31"/>
  <c r="AP24" i="6"/>
  <c r="F30"/>
  <c r="E30"/>
  <c r="AM25"/>
  <c r="Q26" i="4"/>
  <c r="P26"/>
  <c r="AN25" i="6" s="1"/>
  <c r="K29" i="4"/>
  <c r="U28" i="6"/>
  <c r="W28" s="1"/>
  <c r="H28"/>
  <c r="J29" i="4"/>
  <c r="V28" i="6" s="1"/>
  <c r="BU19"/>
  <c r="BT19"/>
  <c r="M28" i="4"/>
  <c r="L28"/>
  <c r="AA27" i="6"/>
  <c r="AC27" s="1"/>
  <c r="U24" i="4"/>
  <c r="AY23" i="6"/>
  <c r="BA23" s="1"/>
  <c r="T24" i="4"/>
  <c r="AZ23" i="6" s="1"/>
  <c r="AW23"/>
  <c r="AV23"/>
  <c r="G31" i="4"/>
  <c r="F31"/>
  <c r="J30" i="6" s="1"/>
  <c r="I30"/>
  <c r="K30" s="1"/>
  <c r="BK21"/>
  <c r="BM21" s="1"/>
  <c r="X22" i="4"/>
  <c r="BL21" i="6" s="1"/>
  <c r="Y22" i="4"/>
  <c r="AE26" i="6"/>
  <c r="AD26"/>
  <c r="W23" i="4"/>
  <c r="BE22" i="6"/>
  <c r="BG22" s="1"/>
  <c r="V23" i="4"/>
  <c r="BF22" i="6" s="1"/>
  <c r="R28"/>
  <c r="S28"/>
  <c r="BH21"/>
  <c r="BI21"/>
  <c r="X27"/>
  <c r="Y27"/>
  <c r="BC22"/>
  <c r="BB22"/>
  <c r="BQ20"/>
  <c r="BS20" s="1"/>
  <c r="Z21" i="4"/>
  <c r="BR20" i="6" s="1"/>
  <c r="O27" i="4"/>
  <c r="N27"/>
  <c r="AH26" i="6" s="1"/>
  <c r="AG26"/>
  <c r="AI26" s="1"/>
  <c r="O29"/>
  <c r="Q29" s="1"/>
  <c r="I30" i="4"/>
  <c r="H30"/>
  <c r="P29" i="6" s="1"/>
  <c r="BD21"/>
  <c r="S32" i="5"/>
  <c r="T32" s="1"/>
  <c r="Y32"/>
  <c r="Z32" s="1"/>
  <c r="Q32"/>
  <c r="R32" s="1"/>
  <c r="U32"/>
  <c r="V32" s="1"/>
  <c r="W32"/>
  <c r="X32" s="1"/>
  <c r="I32"/>
  <c r="J32" s="1"/>
  <c r="K32"/>
  <c r="L32" s="1"/>
  <c r="M32"/>
  <c r="N32" s="1"/>
  <c r="C32"/>
  <c r="O32"/>
  <c r="P32" s="1"/>
  <c r="G32"/>
  <c r="H32" s="1"/>
  <c r="E32" i="4"/>
  <c r="C33"/>
  <c r="A31" i="7"/>
  <c r="V5" i="3"/>
  <c r="B31" i="6"/>
  <c r="D31" s="1"/>
  <c r="D32" i="4"/>
  <c r="C31" i="6" s="1"/>
  <c r="T28" l="1"/>
  <c r="E26" i="13" s="1"/>
  <c r="AR24" i="6"/>
  <c r="I22" i="13" s="1"/>
  <c r="J22" s="1"/>
  <c r="AF26" i="6"/>
  <c r="G24" i="13" s="1"/>
  <c r="AB27" i="6"/>
  <c r="Z27"/>
  <c r="F25" i="13" s="1"/>
  <c r="G30" i="6"/>
  <c r="C28" i="13" s="1"/>
  <c r="AL25" i="6"/>
  <c r="H23" i="13" s="1"/>
  <c r="N29" i="6"/>
  <c r="D27" i="13" s="1"/>
  <c r="AO25" i="6"/>
  <c r="B23" i="13"/>
  <c r="BD22" i="6"/>
  <c r="T25" i="2"/>
  <c r="T22"/>
  <c r="T26"/>
  <c r="AX23" i="6"/>
  <c r="BV19"/>
  <c r="U7" i="3"/>
  <c r="U20" i="2"/>
  <c r="S26" i="4"/>
  <c r="AS25" i="6"/>
  <c r="AU25" s="1"/>
  <c r="R26" i="4"/>
  <c r="AT25" i="6" s="1"/>
  <c r="Q33" i="5"/>
  <c r="R33" s="1"/>
  <c r="W33"/>
  <c r="X33" s="1"/>
  <c r="O33"/>
  <c r="P33" s="1"/>
  <c r="S33"/>
  <c r="T33" s="1"/>
  <c r="U33"/>
  <c r="V33" s="1"/>
  <c r="G33"/>
  <c r="H33" s="1"/>
  <c r="Y33"/>
  <c r="Z33" s="1"/>
  <c r="I33"/>
  <c r="J33" s="1"/>
  <c r="K33"/>
  <c r="L33" s="1"/>
  <c r="M33"/>
  <c r="N33" s="1"/>
  <c r="C33"/>
  <c r="D33" i="4"/>
  <c r="C32" i="6" s="1"/>
  <c r="A32" i="7"/>
  <c r="W5" i="3"/>
  <c r="B32" i="6"/>
  <c r="D32" s="1"/>
  <c r="C34" i="4"/>
  <c r="E33"/>
  <c r="M30" i="6"/>
  <c r="L30"/>
  <c r="W24" i="4"/>
  <c r="V24"/>
  <c r="BF23" i="6" s="1"/>
  <c r="BE23"/>
  <c r="BG23" s="1"/>
  <c r="X28"/>
  <c r="Y28"/>
  <c r="F32" i="4"/>
  <c r="J31" i="6" s="1"/>
  <c r="I31"/>
  <c r="K31" s="1"/>
  <c r="G32" i="4"/>
  <c r="K30"/>
  <c r="J30"/>
  <c r="V29" i="6" s="1"/>
  <c r="U29"/>
  <c r="W29" s="1"/>
  <c r="H29"/>
  <c r="BI22"/>
  <c r="BH22"/>
  <c r="AE27"/>
  <c r="AD27"/>
  <c r="AA28"/>
  <c r="AC28" s="1"/>
  <c r="M29" i="4"/>
  <c r="L29"/>
  <c r="AB28" i="6" s="1"/>
  <c r="S29"/>
  <c r="R29"/>
  <c r="Y23" i="4"/>
  <c r="BK22" i="6"/>
  <c r="BM22" s="1"/>
  <c r="X23" i="4"/>
  <c r="BL22" i="6" s="1"/>
  <c r="I31" i="4"/>
  <c r="H31"/>
  <c r="P30" i="6" s="1"/>
  <c r="O30"/>
  <c r="Q30" s="1"/>
  <c r="AV24"/>
  <c r="AW24"/>
  <c r="O28" i="4"/>
  <c r="N28"/>
  <c r="AG27" i="6"/>
  <c r="AI27" s="1"/>
  <c r="E32" i="5"/>
  <c r="F32" s="1"/>
  <c r="D32"/>
  <c r="F31" i="6"/>
  <c r="E31"/>
  <c r="P27" i="4"/>
  <c r="AN26" i="6" s="1"/>
  <c r="AM26"/>
  <c r="Q27" i="4"/>
  <c r="BJ21" i="6"/>
  <c r="Z22" i="4"/>
  <c r="BR21" i="6" s="1"/>
  <c r="BQ21"/>
  <c r="BS21" s="1"/>
  <c r="AY24"/>
  <c r="BA24" s="1"/>
  <c r="T25" i="4"/>
  <c r="AZ24" i="6" s="1"/>
  <c r="U25" i="4"/>
  <c r="AQ25" i="6"/>
  <c r="AP25"/>
  <c r="V3" i="3"/>
  <c r="V6"/>
  <c r="AJ26" i="6"/>
  <c r="AK26"/>
  <c r="BU20"/>
  <c r="BT20"/>
  <c r="BO21"/>
  <c r="BN21"/>
  <c r="BB23"/>
  <c r="BC23"/>
  <c r="BP20"/>
  <c r="AL26" l="1"/>
  <c r="H24" i="13" s="1"/>
  <c r="AH27" i="6"/>
  <c r="T29"/>
  <c r="E27" i="13" s="1"/>
  <c r="G31" i="6"/>
  <c r="C29" i="13" s="1"/>
  <c r="AF27" i="6"/>
  <c r="G25" i="13" s="1"/>
  <c r="N30" i="6"/>
  <c r="D28" i="13" s="1"/>
  <c r="AR25" i="6"/>
  <c r="I23" i="13" s="1"/>
  <c r="J23" s="1"/>
  <c r="AO26" i="6"/>
  <c r="AQ26" s="1"/>
  <c r="B24" i="13"/>
  <c r="Z28" i="6"/>
  <c r="F26" i="13" s="1"/>
  <c r="BV20" i="6"/>
  <c r="AX24"/>
  <c r="V7" i="3"/>
  <c r="V20" i="2"/>
  <c r="U25"/>
  <c r="U22"/>
  <c r="U26"/>
  <c r="BP21" i="6"/>
  <c r="R30"/>
  <c r="S30"/>
  <c r="AS26"/>
  <c r="AU26" s="1"/>
  <c r="R27" i="4"/>
  <c r="AT26" i="6" s="1"/>
  <c r="S27" i="4"/>
  <c r="BO22" i="6"/>
  <c r="BN22"/>
  <c r="AE28"/>
  <c r="AD28"/>
  <c r="L30" i="4"/>
  <c r="AB29" i="6" s="1"/>
  <c r="AA29"/>
  <c r="AC29" s="1"/>
  <c r="M30" i="4"/>
  <c r="Y24"/>
  <c r="BK23" i="6"/>
  <c r="BM23" s="1"/>
  <c r="X24" i="4"/>
  <c r="BL23" i="6" s="1"/>
  <c r="Q28" i="4"/>
  <c r="P28"/>
  <c r="AM27" i="6"/>
  <c r="BQ22"/>
  <c r="BS22" s="1"/>
  <c r="Z23" i="4"/>
  <c r="BR22" i="6" s="1"/>
  <c r="H32" i="4"/>
  <c r="P31" i="6" s="1"/>
  <c r="O31"/>
  <c r="Q31" s="1"/>
  <c r="I32" i="4"/>
  <c r="W25"/>
  <c r="BE24" i="6"/>
  <c r="BG24" s="1"/>
  <c r="V25" i="4"/>
  <c r="BF24" i="6" s="1"/>
  <c r="L31"/>
  <c r="M31"/>
  <c r="E33" i="5"/>
  <c r="F33" s="1"/>
  <c r="D33"/>
  <c r="BC24" i="6"/>
  <c r="BB24"/>
  <c r="BD23"/>
  <c r="BT21"/>
  <c r="BU21"/>
  <c r="O34" i="5"/>
  <c r="P34" s="1"/>
  <c r="U34"/>
  <c r="V34" s="1"/>
  <c r="M34"/>
  <c r="N34" s="1"/>
  <c r="Q34"/>
  <c r="R34" s="1"/>
  <c r="S34"/>
  <c r="T34" s="1"/>
  <c r="W34"/>
  <c r="X34" s="1"/>
  <c r="G34"/>
  <c r="H34" s="1"/>
  <c r="Y34"/>
  <c r="Z34" s="1"/>
  <c r="I34"/>
  <c r="J34" s="1"/>
  <c r="K34"/>
  <c r="L34" s="1"/>
  <c r="C34"/>
  <c r="E34" i="4"/>
  <c r="X5" i="3"/>
  <c r="D34" i="4"/>
  <c r="C33" i="6" s="1"/>
  <c r="B33"/>
  <c r="D33" s="1"/>
  <c r="A33" i="7"/>
  <c r="C35" i="4"/>
  <c r="BJ22" i="6"/>
  <c r="K31" i="4"/>
  <c r="J31"/>
  <c r="V30" i="6" s="1"/>
  <c r="U30"/>
  <c r="W30" s="1"/>
  <c r="H30"/>
  <c r="Y29"/>
  <c r="X29"/>
  <c r="BH23"/>
  <c r="BI23"/>
  <c r="F32"/>
  <c r="E32"/>
  <c r="AW25"/>
  <c r="AV25"/>
  <c r="G33" i="4"/>
  <c r="F33"/>
  <c r="J32" i="6" s="1"/>
  <c r="I32"/>
  <c r="K32" s="1"/>
  <c r="AJ27"/>
  <c r="AK27"/>
  <c r="O29" i="4"/>
  <c r="N29"/>
  <c r="AH28" i="6" s="1"/>
  <c r="AG28"/>
  <c r="AI28" s="1"/>
  <c r="W6" i="3"/>
  <c r="W3"/>
  <c r="U26" i="4"/>
  <c r="AY25" i="6"/>
  <c r="BA25" s="1"/>
  <c r="T26" i="4"/>
  <c r="AZ25" i="6" s="1"/>
  <c r="N31" l="1"/>
  <c r="D29" i="13" s="1"/>
  <c r="AP26" i="6"/>
  <c r="AR26" s="1"/>
  <c r="I24" i="13" s="1"/>
  <c r="J24" s="1"/>
  <c r="G32" i="6"/>
  <c r="C30" i="13" s="1"/>
  <c r="Z29" i="6"/>
  <c r="F27" i="13" s="1"/>
  <c r="AF28" i="6"/>
  <c r="G26" i="13" s="1"/>
  <c r="AN27" i="6"/>
  <c r="T30"/>
  <c r="E28" i="13" s="1"/>
  <c r="AL27" i="6"/>
  <c r="H25" i="13" s="1"/>
  <c r="AO27" i="6"/>
  <c r="AP27" s="1"/>
  <c r="B25" i="13"/>
  <c r="BD24" i="6"/>
  <c r="BV21"/>
  <c r="V25" i="2"/>
  <c r="V26"/>
  <c r="V22"/>
  <c r="W7" i="3"/>
  <c r="W20" i="2"/>
  <c r="BP22" i="6"/>
  <c r="AX25"/>
  <c r="I33" i="4"/>
  <c r="H33"/>
  <c r="P32" i="6" s="1"/>
  <c r="O32"/>
  <c r="Q32" s="1"/>
  <c r="M35" i="5"/>
  <c r="N35" s="1"/>
  <c r="S35"/>
  <c r="T35" s="1"/>
  <c r="K35"/>
  <c r="L35" s="1"/>
  <c r="O35"/>
  <c r="P35" s="1"/>
  <c r="Q35"/>
  <c r="R35" s="1"/>
  <c r="U35"/>
  <c r="V35" s="1"/>
  <c r="W35"/>
  <c r="X35" s="1"/>
  <c r="G35"/>
  <c r="H35" s="1"/>
  <c r="Y35"/>
  <c r="Z35" s="1"/>
  <c r="C35"/>
  <c r="I35"/>
  <c r="J35" s="1"/>
  <c r="D35" i="4"/>
  <c r="C34" i="6" s="1"/>
  <c r="C36" i="4"/>
  <c r="E35"/>
  <c r="B34" i="6"/>
  <c r="D34" s="1"/>
  <c r="Y5" i="3"/>
  <c r="A34" i="7"/>
  <c r="R31" i="6"/>
  <c r="S31"/>
  <c r="P29" i="4"/>
  <c r="AN28" i="6" s="1"/>
  <c r="AM28"/>
  <c r="Q29" i="4"/>
  <c r="BB25" i="6"/>
  <c r="BC25"/>
  <c r="F33"/>
  <c r="E33"/>
  <c r="BO23"/>
  <c r="BN23"/>
  <c r="W26" i="4"/>
  <c r="BE25" i="6"/>
  <c r="BG25" s="1"/>
  <c r="V26" i="4"/>
  <c r="BF25" i="6" s="1"/>
  <c r="X30"/>
  <c r="Y30"/>
  <c r="BU22"/>
  <c r="BT22"/>
  <c r="Z24" i="4"/>
  <c r="BR23" i="6" s="1"/>
  <c r="BQ23"/>
  <c r="BS23" s="1"/>
  <c r="U27" i="4"/>
  <c r="AY26" i="6"/>
  <c r="BA26" s="1"/>
  <c r="T27" i="4"/>
  <c r="AZ26" i="6" s="1"/>
  <c r="X3" i="3"/>
  <c r="X6"/>
  <c r="AQ27" i="6"/>
  <c r="O30" i="4"/>
  <c r="N30"/>
  <c r="AH29" i="6" s="1"/>
  <c r="AG29"/>
  <c r="AI29" s="1"/>
  <c r="BJ23"/>
  <c r="L31" i="4"/>
  <c r="AB30" i="6" s="1"/>
  <c r="AA30"/>
  <c r="AC30" s="1"/>
  <c r="M31" i="4"/>
  <c r="G34"/>
  <c r="F34"/>
  <c r="J33" i="6" s="1"/>
  <c r="I33"/>
  <c r="K33" s="1"/>
  <c r="BI24"/>
  <c r="BH24"/>
  <c r="AD29"/>
  <c r="AE29"/>
  <c r="AV26"/>
  <c r="AW26"/>
  <c r="L32"/>
  <c r="M32"/>
  <c r="E34" i="5"/>
  <c r="F34" s="1"/>
  <c r="D34"/>
  <c r="X25" i="4"/>
  <c r="BL24" i="6" s="1"/>
  <c r="Y25" i="4"/>
  <c r="BK24" i="6"/>
  <c r="BM24" s="1"/>
  <c r="AS27"/>
  <c r="AU27" s="1"/>
  <c r="R28" i="4"/>
  <c r="S28"/>
  <c r="AK28" i="6"/>
  <c r="AJ28"/>
  <c r="J32" i="4"/>
  <c r="V31" i="6" s="1"/>
  <c r="K32" i="4"/>
  <c r="U31" i="6"/>
  <c r="W31" s="1"/>
  <c r="H31"/>
  <c r="AT27" l="1"/>
  <c r="G33"/>
  <c r="C31" i="13" s="1"/>
  <c r="AL28" i="6"/>
  <c r="H26" i="13" s="1"/>
  <c r="AR27" i="6"/>
  <c r="I25" i="13" s="1"/>
  <c r="J25" s="1"/>
  <c r="T31" i="6"/>
  <c r="E29" i="13" s="1"/>
  <c r="N32" i="6"/>
  <c r="D30" i="13" s="1"/>
  <c r="AF29" i="6"/>
  <c r="G27" i="13" s="1"/>
  <c r="Z30" i="6"/>
  <c r="F28" i="13" s="1"/>
  <c r="AO28" i="6"/>
  <c r="AQ28" s="1"/>
  <c r="B26" i="13"/>
  <c r="BJ24" i="6"/>
  <c r="BD25"/>
  <c r="X7" i="3"/>
  <c r="X20" i="2"/>
  <c r="BV22" i="6"/>
  <c r="W25" i="2"/>
  <c r="W22"/>
  <c r="W26"/>
  <c r="AX26" i="6"/>
  <c r="U28" i="4"/>
  <c r="AY27" i="6"/>
  <c r="BA27" s="1"/>
  <c r="T28" i="4"/>
  <c r="AJ29" i="6"/>
  <c r="AK29"/>
  <c r="E35" i="5"/>
  <c r="F35" s="1"/>
  <c r="D35"/>
  <c r="AV27" i="6"/>
  <c r="AW27"/>
  <c r="S32"/>
  <c r="R32"/>
  <c r="X31"/>
  <c r="Y31"/>
  <c r="BO24"/>
  <c r="BN24"/>
  <c r="H34" i="4"/>
  <c r="P33" i="6" s="1"/>
  <c r="O33"/>
  <c r="Q33" s="1"/>
  <c r="I34" i="4"/>
  <c r="BE26" i="6"/>
  <c r="BG26" s="1"/>
  <c r="V27" i="4"/>
  <c r="BF26" i="6" s="1"/>
  <c r="W27" i="4"/>
  <c r="BH25" i="6"/>
  <c r="BI25"/>
  <c r="E34"/>
  <c r="F34"/>
  <c r="M33"/>
  <c r="L33"/>
  <c r="Q30" i="4"/>
  <c r="P30"/>
  <c r="AN29" i="6" s="1"/>
  <c r="AM29"/>
  <c r="M32" i="4"/>
  <c r="L32"/>
  <c r="AB31" i="6" s="1"/>
  <c r="AA31"/>
  <c r="AC31" s="1"/>
  <c r="BQ24"/>
  <c r="BS24" s="1"/>
  <c r="Z25" i="4"/>
  <c r="BR24" i="6" s="1"/>
  <c r="N31" i="4"/>
  <c r="AH30" i="6" s="1"/>
  <c r="AG30"/>
  <c r="AI30" s="1"/>
  <c r="O31" i="4"/>
  <c r="BT23" i="6"/>
  <c r="BU23"/>
  <c r="Y26" i="4"/>
  <c r="X26"/>
  <c r="BL25" i="6" s="1"/>
  <c r="BK25"/>
  <c r="BM25" s="1"/>
  <c r="AS28"/>
  <c r="AU28" s="1"/>
  <c r="R29" i="4"/>
  <c r="AT28" i="6" s="1"/>
  <c r="S29" i="4"/>
  <c r="G35"/>
  <c r="F35"/>
  <c r="J34" i="6" s="1"/>
  <c r="I34"/>
  <c r="K34" s="1"/>
  <c r="H32"/>
  <c r="K33" i="4"/>
  <c r="J33"/>
  <c r="V32" i="6" s="1"/>
  <c r="U32"/>
  <c r="W32" s="1"/>
  <c r="BB26"/>
  <c r="BC26"/>
  <c r="Y3" i="3"/>
  <c r="Y6"/>
  <c r="AE30" i="6"/>
  <c r="AD30"/>
  <c r="BP23"/>
  <c r="K36" i="5"/>
  <c r="L36" s="1"/>
  <c r="M36"/>
  <c r="N36" s="1"/>
  <c r="Q36"/>
  <c r="R36" s="1"/>
  <c r="Y36"/>
  <c r="Z36" s="1"/>
  <c r="I36"/>
  <c r="J36" s="1"/>
  <c r="C36"/>
  <c r="O36"/>
  <c r="P36" s="1"/>
  <c r="S36"/>
  <c r="T36" s="1"/>
  <c r="U36"/>
  <c r="V36" s="1"/>
  <c r="W36"/>
  <c r="X36" s="1"/>
  <c r="G36"/>
  <c r="H36" s="1"/>
  <c r="B35" i="6"/>
  <c r="D35" s="1"/>
  <c r="Z5" i="3"/>
  <c r="E36" i="4"/>
  <c r="D36"/>
  <c r="C35" i="6" s="1"/>
  <c r="A35" i="7"/>
  <c r="C37" i="4"/>
  <c r="AP28" i="6" l="1"/>
  <c r="AR28" s="1"/>
  <c r="I26" i="13" s="1"/>
  <c r="J26" s="1"/>
  <c r="AZ27" i="6"/>
  <c r="AF30"/>
  <c r="G28" i="13" s="1"/>
  <c r="N33" i="6"/>
  <c r="D31" i="13" s="1"/>
  <c r="T32" i="6"/>
  <c r="E30" i="13" s="1"/>
  <c r="AO29" i="6"/>
  <c r="AP29" s="1"/>
  <c r="B27" i="13"/>
  <c r="G34" i="6"/>
  <c r="C32" i="13" s="1"/>
  <c r="Z31" i="6"/>
  <c r="F29" i="13" s="1"/>
  <c r="AL29" i="6"/>
  <c r="H27" i="13" s="1"/>
  <c r="BP24" i="6"/>
  <c r="Y7" i="3"/>
  <c r="Y20" i="2"/>
  <c r="BJ25" i="6"/>
  <c r="X25" i="2"/>
  <c r="X22"/>
  <c r="X26"/>
  <c r="U29" i="4"/>
  <c r="AY28" i="6"/>
  <c r="BA28" s="1"/>
  <c r="T29" i="4"/>
  <c r="AZ28" i="6" s="1"/>
  <c r="P31" i="4"/>
  <c r="AN30" i="6" s="1"/>
  <c r="Q31" i="4"/>
  <c r="AM30" i="6"/>
  <c r="O32" i="4"/>
  <c r="N32"/>
  <c r="AH31" i="6" s="1"/>
  <c r="AG31"/>
  <c r="AI31" s="1"/>
  <c r="M34"/>
  <c r="L34"/>
  <c r="Z26" i="4"/>
  <c r="BR25" i="6" s="1"/>
  <c r="BQ25"/>
  <c r="BS25" s="1"/>
  <c r="BT24"/>
  <c r="BU24"/>
  <c r="BI26"/>
  <c r="BH26"/>
  <c r="AE31"/>
  <c r="AD31"/>
  <c r="K34" i="4"/>
  <c r="J34"/>
  <c r="V33" i="6" s="1"/>
  <c r="U33"/>
  <c r="W33" s="1"/>
  <c r="H33"/>
  <c r="G36" i="4"/>
  <c r="F36"/>
  <c r="J35" i="6" s="1"/>
  <c r="I35"/>
  <c r="K35" s="1"/>
  <c r="E36" i="5"/>
  <c r="F36" s="1"/>
  <c r="D36"/>
  <c r="BD26" i="6"/>
  <c r="I35" i="4"/>
  <c r="H35"/>
  <c r="P34" i="6" s="1"/>
  <c r="O34"/>
  <c r="Q34" s="1"/>
  <c r="BV23"/>
  <c r="R33"/>
  <c r="S33"/>
  <c r="X32"/>
  <c r="Y32"/>
  <c r="AW28"/>
  <c r="AV28"/>
  <c r="BB27"/>
  <c r="BC27"/>
  <c r="M33" i="4"/>
  <c r="L33"/>
  <c r="AB32" i="6" s="1"/>
  <c r="AA32"/>
  <c r="AC32" s="1"/>
  <c r="BO25"/>
  <c r="BN25"/>
  <c r="AS29"/>
  <c r="AU29" s="1"/>
  <c r="R30" i="4"/>
  <c r="AT29" i="6" s="1"/>
  <c r="S30" i="4"/>
  <c r="Y27"/>
  <c r="BK26" i="6"/>
  <c r="BM26" s="1"/>
  <c r="X27" i="4"/>
  <c r="BL26" i="6" s="1"/>
  <c r="V28" i="4"/>
  <c r="W28"/>
  <c r="BE27" i="6"/>
  <c r="BG27" s="1"/>
  <c r="Z6" i="3"/>
  <c r="Z3"/>
  <c r="F35" i="6"/>
  <c r="E35"/>
  <c r="AK30"/>
  <c r="AJ30"/>
  <c r="AX27"/>
  <c r="Y37" i="5"/>
  <c r="Z37" s="1"/>
  <c r="I37"/>
  <c r="J37" s="1"/>
  <c r="K37"/>
  <c r="L37" s="1"/>
  <c r="O37"/>
  <c r="P37" s="1"/>
  <c r="W37"/>
  <c r="X37" s="1"/>
  <c r="G37"/>
  <c r="H37" s="1"/>
  <c r="C37"/>
  <c r="M37"/>
  <c r="N37" s="1"/>
  <c r="Q37"/>
  <c r="R37" s="1"/>
  <c r="S37"/>
  <c r="T37" s="1"/>
  <c r="U37"/>
  <c r="V37" s="1"/>
  <c r="AA5" i="3"/>
  <c r="C38" i="4"/>
  <c r="E37"/>
  <c r="D37"/>
  <c r="C36" i="6" s="1"/>
  <c r="A36" i="7"/>
  <c r="B36" i="6"/>
  <c r="D36" s="1"/>
  <c r="BF27" l="1"/>
  <c r="T33"/>
  <c r="E31" i="13" s="1"/>
  <c r="G35" i="6"/>
  <c r="C33" i="13" s="1"/>
  <c r="AQ29" i="6"/>
  <c r="AR29" s="1"/>
  <c r="I27" i="13" s="1"/>
  <c r="J27" s="1"/>
  <c r="AL30" i="6"/>
  <c r="H28" i="13" s="1"/>
  <c r="AF31" i="6"/>
  <c r="G29" i="13" s="1"/>
  <c r="N34" i="6"/>
  <c r="D32" i="13" s="1"/>
  <c r="AO30" i="6"/>
  <c r="AQ30" s="1"/>
  <c r="B28" i="13"/>
  <c r="Z32" i="6"/>
  <c r="F30" i="13" s="1"/>
  <c r="BP25" i="6"/>
  <c r="AX28"/>
  <c r="BV24"/>
  <c r="Z7" i="3"/>
  <c r="Z20" i="2"/>
  <c r="Y25"/>
  <c r="Y22"/>
  <c r="Y26"/>
  <c r="Y33" i="6"/>
  <c r="X33"/>
  <c r="E36"/>
  <c r="F36"/>
  <c r="BI27"/>
  <c r="BH27"/>
  <c r="M34" i="4"/>
  <c r="L34"/>
  <c r="AB33" i="6" s="1"/>
  <c r="AA33"/>
  <c r="AC33" s="1"/>
  <c r="Y28" i="4"/>
  <c r="BK27" i="6"/>
  <c r="BM27" s="1"/>
  <c r="X28" i="4"/>
  <c r="BU25" i="6"/>
  <c r="BT25"/>
  <c r="F37" i="4"/>
  <c r="J36" i="6" s="1"/>
  <c r="I36"/>
  <c r="K36" s="1"/>
  <c r="G37" i="4"/>
  <c r="AD32" i="6"/>
  <c r="AE32"/>
  <c r="U30" i="4"/>
  <c r="AY29" i="6"/>
  <c r="BA29" s="1"/>
  <c r="T30" i="4"/>
  <c r="AZ29" i="6" s="1"/>
  <c r="K35" i="4"/>
  <c r="J35"/>
  <c r="V34" i="6" s="1"/>
  <c r="U34"/>
  <c r="W34" s="1"/>
  <c r="H34"/>
  <c r="BD27"/>
  <c r="E37" i="5"/>
  <c r="F37" s="1"/>
  <c r="D37"/>
  <c r="W38"/>
  <c r="X38" s="1"/>
  <c r="G38"/>
  <c r="H38" s="1"/>
  <c r="M38"/>
  <c r="N38" s="1"/>
  <c r="U38"/>
  <c r="V38" s="1"/>
  <c r="Y38"/>
  <c r="Z38" s="1"/>
  <c r="K38"/>
  <c r="L38" s="1"/>
  <c r="O38"/>
  <c r="P38" s="1"/>
  <c r="Q38"/>
  <c r="R38" s="1"/>
  <c r="I38"/>
  <c r="J38" s="1"/>
  <c r="S38"/>
  <c r="T38" s="1"/>
  <c r="C38"/>
  <c r="AB5" i="3"/>
  <c r="E38" i="4"/>
  <c r="C39"/>
  <c r="D38"/>
  <c r="C37" i="6" s="1"/>
  <c r="A37" i="7"/>
  <c r="B37" i="6"/>
  <c r="D37" s="1"/>
  <c r="BO26"/>
  <c r="BN26"/>
  <c r="R34"/>
  <c r="S34"/>
  <c r="I36" i="4"/>
  <c r="H36"/>
  <c r="P35" i="6" s="1"/>
  <c r="O35"/>
  <c r="Q35" s="1"/>
  <c r="BC28"/>
  <c r="BB28"/>
  <c r="Q32" i="4"/>
  <c r="P32"/>
  <c r="AN31" i="6" s="1"/>
  <c r="AM31"/>
  <c r="AW29"/>
  <c r="AV29"/>
  <c r="R31" i="4"/>
  <c r="AT30" i="6" s="1"/>
  <c r="S31" i="4"/>
  <c r="AS30" i="6"/>
  <c r="AU30" s="1"/>
  <c r="M35"/>
  <c r="L35"/>
  <c r="AA6" i="3"/>
  <c r="AA3"/>
  <c r="Z27" i="4"/>
  <c r="BR26" i="6" s="1"/>
  <c r="BQ26"/>
  <c r="BS26" s="1"/>
  <c r="N33" i="4"/>
  <c r="AH32" i="6" s="1"/>
  <c r="AG32"/>
  <c r="AI32" s="1"/>
  <c r="O33" i="4"/>
  <c r="BJ26" i="6"/>
  <c r="AJ31"/>
  <c r="AK31"/>
  <c r="BE28"/>
  <c r="BG28" s="1"/>
  <c r="V29" i="4"/>
  <c r="BF28" i="6" s="1"/>
  <c r="W29" i="4"/>
  <c r="BL27" i="6" l="1"/>
  <c r="AL31"/>
  <c r="H29" i="13" s="1"/>
  <c r="G36" i="6"/>
  <c r="C34" i="13" s="1"/>
  <c r="AF32" i="6"/>
  <c r="G30" i="13" s="1"/>
  <c r="AP30" i="6"/>
  <c r="AR30" s="1"/>
  <c r="I28" i="13" s="1"/>
  <c r="J28" s="1"/>
  <c r="Z33" i="6"/>
  <c r="F31" i="13" s="1"/>
  <c r="N35" i="6"/>
  <c r="D33" i="13" s="1"/>
  <c r="AO31" i="6"/>
  <c r="AQ31" s="1"/>
  <c r="B29" i="13"/>
  <c r="T34" i="6"/>
  <c r="E32" i="13" s="1"/>
  <c r="BD28" i="6"/>
  <c r="BJ27"/>
  <c r="Z25" i="2"/>
  <c r="Z26"/>
  <c r="Z22"/>
  <c r="AA7" i="3"/>
  <c r="AA20" i="2"/>
  <c r="BP26" i="6"/>
  <c r="J36" i="4"/>
  <c r="V35" i="6" s="1"/>
  <c r="U35"/>
  <c r="W35" s="1"/>
  <c r="H35"/>
  <c r="K36" i="4"/>
  <c r="G38"/>
  <c r="F38"/>
  <c r="J37" i="6" s="1"/>
  <c r="I37"/>
  <c r="K37" s="1"/>
  <c r="Y29" i="4"/>
  <c r="BK28" i="6"/>
  <c r="BM28" s="1"/>
  <c r="X29" i="4"/>
  <c r="BL28" i="6" s="1"/>
  <c r="T31" i="4"/>
  <c r="AZ30" i="6" s="1"/>
  <c r="U31" i="4"/>
  <c r="AY30" i="6"/>
  <c r="BA30" s="1"/>
  <c r="BU26"/>
  <c r="BT26"/>
  <c r="M35" i="4"/>
  <c r="L35"/>
  <c r="AB34" i="6" s="1"/>
  <c r="AA34"/>
  <c r="AC34" s="1"/>
  <c r="AE33"/>
  <c r="AD33"/>
  <c r="BH28"/>
  <c r="BI28"/>
  <c r="E37"/>
  <c r="F37"/>
  <c r="M36"/>
  <c r="L36"/>
  <c r="R35"/>
  <c r="S35"/>
  <c r="BB29"/>
  <c r="BC29"/>
  <c r="O34" i="4"/>
  <c r="N34"/>
  <c r="AH33" i="6" s="1"/>
  <c r="AG33"/>
  <c r="AI33" s="1"/>
  <c r="AX29"/>
  <c r="W30" i="4"/>
  <c r="BE29" i="6"/>
  <c r="BG29" s="1"/>
  <c r="V30" i="4"/>
  <c r="BF29" i="6" s="1"/>
  <c r="BV25"/>
  <c r="AK32"/>
  <c r="AJ32"/>
  <c r="AV30"/>
  <c r="AW30"/>
  <c r="AB6" i="3"/>
  <c r="AB3"/>
  <c r="X34" i="6"/>
  <c r="Y34"/>
  <c r="BN27"/>
  <c r="BO27"/>
  <c r="U39" i="5"/>
  <c r="V39" s="1"/>
  <c r="W39"/>
  <c r="X39" s="1"/>
  <c r="K39"/>
  <c r="L39" s="1"/>
  <c r="S39"/>
  <c r="T39" s="1"/>
  <c r="M39"/>
  <c r="N39" s="1"/>
  <c r="O39"/>
  <c r="P39" s="1"/>
  <c r="I39"/>
  <c r="J39" s="1"/>
  <c r="C39"/>
  <c r="Y39"/>
  <c r="Z39" s="1"/>
  <c r="Q39"/>
  <c r="R39" s="1"/>
  <c r="G39"/>
  <c r="H39" s="1"/>
  <c r="C40" i="4"/>
  <c r="D39"/>
  <c r="C38" i="6" s="1"/>
  <c r="A38" i="7"/>
  <c r="AC5" i="3"/>
  <c r="E39" i="4"/>
  <c r="B38" i="6"/>
  <c r="D38" s="1"/>
  <c r="S32" i="4"/>
  <c r="AS31" i="6"/>
  <c r="AU31" s="1"/>
  <c r="R32" i="4"/>
  <c r="AT31" i="6" s="1"/>
  <c r="E38" i="5"/>
  <c r="F38" s="1"/>
  <c r="D38"/>
  <c r="BQ27" i="6"/>
  <c r="BS27" s="1"/>
  <c r="Z28" i="4"/>
  <c r="Q33"/>
  <c r="AM32" i="6"/>
  <c r="P33" i="4"/>
  <c r="AN32" i="6" s="1"/>
  <c r="H37" i="4"/>
  <c r="P36" i="6" s="1"/>
  <c r="O36"/>
  <c r="Q36" s="1"/>
  <c r="I37" i="4"/>
  <c r="AP31" i="6" l="1"/>
  <c r="AR31" s="1"/>
  <c r="I29" i="13" s="1"/>
  <c r="J29" s="1"/>
  <c r="BR27" i="6"/>
  <c r="AL32"/>
  <c r="H30" i="13" s="1"/>
  <c r="AF33" i="6"/>
  <c r="G31" i="13" s="1"/>
  <c r="N36" i="6"/>
  <c r="D34" i="13" s="1"/>
  <c r="Z34" i="6"/>
  <c r="F32" i="13" s="1"/>
  <c r="AO32" i="6"/>
  <c r="AP32" s="1"/>
  <c r="B30" i="13"/>
  <c r="T35" i="6"/>
  <c r="E33" i="13" s="1"/>
  <c r="G37" i="6"/>
  <c r="C35" i="13" s="1"/>
  <c r="BV26" i="6"/>
  <c r="BP27"/>
  <c r="AA25" i="2"/>
  <c r="AA26"/>
  <c r="AA22"/>
  <c r="AB7" i="3"/>
  <c r="AB20" i="2"/>
  <c r="I38" i="4"/>
  <c r="H38"/>
  <c r="P37" i="6" s="1"/>
  <c r="O37"/>
  <c r="Q37" s="1"/>
  <c r="AX30"/>
  <c r="M36" i="4"/>
  <c r="L36"/>
  <c r="AB35" i="6" s="1"/>
  <c r="AA35"/>
  <c r="AC35" s="1"/>
  <c r="R33" i="4"/>
  <c r="AT32" i="6" s="1"/>
  <c r="AS32"/>
  <c r="AU32" s="1"/>
  <c r="S33" i="4"/>
  <c r="K37"/>
  <c r="J37"/>
  <c r="V36" i="6" s="1"/>
  <c r="H36"/>
  <c r="U36"/>
  <c r="W36" s="1"/>
  <c r="BU27"/>
  <c r="BT27"/>
  <c r="E38"/>
  <c r="F38"/>
  <c r="AG34"/>
  <c r="AI34" s="1"/>
  <c r="O35" i="4"/>
  <c r="N35"/>
  <c r="AH34" i="6" s="1"/>
  <c r="BQ28"/>
  <c r="BS28" s="1"/>
  <c r="Z29" i="4"/>
  <c r="BR28" i="6" s="1"/>
  <c r="S36"/>
  <c r="R36"/>
  <c r="G39" i="4"/>
  <c r="F39"/>
  <c r="J38" i="6" s="1"/>
  <c r="I38"/>
  <c r="K38" s="1"/>
  <c r="E39" i="5"/>
  <c r="F39" s="1"/>
  <c r="D39"/>
  <c r="BH29" i="6"/>
  <c r="BI29"/>
  <c r="BD29"/>
  <c r="M37"/>
  <c r="L37"/>
  <c r="AC6" i="3"/>
  <c r="AC3"/>
  <c r="BK29" i="6"/>
  <c r="BM29" s="1"/>
  <c r="Y30" i="4"/>
  <c r="X30"/>
  <c r="BL29" i="6" s="1"/>
  <c r="BJ28"/>
  <c r="BC30"/>
  <c r="BB30"/>
  <c r="AW31"/>
  <c r="AV31"/>
  <c r="AQ32"/>
  <c r="T32" i="4"/>
  <c r="AZ31" i="6" s="1"/>
  <c r="U32" i="4"/>
  <c r="AY31" i="6"/>
  <c r="BA31" s="1"/>
  <c r="S40" i="5"/>
  <c r="T40" s="1"/>
  <c r="Y40"/>
  <c r="Z40" s="1"/>
  <c r="Q40"/>
  <c r="R40" s="1"/>
  <c r="U40"/>
  <c r="V40" s="1"/>
  <c r="K40"/>
  <c r="L40" s="1"/>
  <c r="M40"/>
  <c r="N40" s="1"/>
  <c r="G40"/>
  <c r="H40" s="1"/>
  <c r="I40"/>
  <c r="J40" s="1"/>
  <c r="C40"/>
  <c r="W40"/>
  <c r="X40" s="1"/>
  <c r="O40"/>
  <c r="P40" s="1"/>
  <c r="E40" i="4"/>
  <c r="B39" i="6"/>
  <c r="D39" s="1"/>
  <c r="D40" i="4"/>
  <c r="C39" i="6" s="1"/>
  <c r="A39" i="7"/>
  <c r="AD5" i="3"/>
  <c r="C41" i="4"/>
  <c r="AK33" i="6"/>
  <c r="AJ33"/>
  <c r="AE34"/>
  <c r="AD34"/>
  <c r="X35"/>
  <c r="Y35"/>
  <c r="V31" i="4"/>
  <c r="BF30" i="6" s="1"/>
  <c r="BE30"/>
  <c r="BG30" s="1"/>
  <c r="W31" i="4"/>
  <c r="P34"/>
  <c r="AN33" i="6" s="1"/>
  <c r="Q34" i="4"/>
  <c r="AM33" i="6"/>
  <c r="BO28"/>
  <c r="BN28"/>
  <c r="AF34" l="1"/>
  <c r="G32" i="13" s="1"/>
  <c r="AR32" i="6"/>
  <c r="I30" i="13" s="1"/>
  <c r="J30" s="1"/>
  <c r="N37" i="6"/>
  <c r="D35" i="13" s="1"/>
  <c r="Z35" i="6"/>
  <c r="F33" i="13" s="1"/>
  <c r="AL33" i="6"/>
  <c r="H31" i="13" s="1"/>
  <c r="T36" i="6"/>
  <c r="E34" i="13" s="1"/>
  <c r="AO33" i="6"/>
  <c r="AQ33" s="1"/>
  <c r="B31" i="13"/>
  <c r="G38" i="6"/>
  <c r="C36" i="13" s="1"/>
  <c r="BV27" i="6"/>
  <c r="BP28"/>
  <c r="AX31"/>
  <c r="AB25" i="2"/>
  <c r="AB22"/>
  <c r="AB26"/>
  <c r="AC7" i="3"/>
  <c r="AC20" i="2"/>
  <c r="Q41" i="5"/>
  <c r="R41" s="1"/>
  <c r="W41"/>
  <c r="X41" s="1"/>
  <c r="O41"/>
  <c r="P41" s="1"/>
  <c r="S41"/>
  <c r="T41" s="1"/>
  <c r="K41"/>
  <c r="L41" s="1"/>
  <c r="Y41"/>
  <c r="Z41" s="1"/>
  <c r="C41"/>
  <c r="G41"/>
  <c r="H41" s="1"/>
  <c r="I41"/>
  <c r="J41" s="1"/>
  <c r="M41"/>
  <c r="N41" s="1"/>
  <c r="U41"/>
  <c r="V41" s="1"/>
  <c r="AE5" i="3"/>
  <c r="B40" i="6"/>
  <c r="D40" s="1"/>
  <c r="C42" i="4"/>
  <c r="E41"/>
  <c r="D41"/>
  <c r="C40" i="6" s="1"/>
  <c r="A40" i="7"/>
  <c r="E40" i="5"/>
  <c r="F40" s="1"/>
  <c r="D40"/>
  <c r="AK34" i="6"/>
  <c r="AJ34"/>
  <c r="M37" i="4"/>
  <c r="L37"/>
  <c r="AB36" i="6" s="1"/>
  <c r="AA36"/>
  <c r="AC36" s="1"/>
  <c r="BI30"/>
  <c r="BH30"/>
  <c r="G40" i="4"/>
  <c r="F40"/>
  <c r="J39" i="6" s="1"/>
  <c r="I39"/>
  <c r="K39" s="1"/>
  <c r="BO29"/>
  <c r="BN29"/>
  <c r="BT28"/>
  <c r="BU28"/>
  <c r="Y36"/>
  <c r="X36"/>
  <c r="AE35"/>
  <c r="AD35"/>
  <c r="L38"/>
  <c r="M38"/>
  <c r="P35" i="4"/>
  <c r="AN34" i="6" s="1"/>
  <c r="AM34"/>
  <c r="Q35" i="4"/>
  <c r="AD6" i="3"/>
  <c r="AD3"/>
  <c r="BB31" i="6"/>
  <c r="BC31"/>
  <c r="S34" i="4"/>
  <c r="AS33" i="6"/>
  <c r="AU33" s="1"/>
  <c r="R34" i="4"/>
  <c r="AT33" i="6" s="1"/>
  <c r="W32" i="4"/>
  <c r="V32"/>
  <c r="BF31" i="6" s="1"/>
  <c r="BE31"/>
  <c r="BG31" s="1"/>
  <c r="R37"/>
  <c r="S37"/>
  <c r="I39" i="4"/>
  <c r="H39"/>
  <c r="P38" i="6" s="1"/>
  <c r="O38"/>
  <c r="Q38" s="1"/>
  <c r="T33" i="4"/>
  <c r="AZ32" i="6" s="1"/>
  <c r="U33" i="4"/>
  <c r="AY32" i="6"/>
  <c r="BA32" s="1"/>
  <c r="O36" i="4"/>
  <c r="N36"/>
  <c r="AH35" i="6" s="1"/>
  <c r="AG35"/>
  <c r="AI35" s="1"/>
  <c r="BD30"/>
  <c r="X31" i="4"/>
  <c r="BL30" i="6" s="1"/>
  <c r="Y31" i="4"/>
  <c r="BK30" i="6"/>
  <c r="BM30" s="1"/>
  <c r="E39"/>
  <c r="F39"/>
  <c r="BQ29"/>
  <c r="BS29" s="1"/>
  <c r="Z30" i="4"/>
  <c r="BR29" i="6" s="1"/>
  <c r="BJ29"/>
  <c r="AW32"/>
  <c r="AV32"/>
  <c r="H37"/>
  <c r="K38" i="4"/>
  <c r="J38"/>
  <c r="V37" i="6" s="1"/>
  <c r="U37"/>
  <c r="W37" s="1"/>
  <c r="AP33" l="1"/>
  <c r="AR33" s="1"/>
  <c r="I31" i="13" s="1"/>
  <c r="J31" s="1"/>
  <c r="T37" i="6"/>
  <c r="E35" i="13" s="1"/>
  <c r="AF35" i="6"/>
  <c r="G33" i="13" s="1"/>
  <c r="AL34" i="6"/>
  <c r="H32" i="13" s="1"/>
  <c r="Z36" i="6"/>
  <c r="F34" i="13" s="1"/>
  <c r="G39" i="6"/>
  <c r="C37" i="13" s="1"/>
  <c r="N38" i="6"/>
  <c r="D36" i="13" s="1"/>
  <c r="AO34" i="6"/>
  <c r="AQ34" s="1"/>
  <c r="B32" i="13"/>
  <c r="BD31" i="6"/>
  <c r="BP29"/>
  <c r="AC25" i="2"/>
  <c r="AC26"/>
  <c r="AC22"/>
  <c r="AD7" i="3"/>
  <c r="AD20" i="2"/>
  <c r="Y37" i="6"/>
  <c r="X37"/>
  <c r="BI31"/>
  <c r="BH31"/>
  <c r="AD36"/>
  <c r="AE36"/>
  <c r="F41" i="4"/>
  <c r="J40" i="6" s="1"/>
  <c r="G41" i="4"/>
  <c r="I40" i="6"/>
  <c r="K40" s="1"/>
  <c r="E41" i="5"/>
  <c r="F41" s="1"/>
  <c r="D41"/>
  <c r="AK35" i="6"/>
  <c r="AJ35"/>
  <c r="S38"/>
  <c r="R38"/>
  <c r="Y32" i="4"/>
  <c r="BK31" i="6"/>
  <c r="BM31" s="1"/>
  <c r="X32" i="4"/>
  <c r="BL31" i="6" s="1"/>
  <c r="O37" i="4"/>
  <c r="AG36" i="6"/>
  <c r="AI36" s="1"/>
  <c r="N37" i="4"/>
  <c r="AH36" i="6" s="1"/>
  <c r="O42" i="5"/>
  <c r="P42" s="1"/>
  <c r="U42"/>
  <c r="V42" s="1"/>
  <c r="M42"/>
  <c r="N42" s="1"/>
  <c r="Q42"/>
  <c r="R42" s="1"/>
  <c r="I42"/>
  <c r="J42" s="1"/>
  <c r="W42"/>
  <c r="X42" s="1"/>
  <c r="Y42"/>
  <c r="Z42" s="1"/>
  <c r="C42"/>
  <c r="G42"/>
  <c r="H42" s="1"/>
  <c r="K42"/>
  <c r="L42" s="1"/>
  <c r="S42"/>
  <c r="T42" s="1"/>
  <c r="B41" i="6"/>
  <c r="D41" s="1"/>
  <c r="E42" i="4"/>
  <c r="C43"/>
  <c r="A41" i="7"/>
  <c r="D42" i="4"/>
  <c r="C41" i="6" s="1"/>
  <c r="AF5" i="3"/>
  <c r="M39" i="6"/>
  <c r="L39"/>
  <c r="H38"/>
  <c r="K39" i="4"/>
  <c r="U38" i="6"/>
  <c r="W38" s="1"/>
  <c r="J39" i="4"/>
  <c r="V38" i="6" s="1"/>
  <c r="L38" i="4"/>
  <c r="AB37" i="6" s="1"/>
  <c r="AA37"/>
  <c r="AC37" s="1"/>
  <c r="M38" i="4"/>
  <c r="BB32" i="6"/>
  <c r="BC32"/>
  <c r="AY33"/>
  <c r="BA33" s="1"/>
  <c r="T34" i="4"/>
  <c r="AZ33" i="6" s="1"/>
  <c r="U34" i="4"/>
  <c r="O39" i="6"/>
  <c r="Q39" s="1"/>
  <c r="H40" i="4"/>
  <c r="P39" i="6" s="1"/>
  <c r="I40" i="4"/>
  <c r="F40" i="6"/>
  <c r="E40"/>
  <c r="BN30"/>
  <c r="BO30"/>
  <c r="W33" i="4"/>
  <c r="BE32" i="6"/>
  <c r="BG32" s="1"/>
  <c r="V33" i="4"/>
  <c r="BF32" i="6" s="1"/>
  <c r="S35" i="4"/>
  <c r="AS34" i="6"/>
  <c r="AU34" s="1"/>
  <c r="R35" i="4"/>
  <c r="AT34" i="6" s="1"/>
  <c r="BT29"/>
  <c r="BU29"/>
  <c r="AM35"/>
  <c r="Q36" i="4"/>
  <c r="P36"/>
  <c r="AN35" i="6" s="1"/>
  <c r="AV33"/>
  <c r="AW33"/>
  <c r="AE6" i="3"/>
  <c r="AE3"/>
  <c r="AX32" i="6"/>
  <c r="Z31" i="4"/>
  <c r="BR30" i="6" s="1"/>
  <c r="BQ30"/>
  <c r="BS30" s="1"/>
  <c r="BV28"/>
  <c r="BJ30"/>
  <c r="AF36" l="1"/>
  <c r="G34" i="13" s="1"/>
  <c r="AP34" i="6"/>
  <c r="AR34" s="1"/>
  <c r="I32" i="13" s="1"/>
  <c r="J32" s="1"/>
  <c r="T38" i="6"/>
  <c r="E36" i="13" s="1"/>
  <c r="G40" i="6"/>
  <c r="C38" i="13" s="1"/>
  <c r="AL35" i="6"/>
  <c r="H33" i="13" s="1"/>
  <c r="AO35" i="6"/>
  <c r="AQ35" s="1"/>
  <c r="B33" i="13"/>
  <c r="N39" i="6"/>
  <c r="D37" i="13" s="1"/>
  <c r="Z37" i="6"/>
  <c r="F35" i="13" s="1"/>
  <c r="BJ31" i="6"/>
  <c r="AX33"/>
  <c r="AD25" i="2"/>
  <c r="AD26"/>
  <c r="AD22"/>
  <c r="AE7" i="3"/>
  <c r="AE20" i="2"/>
  <c r="BU30" i="6"/>
  <c r="BT30"/>
  <c r="G42" i="4"/>
  <c r="F42"/>
  <c r="J41" i="6" s="1"/>
  <c r="I41"/>
  <c r="K41" s="1"/>
  <c r="AP35"/>
  <c r="O38" i="4"/>
  <c r="N38"/>
  <c r="AH37" i="6" s="1"/>
  <c r="AG37"/>
  <c r="AI37" s="1"/>
  <c r="W34" i="4"/>
  <c r="BE33" i="6"/>
  <c r="BG33" s="1"/>
  <c r="V34" i="4"/>
  <c r="BF33" i="6" s="1"/>
  <c r="AD37"/>
  <c r="AE37"/>
  <c r="BV29"/>
  <c r="BP30"/>
  <c r="AF3" i="3"/>
  <c r="AF6"/>
  <c r="BC33" i="6"/>
  <c r="BB33"/>
  <c r="E42" i="5"/>
  <c r="F42" s="1"/>
  <c r="D42"/>
  <c r="AV34" i="6"/>
  <c r="AW34"/>
  <c r="Y38"/>
  <c r="X38"/>
  <c r="AJ36"/>
  <c r="AK36"/>
  <c r="J40" i="4"/>
  <c r="V39" i="6" s="1"/>
  <c r="U39"/>
  <c r="W39" s="1"/>
  <c r="H39"/>
  <c r="K40" i="4"/>
  <c r="S36"/>
  <c r="R36"/>
  <c r="AT35" i="6" s="1"/>
  <c r="AS35"/>
  <c r="AU35" s="1"/>
  <c r="BH32"/>
  <c r="BI32"/>
  <c r="S39"/>
  <c r="R39"/>
  <c r="F41"/>
  <c r="E41"/>
  <c r="BN31"/>
  <c r="BO31"/>
  <c r="L40"/>
  <c r="M40"/>
  <c r="M39" i="4"/>
  <c r="L39"/>
  <c r="AB38" i="6" s="1"/>
  <c r="AA38"/>
  <c r="AC38" s="1"/>
  <c r="Y33" i="4"/>
  <c r="BK32" i="6"/>
  <c r="BM32" s="1"/>
  <c r="X33" i="4"/>
  <c r="BL32" i="6" s="1"/>
  <c r="Z32" i="4"/>
  <c r="BR31" i="6" s="1"/>
  <c r="BQ31"/>
  <c r="BS31" s="1"/>
  <c r="H41" i="4"/>
  <c r="P40" i="6" s="1"/>
  <c r="I41" i="4"/>
  <c r="O40" i="6"/>
  <c r="Q40" s="1"/>
  <c r="U35" i="4"/>
  <c r="T35"/>
  <c r="AZ34" i="6" s="1"/>
  <c r="AY34"/>
  <c r="BA34" s="1"/>
  <c r="M43" i="5"/>
  <c r="N43" s="1"/>
  <c r="S43"/>
  <c r="T43" s="1"/>
  <c r="K43"/>
  <c r="L43" s="1"/>
  <c r="O43"/>
  <c r="P43" s="1"/>
  <c r="G43"/>
  <c r="H43" s="1"/>
  <c r="I43"/>
  <c r="J43" s="1"/>
  <c r="U43"/>
  <c r="V43" s="1"/>
  <c r="W43"/>
  <c r="X43" s="1"/>
  <c r="Y43"/>
  <c r="Z43" s="1"/>
  <c r="C43"/>
  <c r="Q43"/>
  <c r="R43" s="1"/>
  <c r="B42" i="6"/>
  <c r="D42" s="1"/>
  <c r="AG5" i="3"/>
  <c r="D43" i="4"/>
  <c r="C42" i="6" s="1"/>
  <c r="E43" i="4"/>
  <c r="A42" i="7"/>
  <c r="Q37" i="4"/>
  <c r="P37"/>
  <c r="AN36" i="6" s="1"/>
  <c r="AM36"/>
  <c r="BD32"/>
  <c r="N40" l="1"/>
  <c r="D38" i="13" s="1"/>
  <c r="Z38" i="6"/>
  <c r="F36" i="13" s="1"/>
  <c r="AL36" i="6"/>
  <c r="H34" i="13" s="1"/>
  <c r="T39" i="6"/>
  <c r="E37" i="13" s="1"/>
  <c r="G41" i="6"/>
  <c r="C39" i="13" s="1"/>
  <c r="AO36" i="6"/>
  <c r="AQ36" s="1"/>
  <c r="B34" i="13"/>
  <c r="AF37" i="6"/>
  <c r="G35" i="13" s="1"/>
  <c r="AR35" i="6"/>
  <c r="I33" i="13" s="1"/>
  <c r="J33" s="1"/>
  <c r="BV30" i="6"/>
  <c r="AF7" i="3"/>
  <c r="AF20" i="2"/>
  <c r="AE25"/>
  <c r="AE26"/>
  <c r="AE22"/>
  <c r="E43" i="5"/>
  <c r="F43" s="1"/>
  <c r="D43"/>
  <c r="Y39" i="6"/>
  <c r="X39"/>
  <c r="AJ37"/>
  <c r="AK37"/>
  <c r="BJ32"/>
  <c r="BB34"/>
  <c r="BC34"/>
  <c r="AW35"/>
  <c r="AV35"/>
  <c r="Q38" i="4"/>
  <c r="P38"/>
  <c r="AN37" i="6" s="1"/>
  <c r="AM37"/>
  <c r="G43" i="4"/>
  <c r="F43"/>
  <c r="J42" i="6" s="1"/>
  <c r="I42"/>
  <c r="K42" s="1"/>
  <c r="BO32"/>
  <c r="BN32"/>
  <c r="BP31"/>
  <c r="V35" i="4"/>
  <c r="BF34" i="6" s="1"/>
  <c r="W35" i="4"/>
  <c r="BE34" i="6"/>
  <c r="BG34" s="1"/>
  <c r="Z33" i="4"/>
  <c r="BR32" i="6" s="1"/>
  <c r="BQ32"/>
  <c r="BS32" s="1"/>
  <c r="AY35"/>
  <c r="BA35" s="1"/>
  <c r="T36" i="4"/>
  <c r="AZ35" i="6" s="1"/>
  <c r="U36" i="4"/>
  <c r="S40" i="6"/>
  <c r="R40"/>
  <c r="E42"/>
  <c r="F42"/>
  <c r="M40" i="4"/>
  <c r="L40"/>
  <c r="AB39" i="6" s="1"/>
  <c r="AA39"/>
  <c r="AC39" s="1"/>
  <c r="O39" i="4"/>
  <c r="N39"/>
  <c r="AH38" i="6" s="1"/>
  <c r="AG38"/>
  <c r="AI38" s="1"/>
  <c r="AX34"/>
  <c r="BK33"/>
  <c r="BM33" s="1"/>
  <c r="X34" i="4"/>
  <c r="BL33" i="6" s="1"/>
  <c r="Y34" i="4"/>
  <c r="I42"/>
  <c r="H42"/>
  <c r="P41" i="6" s="1"/>
  <c r="O41"/>
  <c r="Q41" s="1"/>
  <c r="H40"/>
  <c r="K41" i="4"/>
  <c r="J41"/>
  <c r="V40" i="6" s="1"/>
  <c r="U40"/>
  <c r="W40" s="1"/>
  <c r="BD33"/>
  <c r="AG6" i="3"/>
  <c r="AG3"/>
  <c r="AD38" i="6"/>
  <c r="AE38"/>
  <c r="M41"/>
  <c r="L41"/>
  <c r="BH33"/>
  <c r="BI33"/>
  <c r="BT31"/>
  <c r="BU31"/>
  <c r="AS36"/>
  <c r="AU36" s="1"/>
  <c r="S37" i="4"/>
  <c r="R37"/>
  <c r="AT36" i="6" s="1"/>
  <c r="AF38" l="1"/>
  <c r="G36" i="13" s="1"/>
  <c r="AL37" i="6"/>
  <c r="H35" i="13" s="1"/>
  <c r="AP36" i="6"/>
  <c r="AR36" s="1"/>
  <c r="I34" i="13" s="1"/>
  <c r="J34" s="1"/>
  <c r="N41" i="6"/>
  <c r="D39" i="13" s="1"/>
  <c r="Z39" i="6"/>
  <c r="F37" i="13" s="1"/>
  <c r="AO37" i="6"/>
  <c r="AP37" s="1"/>
  <c r="B35" i="13"/>
  <c r="T40" i="6"/>
  <c r="E38" i="13" s="1"/>
  <c r="G42" i="6"/>
  <c r="C40" i="13" s="1"/>
  <c r="BP32" i="6"/>
  <c r="AX35"/>
  <c r="AF25" i="2"/>
  <c r="AF26"/>
  <c r="AF22"/>
  <c r="AG7" i="3"/>
  <c r="AG20" i="2"/>
  <c r="BJ33" i="6"/>
  <c r="BV31"/>
  <c r="BI34"/>
  <c r="BH34"/>
  <c r="Y35" i="4"/>
  <c r="X35"/>
  <c r="BL34" i="6" s="1"/>
  <c r="BK34"/>
  <c r="BM34" s="1"/>
  <c r="Y40"/>
  <c r="X40"/>
  <c r="AD39"/>
  <c r="AE39"/>
  <c r="W36" i="4"/>
  <c r="BE35" i="6"/>
  <c r="BG35" s="1"/>
  <c r="V36" i="4"/>
  <c r="BF35" i="6" s="1"/>
  <c r="S38" i="4"/>
  <c r="R38"/>
  <c r="AT37" i="6" s="1"/>
  <c r="AS37"/>
  <c r="AU37" s="1"/>
  <c r="M41" i="4"/>
  <c r="L41"/>
  <c r="AB40" i="6" s="1"/>
  <c r="AA40"/>
  <c r="AC40" s="1"/>
  <c r="BN33"/>
  <c r="BO33"/>
  <c r="O40" i="4"/>
  <c r="N40"/>
  <c r="AH39" i="6" s="1"/>
  <c r="AG39"/>
  <c r="AI39" s="1"/>
  <c r="BB35"/>
  <c r="BC35"/>
  <c r="U37" i="4"/>
  <c r="AY36" i="6"/>
  <c r="BA36" s="1"/>
  <c r="T37" i="4"/>
  <c r="AZ36" i="6" s="1"/>
  <c r="AV36"/>
  <c r="AW36"/>
  <c r="AJ38"/>
  <c r="AK38"/>
  <c r="BT32"/>
  <c r="BU32"/>
  <c r="L42"/>
  <c r="M42"/>
  <c r="K42" i="4"/>
  <c r="U41" i="6"/>
  <c r="W41" s="1"/>
  <c r="H41"/>
  <c r="J42" i="4"/>
  <c r="V41" i="6" s="1"/>
  <c r="S41"/>
  <c r="R41"/>
  <c r="Q39" i="4"/>
  <c r="P39"/>
  <c r="AN38" i="6" s="1"/>
  <c r="AM38"/>
  <c r="I43" i="4"/>
  <c r="O42" i="6"/>
  <c r="Q42" s="1"/>
  <c r="H43" i="4"/>
  <c r="P42" i="6" s="1"/>
  <c r="BQ33"/>
  <c r="BS33" s="1"/>
  <c r="Z34" i="4"/>
  <c r="BR33" i="6" s="1"/>
  <c r="BD34"/>
  <c r="AQ37" l="1"/>
  <c r="AR37" s="1"/>
  <c r="I35" i="13" s="1"/>
  <c r="J35" s="1"/>
  <c r="AF39" i="6"/>
  <c r="G37" i="13" s="1"/>
  <c r="N42" i="6"/>
  <c r="D40" i="13" s="1"/>
  <c r="AL38" i="6"/>
  <c r="H36" i="13" s="1"/>
  <c r="Z40" i="6"/>
  <c r="F38" i="13" s="1"/>
  <c r="AO38" i="6"/>
  <c r="AP38" s="1"/>
  <c r="B36" i="13"/>
  <c r="T41" i="6"/>
  <c r="E39" i="13" s="1"/>
  <c r="BJ34" i="6"/>
  <c r="BP33"/>
  <c r="AG25" i="2"/>
  <c r="AG26"/>
  <c r="AG22"/>
  <c r="S42" i="6"/>
  <c r="R42"/>
  <c r="BE36"/>
  <c r="BG36" s="1"/>
  <c r="V37" i="4"/>
  <c r="BF36" i="6" s="1"/>
  <c r="W37" i="4"/>
  <c r="K43"/>
  <c r="H42" i="6"/>
  <c r="J43" i="4"/>
  <c r="V42" i="6" s="1"/>
  <c r="U42"/>
  <c r="W42" s="1"/>
  <c r="BV32"/>
  <c r="AE40"/>
  <c r="AD40"/>
  <c r="BN34"/>
  <c r="BO34"/>
  <c r="Y41"/>
  <c r="X41"/>
  <c r="BD35"/>
  <c r="O41" i="4"/>
  <c r="N41"/>
  <c r="AH40" i="6" s="1"/>
  <c r="AG40"/>
  <c r="AI40" s="1"/>
  <c r="BH35"/>
  <c r="BI35"/>
  <c r="BQ34"/>
  <c r="BS34" s="1"/>
  <c r="Z35" i="4"/>
  <c r="BR34" i="6" s="1"/>
  <c r="AA41"/>
  <c r="AC41" s="1"/>
  <c r="M42" i="4"/>
  <c r="L42"/>
  <c r="AB41" i="6" s="1"/>
  <c r="AK39"/>
  <c r="AJ39"/>
  <c r="AW37"/>
  <c r="AV37"/>
  <c r="Y36" i="4"/>
  <c r="BK35" i="6"/>
  <c r="BM35" s="1"/>
  <c r="X36" i="4"/>
  <c r="BL35" i="6" s="1"/>
  <c r="AX36"/>
  <c r="BU33"/>
  <c r="BT33"/>
  <c r="Q40" i="4"/>
  <c r="P40"/>
  <c r="AN39" i="6" s="1"/>
  <c r="AM39"/>
  <c r="AY37"/>
  <c r="BA37" s="1"/>
  <c r="T38" i="4"/>
  <c r="AZ37" i="6" s="1"/>
  <c r="U38" i="4"/>
  <c r="S39"/>
  <c r="AS38" i="6"/>
  <c r="AU38" s="1"/>
  <c r="R39" i="4"/>
  <c r="AT38" i="6" s="1"/>
  <c r="BC36"/>
  <c r="BB36"/>
  <c r="AQ38" l="1"/>
  <c r="AR38" s="1"/>
  <c r="I36" i="13" s="1"/>
  <c r="J36" s="1"/>
  <c r="K2" s="1"/>
  <c r="AF40" i="6"/>
  <c r="G38" i="13" s="1"/>
  <c r="Z41" i="6"/>
  <c r="F39" i="13" s="1"/>
  <c r="T42" i="6"/>
  <c r="E40" i="13" s="1"/>
  <c r="AO39" i="6"/>
  <c r="AP39" s="1"/>
  <c r="B37" i="13"/>
  <c r="AL39" i="6"/>
  <c r="H37" i="13" s="1"/>
  <c r="BD36" i="6"/>
  <c r="AX37"/>
  <c r="BP34"/>
  <c r="BJ35"/>
  <c r="BV33"/>
  <c r="BN35"/>
  <c r="BO35"/>
  <c r="AW38"/>
  <c r="AV38"/>
  <c r="Z36" i="4"/>
  <c r="BR35" i="6" s="1"/>
  <c r="BQ35"/>
  <c r="BS35" s="1"/>
  <c r="Y42"/>
  <c r="X42"/>
  <c r="BC37"/>
  <c r="BB37"/>
  <c r="AJ40"/>
  <c r="AK40"/>
  <c r="AG41"/>
  <c r="AI41" s="1"/>
  <c r="O42" i="4"/>
  <c r="N42"/>
  <c r="AH41" i="6" s="1"/>
  <c r="AM40"/>
  <c r="Q41" i="4"/>
  <c r="P41"/>
  <c r="AN40" i="6" s="1"/>
  <c r="L43" i="4"/>
  <c r="AB42" i="6" s="1"/>
  <c r="AA42"/>
  <c r="AC42" s="1"/>
  <c r="M43" i="4"/>
  <c r="R40"/>
  <c r="AT39" i="6" s="1"/>
  <c r="S40" i="4"/>
  <c r="AS39" i="6"/>
  <c r="AU39" s="1"/>
  <c r="AE41"/>
  <c r="AD41"/>
  <c r="X37" i="4"/>
  <c r="BL36" i="6" s="1"/>
  <c r="Y37" i="4"/>
  <c r="BK36" i="6"/>
  <c r="BM36" s="1"/>
  <c r="U39" i="4"/>
  <c r="AY38" i="6"/>
  <c r="BA38" s="1"/>
  <c r="T39" i="4"/>
  <c r="AZ38" i="6" s="1"/>
  <c r="BT34"/>
  <c r="BU34"/>
  <c r="BI36"/>
  <c r="BH36"/>
  <c r="W38" i="4"/>
  <c r="BE37" i="6"/>
  <c r="BG37" s="1"/>
  <c r="V38" i="4"/>
  <c r="BF37" i="6" s="1"/>
  <c r="Z42" l="1"/>
  <c r="F40" i="13" s="1"/>
  <c r="AQ39" i="6"/>
  <c r="AR39" s="1"/>
  <c r="I37" i="13" s="1"/>
  <c r="J37" s="1"/>
  <c r="AF41" i="6"/>
  <c r="G39" i="13" s="1"/>
  <c r="L2"/>
  <c r="M2"/>
  <c r="AL40" i="6"/>
  <c r="H38" i="13" s="1"/>
  <c r="AO40" i="6"/>
  <c r="AQ40" s="1"/>
  <c r="B38" i="13"/>
  <c r="BJ36" i="6"/>
  <c r="BD37"/>
  <c r="BP35"/>
  <c r="BV34"/>
  <c r="BC38"/>
  <c r="BB38"/>
  <c r="T40" i="4"/>
  <c r="AZ39" i="6" s="1"/>
  <c r="U40" i="4"/>
  <c r="AY39" i="6"/>
  <c r="BA39" s="1"/>
  <c r="BH37"/>
  <c r="BI37"/>
  <c r="BE38"/>
  <c r="BG38" s="1"/>
  <c r="V39" i="4"/>
  <c r="BF38" i="6" s="1"/>
  <c r="W39" i="4"/>
  <c r="Q42"/>
  <c r="P42"/>
  <c r="AN41" i="6" s="1"/>
  <c r="AM41"/>
  <c r="Y38" i="4"/>
  <c r="BK37" i="6"/>
  <c r="BM37" s="1"/>
  <c r="X38" i="4"/>
  <c r="BL37" i="6" s="1"/>
  <c r="BO36"/>
  <c r="BN36"/>
  <c r="N43" i="4"/>
  <c r="AH42" i="6" s="1"/>
  <c r="AG42"/>
  <c r="AI42" s="1"/>
  <c r="O43" i="4"/>
  <c r="AK41" i="6"/>
  <c r="AJ41"/>
  <c r="BQ36"/>
  <c r="BS36" s="1"/>
  <c r="Z37" i="4"/>
  <c r="BR36" i="6" s="1"/>
  <c r="AE42"/>
  <c r="AD42"/>
  <c r="BU35"/>
  <c r="BT35"/>
  <c r="AX38"/>
  <c r="AS40"/>
  <c r="AU40" s="1"/>
  <c r="R41" i="4"/>
  <c r="AT40" i="6" s="1"/>
  <c r="S41" i="4"/>
  <c r="AW39" i="6"/>
  <c r="AV39"/>
  <c r="M37" i="13" l="1"/>
  <c r="L37"/>
  <c r="AP40" i="6"/>
  <c r="AR40" s="1"/>
  <c r="I38" i="13" s="1"/>
  <c r="J38" s="1"/>
  <c r="M3"/>
  <c r="M4"/>
  <c r="M6"/>
  <c r="M11"/>
  <c r="M5"/>
  <c r="M7"/>
  <c r="M8"/>
  <c r="M12"/>
  <c r="M13"/>
  <c r="M14"/>
  <c r="M16"/>
  <c r="M15"/>
  <c r="M17"/>
  <c r="M18"/>
  <c r="M19"/>
  <c r="M21"/>
  <c r="M20"/>
  <c r="M22"/>
  <c r="M23"/>
  <c r="M24"/>
  <c r="M26"/>
  <c r="M25"/>
  <c r="M27"/>
  <c r="M29"/>
  <c r="M28"/>
  <c r="M30"/>
  <c r="M31"/>
  <c r="M32"/>
  <c r="M33"/>
  <c r="M34"/>
  <c r="M35"/>
  <c r="M36"/>
  <c r="AO41" i="6"/>
  <c r="AP41" s="1"/>
  <c r="B39" i="13"/>
  <c r="AF42" i="6"/>
  <c r="G40" i="13" s="1"/>
  <c r="AL41" i="6"/>
  <c r="H39" i="13" s="1"/>
  <c r="L7"/>
  <c r="L3"/>
  <c r="L4"/>
  <c r="L5"/>
  <c r="L6"/>
  <c r="L11"/>
  <c r="L8"/>
  <c r="L12"/>
  <c r="L13"/>
  <c r="L14"/>
  <c r="L15"/>
  <c r="L16"/>
  <c r="L17"/>
  <c r="L18"/>
  <c r="L19"/>
  <c r="L21"/>
  <c r="L20"/>
  <c r="L22"/>
  <c r="L24"/>
  <c r="L23"/>
  <c r="L25"/>
  <c r="L26"/>
  <c r="L27"/>
  <c r="L29"/>
  <c r="L28"/>
  <c r="L30"/>
  <c r="L32"/>
  <c r="L31"/>
  <c r="L33"/>
  <c r="L34"/>
  <c r="L35"/>
  <c r="L36"/>
  <c r="BD38" i="6"/>
  <c r="BV35"/>
  <c r="BJ37"/>
  <c r="BP36"/>
  <c r="AX39"/>
  <c r="AM42"/>
  <c r="Q43" i="4"/>
  <c r="P43"/>
  <c r="AN42" i="6" s="1"/>
  <c r="U41" i="4"/>
  <c r="AY40" i="6"/>
  <c r="BA40" s="1"/>
  <c r="T41" i="4"/>
  <c r="AZ40" i="6" s="1"/>
  <c r="AJ42"/>
  <c r="AK42"/>
  <c r="BB39"/>
  <c r="BC39"/>
  <c r="S42" i="4"/>
  <c r="AS41" i="6"/>
  <c r="AU41" s="1"/>
  <c r="R42" i="4"/>
  <c r="AT41" i="6" s="1"/>
  <c r="V40" i="4"/>
  <c r="BF39" i="6" s="1"/>
  <c r="W40" i="4"/>
  <c r="BE39" i="6"/>
  <c r="BG39" s="1"/>
  <c r="AW40"/>
  <c r="AV40"/>
  <c r="BK38"/>
  <c r="BM38" s="1"/>
  <c r="X39" i="4"/>
  <c r="BL38" i="6" s="1"/>
  <c r="Y39" i="4"/>
  <c r="BH38" i="6"/>
  <c r="BI38"/>
  <c r="BO37"/>
  <c r="BN37"/>
  <c r="BT36"/>
  <c r="BU36"/>
  <c r="BQ37"/>
  <c r="BS37" s="1"/>
  <c r="Z38" i="4"/>
  <c r="BR37" i="6" s="1"/>
  <c r="N35" i="13" l="1"/>
  <c r="P35" s="1"/>
  <c r="N27"/>
  <c r="P27" s="1"/>
  <c r="N19"/>
  <c r="P19" s="1"/>
  <c r="N36"/>
  <c r="P36" s="1"/>
  <c r="N29"/>
  <c r="P29" s="1"/>
  <c r="N21"/>
  <c r="P21" s="1"/>
  <c r="N12"/>
  <c r="P12" s="1"/>
  <c r="AQ41" i="6"/>
  <c r="AR41" s="1"/>
  <c r="I39" i="13" s="1"/>
  <c r="J39" s="1"/>
  <c r="N28"/>
  <c r="P28" s="1"/>
  <c r="N20"/>
  <c r="P20" s="1"/>
  <c r="N13"/>
  <c r="P13" s="1"/>
  <c r="N30"/>
  <c r="P30" s="1"/>
  <c r="N22"/>
  <c r="P22" s="1"/>
  <c r="N14"/>
  <c r="P14" s="1"/>
  <c r="N8"/>
  <c r="P8" s="1"/>
  <c r="N34"/>
  <c r="P34" s="1"/>
  <c r="N18"/>
  <c r="P18" s="1"/>
  <c r="N11"/>
  <c r="P11" s="1"/>
  <c r="N33"/>
  <c r="P33" s="1"/>
  <c r="N17"/>
  <c r="P17" s="1"/>
  <c r="N6"/>
  <c r="P6" s="1"/>
  <c r="N31"/>
  <c r="P31" s="1"/>
  <c r="N23"/>
  <c r="P23" s="1"/>
  <c r="N16"/>
  <c r="P16" s="1"/>
  <c r="N37"/>
  <c r="P37" s="1"/>
  <c r="BD39" i="6"/>
  <c r="AL42"/>
  <c r="H40" i="13" s="1"/>
  <c r="N25"/>
  <c r="P25" s="1"/>
  <c r="N7"/>
  <c r="P7" s="1"/>
  <c r="N32"/>
  <c r="P32" s="1"/>
  <c r="N24"/>
  <c r="N15"/>
  <c r="P15" s="1"/>
  <c r="N4"/>
  <c r="P4" s="1"/>
  <c r="M38"/>
  <c r="L38"/>
  <c r="O36"/>
  <c r="O29"/>
  <c r="O21"/>
  <c r="N5"/>
  <c r="P5" s="1"/>
  <c r="AO42" i="6"/>
  <c r="AQ42" s="1"/>
  <c r="B40" i="13"/>
  <c r="N26"/>
  <c r="P26" s="1"/>
  <c r="N3"/>
  <c r="P3" s="1"/>
  <c r="BP37" i="6"/>
  <c r="BV36"/>
  <c r="BJ38"/>
  <c r="Y40" i="4"/>
  <c r="BK39" i="6"/>
  <c r="BM39" s="1"/>
  <c r="X40" i="4"/>
  <c r="BL39" i="6" s="1"/>
  <c r="BU37"/>
  <c r="BT37"/>
  <c r="BQ38"/>
  <c r="BS38" s="1"/>
  <c r="Z39" i="4"/>
  <c r="BR38" i="6" s="1"/>
  <c r="BB40"/>
  <c r="BC40"/>
  <c r="AV41"/>
  <c r="AW41"/>
  <c r="BE40"/>
  <c r="BG40" s="1"/>
  <c r="V41" i="4"/>
  <c r="BF40" i="6" s="1"/>
  <c r="W41" i="4"/>
  <c r="BO38" i="6"/>
  <c r="BN38"/>
  <c r="U42" i="4"/>
  <c r="AY41" i="6"/>
  <c r="BA41" s="1"/>
  <c r="T42" i="4"/>
  <c r="AZ41" i="6" s="1"/>
  <c r="AX40"/>
  <c r="BH39"/>
  <c r="BI39"/>
  <c r="S43" i="4"/>
  <c r="AS42" i="6"/>
  <c r="AU42" s="1"/>
  <c r="R43" i="4"/>
  <c r="AT42" i="6" s="1"/>
  <c r="O12" i="13" l="1"/>
  <c r="O27"/>
  <c r="O20"/>
  <c r="O30"/>
  <c r="O14"/>
  <c r="O35"/>
  <c r="O19"/>
  <c r="AP42" i="6"/>
  <c r="AR42" s="1"/>
  <c r="I40" i="13" s="1"/>
  <c r="J40" s="1"/>
  <c r="M40" s="1"/>
  <c r="O28"/>
  <c r="O22"/>
  <c r="O17"/>
  <c r="O13"/>
  <c r="O8"/>
  <c r="O16"/>
  <c r="O33"/>
  <c r="O11"/>
  <c r="O34"/>
  <c r="O18"/>
  <c r="O37"/>
  <c r="O32"/>
  <c r="O23"/>
  <c r="O6"/>
  <c r="O31"/>
  <c r="O25"/>
  <c r="O15"/>
  <c r="O4"/>
  <c r="N38"/>
  <c r="P38" s="1"/>
  <c r="O7"/>
  <c r="O24"/>
  <c r="P24"/>
  <c r="O26"/>
  <c r="M39"/>
  <c r="L39"/>
  <c r="O3"/>
  <c r="O5"/>
  <c r="BV37" i="6"/>
  <c r="V42" i="4"/>
  <c r="BF41" i="6" s="1"/>
  <c r="W42" i="4"/>
  <c r="BE41" i="6"/>
  <c r="BG41" s="1"/>
  <c r="AW42"/>
  <c r="AV42"/>
  <c r="BD40"/>
  <c r="BN39"/>
  <c r="BO39"/>
  <c r="U43" i="4"/>
  <c r="AY42" i="6"/>
  <c r="BA42" s="1"/>
  <c r="T43" i="4"/>
  <c r="AZ42" i="6" s="1"/>
  <c r="BP38"/>
  <c r="BQ39"/>
  <c r="BS39" s="1"/>
  <c r="Z40" i="4"/>
  <c r="BR39" i="6" s="1"/>
  <c r="Y41" i="4"/>
  <c r="BK40" i="6"/>
  <c r="BM40" s="1"/>
  <c r="X41" i="4"/>
  <c r="BL40" i="6" s="1"/>
  <c r="BT38"/>
  <c r="BU38"/>
  <c r="BJ39"/>
  <c r="BI40"/>
  <c r="BH40"/>
  <c r="BB41"/>
  <c r="BC41"/>
  <c r="AX41"/>
  <c r="O38" i="13" l="1"/>
  <c r="L40"/>
  <c r="N40" s="1"/>
  <c r="P40" s="1"/>
  <c r="N39"/>
  <c r="P39" s="1"/>
  <c r="AX42" i="6"/>
  <c r="BJ40"/>
  <c r="BP39"/>
  <c r="BT39"/>
  <c r="BU39"/>
  <c r="BI41"/>
  <c r="BH41"/>
  <c r="BV38"/>
  <c r="BC42"/>
  <c r="BB42"/>
  <c r="Y42" i="4"/>
  <c r="BK41" i="6"/>
  <c r="BM41" s="1"/>
  <c r="X42" i="4"/>
  <c r="BL41" i="6" s="1"/>
  <c r="W43" i="4"/>
  <c r="BE42" i="6"/>
  <c r="BG42" s="1"/>
  <c r="V43" i="4"/>
  <c r="BF42" i="6" s="1"/>
  <c r="BN40"/>
  <c r="BO40"/>
  <c r="BD41"/>
  <c r="BQ40"/>
  <c r="BS40" s="1"/>
  <c r="Z41" i="4"/>
  <c r="BR40" i="6" s="1"/>
  <c r="O39" i="13" l="1"/>
  <c r="O40"/>
  <c r="BP40" i="6"/>
  <c r="BJ41"/>
  <c r="BI42"/>
  <c r="BH42"/>
  <c r="Y43" i="4"/>
  <c r="BK42" i="6"/>
  <c r="BM42" s="1"/>
  <c r="X43" i="4"/>
  <c r="BL42" i="6" s="1"/>
  <c r="BT40"/>
  <c r="BU40"/>
  <c r="BO41"/>
  <c r="BN41"/>
  <c r="BV39"/>
  <c r="Z42" i="4"/>
  <c r="BR41" i="6" s="1"/>
  <c r="BQ41"/>
  <c r="BS41" s="1"/>
  <c r="BD42"/>
  <c r="BP41" l="1"/>
  <c r="BU41"/>
  <c r="BT41"/>
  <c r="BN42"/>
  <c r="BO42"/>
  <c r="BQ42"/>
  <c r="BS42" s="1"/>
  <c r="Z43" i="4"/>
  <c r="BR42" i="6" s="1"/>
  <c r="BJ42"/>
  <c r="BV40"/>
  <c r="BV41" l="1"/>
  <c r="BP42"/>
  <c r="BT42"/>
  <c r="BU42"/>
  <c r="BV42" l="1"/>
  <c r="A12" i="7" l="1"/>
  <c r="A11"/>
  <c r="B5" i="3"/>
  <c r="B6" s="1"/>
  <c r="D12" i="4"/>
  <c r="C11" i="6" s="1"/>
  <c r="B11"/>
  <c r="D11" s="1"/>
  <c r="F11" s="1"/>
  <c r="B12"/>
  <c r="D12" s="1"/>
  <c r="B7" i="3" l="1"/>
  <c r="B20" i="2"/>
  <c r="E11" i="6"/>
  <c r="G11" s="1"/>
  <c r="C9" i="13" s="1"/>
  <c r="J9" s="1"/>
  <c r="F12" i="6"/>
  <c r="E12"/>
  <c r="D13" i="4"/>
  <c r="C12" i="6" s="1"/>
  <c r="C5" i="3"/>
  <c r="M9" i="13" l="1"/>
  <c r="L9"/>
  <c r="G12" i="6"/>
  <c r="C10" i="13" s="1"/>
  <c r="J10" s="1"/>
  <c r="B25" i="2"/>
  <c r="B22"/>
  <c r="B26"/>
  <c r="C3" i="3"/>
  <c r="C6"/>
  <c r="N9" i="13" l="1"/>
  <c r="P9" s="1"/>
  <c r="M10"/>
  <c r="L10"/>
  <c r="C7" i="3"/>
  <c r="C20" i="2"/>
  <c r="O9" i="13" l="1"/>
  <c r="N10"/>
  <c r="P10" s="1"/>
  <c r="O43" s="1"/>
  <c r="C19" i="11" s="1"/>
  <c r="C25" i="2"/>
  <c r="C26"/>
  <c r="C22"/>
  <c r="O10" i="13" l="1"/>
  <c r="O41" s="1"/>
  <c r="P41" l="1"/>
  <c r="O42" s="1"/>
  <c r="C22" i="11" s="1"/>
</calcChain>
</file>

<file path=xl/sharedStrings.xml><?xml version="1.0" encoding="utf-8"?>
<sst xmlns="http://schemas.openxmlformats.org/spreadsheetml/2006/main" count="271" uniqueCount="95">
  <si>
    <t>Surface speed</t>
  </si>
  <si>
    <t>Depth M</t>
  </si>
  <si>
    <t>Speed</t>
  </si>
  <si>
    <t>Chart Datum</t>
  </si>
  <si>
    <t>Mid point</t>
  </si>
  <si>
    <t>Hw-1</t>
  </si>
  <si>
    <t>Hw-2</t>
  </si>
  <si>
    <t>Hw-3</t>
  </si>
  <si>
    <t>Hw-4</t>
  </si>
  <si>
    <t>Hw-5</t>
  </si>
  <si>
    <t>Hw-6</t>
  </si>
  <si>
    <t>Hw+1</t>
  </si>
  <si>
    <t>Hw</t>
  </si>
  <si>
    <t>Hw+2</t>
  </si>
  <si>
    <t>Hw+3</t>
  </si>
  <si>
    <t>Hw+4</t>
  </si>
  <si>
    <t>Hw+5</t>
  </si>
  <si>
    <t>Charac.</t>
  </si>
  <si>
    <t>Wavelength</t>
  </si>
  <si>
    <t>Period</t>
  </si>
  <si>
    <t>s</t>
  </si>
  <si>
    <t>m</t>
  </si>
  <si>
    <t>X</t>
  </si>
  <si>
    <t>t</t>
  </si>
  <si>
    <t>n(x,t)</t>
  </si>
  <si>
    <t>distance along x axis</t>
  </si>
  <si>
    <t>Angular frequency of wave</t>
  </si>
  <si>
    <t>Linear wave theory (Krogstad and Arntsen)</t>
  </si>
  <si>
    <t>ωwave</t>
  </si>
  <si>
    <t>rad/s</t>
  </si>
  <si>
    <t>frequency (f)</t>
  </si>
  <si>
    <t>Hz</t>
  </si>
  <si>
    <t>Steepness (s)</t>
  </si>
  <si>
    <t xml:space="preserve">Propogation along wave surface </t>
  </si>
  <si>
    <t>Velocity ( c) Phase</t>
  </si>
  <si>
    <t>m/s</t>
  </si>
  <si>
    <t xml:space="preserve">Velocity Potential </t>
  </si>
  <si>
    <t>φ</t>
  </si>
  <si>
    <t>Gravity</t>
  </si>
  <si>
    <t>m/s^2</t>
  </si>
  <si>
    <t>K</t>
  </si>
  <si>
    <t>Z Depth</t>
  </si>
  <si>
    <t>u</t>
  </si>
  <si>
    <t>Drift Forces</t>
  </si>
  <si>
    <t>Stokes Wave drift</t>
  </si>
  <si>
    <t>Depth</t>
  </si>
  <si>
    <t>depth (z)</t>
  </si>
  <si>
    <t>Depth negative</t>
  </si>
  <si>
    <t>Wave Drift Force</t>
  </si>
  <si>
    <t>Depth -</t>
  </si>
  <si>
    <t>Wave Drift</t>
  </si>
  <si>
    <t>Wave Particle velocity</t>
  </si>
  <si>
    <t>Total</t>
  </si>
  <si>
    <t>Surface Speed</t>
  </si>
  <si>
    <t>Velocity over a wave cycle</t>
  </si>
  <si>
    <t>X Distance of Wave</t>
  </si>
  <si>
    <t>11th March at Southend Kintyre 2014</t>
  </si>
  <si>
    <t>5th March 2014 at Southend Kintyre</t>
  </si>
  <si>
    <t>Neaps</t>
  </si>
  <si>
    <t>Average</t>
  </si>
  <si>
    <t>H Sign.</t>
  </si>
  <si>
    <t>H Max</t>
  </si>
  <si>
    <t>http://www.hse.gov.uk/research/rrpdf/rr401.pdf</t>
  </si>
  <si>
    <t>http://www.dft.gov.uk/mca/final_report-8.pdf</t>
  </si>
  <si>
    <t>http://www.marin.nl/upload_mm/f/5/e/1807494158_1999999096_2006-DOT_JohannessenHaverBunnikBuchner.pdf</t>
  </si>
  <si>
    <t>Springs</t>
  </si>
  <si>
    <t>Input Data</t>
  </si>
  <si>
    <t>Chart Datum Depth</t>
  </si>
  <si>
    <t>Location Data</t>
  </si>
  <si>
    <t>Tide Data Surface Speed</t>
  </si>
  <si>
    <t>Times</t>
  </si>
  <si>
    <t>Wave Data</t>
  </si>
  <si>
    <t xml:space="preserve">Hs </t>
  </si>
  <si>
    <t>Distance along x axis</t>
  </si>
  <si>
    <t>Percentage</t>
  </si>
  <si>
    <t>%</t>
  </si>
  <si>
    <t>Diameter</t>
  </si>
  <si>
    <t>Hub Height</t>
  </si>
  <si>
    <t>Counter</t>
  </si>
  <si>
    <t>Depth counter</t>
  </si>
  <si>
    <t>Percentage difference</t>
  </si>
  <si>
    <t>Factor to tides</t>
  </si>
  <si>
    <t>Variable velocity tollerance</t>
  </si>
  <si>
    <t>Output Data</t>
  </si>
  <si>
    <t>Centre Hub height</t>
  </si>
  <si>
    <t>from Bottom</t>
  </si>
  <si>
    <t>Force of Gravity</t>
  </si>
  <si>
    <t>Perentage of wave passed</t>
  </si>
  <si>
    <t>https://www.carbontrust.com/media/173503/tidal-streams_-device-design.pdf</t>
  </si>
  <si>
    <t>1/7th Power law theory</t>
  </si>
  <si>
    <t>Website</t>
  </si>
  <si>
    <t>Notes</t>
  </si>
  <si>
    <t>http://www.ieawind.org/task_23/Subtask_2S_docs/Meeting%2008_Berlin/GeirMoe_Chap6-6_LinearWaveTheory.pdf</t>
  </si>
  <si>
    <t>Linear Wave Theory (wave particle Velocity)</t>
  </si>
  <si>
    <t xml:space="preserve">Stokes Drift Velocity Is Approximatly equal to: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</si>
</sst>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0" fontId="3" fillId="5" borderId="0" applyNumberFormat="0" applyBorder="0" applyAlignment="0" applyProtection="0"/>
    <xf numFmtId="0" fontId="5" fillId="6" borderId="16" applyNumberFormat="0" applyAlignment="0" applyProtection="0"/>
  </cellStyleXfs>
  <cellXfs count="145">
    <xf numFmtId="0" fontId="0" fillId="0" borderId="0" xfId="0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3" borderId="0" xfId="0" applyFill="1"/>
    <xf numFmtId="0" fontId="1" fillId="3" borderId="3" xfId="0" applyFont="1" applyFill="1" applyBorder="1"/>
    <xf numFmtId="0" fontId="0" fillId="3" borderId="4" xfId="0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1" xfId="0" applyBorder="1"/>
    <xf numFmtId="0" fontId="0" fillId="0" borderId="11" xfId="0" applyBorder="1"/>
    <xf numFmtId="0" fontId="0" fillId="0" borderId="2" xfId="0" applyFill="1" applyBorder="1"/>
    <xf numFmtId="0" fontId="2" fillId="0" borderId="0" xfId="0" applyFont="1"/>
    <xf numFmtId="0" fontId="2" fillId="0" borderId="3" xfId="0" applyFont="1" applyBorder="1"/>
    <xf numFmtId="0" fontId="2" fillId="0" borderId="3" xfId="0" applyFont="1" applyFill="1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4" xfId="0" applyNumberForma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1" fillId="3" borderId="3" xfId="0" applyFont="1" applyFill="1" applyBorder="1"/>
    <xf numFmtId="0" fontId="0" fillId="3" borderId="4" xfId="0" applyFill="1" applyBorder="1"/>
    <xf numFmtId="0" fontId="0" fillId="3" borderId="4" xfId="0" applyFill="1" applyBorder="1"/>
    <xf numFmtId="0" fontId="0" fillId="0" borderId="5" xfId="0" applyBorder="1"/>
    <xf numFmtId="0" fontId="0" fillId="3" borderId="3" xfId="0" applyFill="1" applyBorder="1"/>
    <xf numFmtId="0" fontId="3" fillId="3" borderId="0" xfId="2" applyFill="1"/>
    <xf numFmtId="0" fontId="0" fillId="0" borderId="0" xfId="0" applyBorder="1" applyAlignment="1"/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7" borderId="3" xfId="0" applyFill="1" applyBorder="1"/>
    <xf numFmtId="0" fontId="0" fillId="7" borderId="8" xfId="0" applyFill="1" applyBorder="1"/>
    <xf numFmtId="0" fontId="5" fillId="6" borderId="17" xfId="3" applyBorder="1"/>
    <xf numFmtId="0" fontId="0" fillId="7" borderId="13" xfId="0" applyFill="1" applyBorder="1"/>
    <xf numFmtId="0" fontId="5" fillId="6" borderId="18" xfId="3" applyBorder="1"/>
    <xf numFmtId="0" fontId="5" fillId="6" borderId="14" xfId="3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10" borderId="5" xfId="0" applyFill="1" applyBorder="1"/>
    <xf numFmtId="0" fontId="0" fillId="10" borderId="8" xfId="0" applyFill="1" applyBorder="1"/>
    <xf numFmtId="0" fontId="0" fillId="10" borderId="6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164" fontId="0" fillId="7" borderId="13" xfId="0" applyNumberFormat="1" applyFill="1" applyBorder="1"/>
    <xf numFmtId="0" fontId="0" fillId="10" borderId="12" xfId="0" applyFill="1" applyBorder="1" applyAlignment="1"/>
    <xf numFmtId="0" fontId="0" fillId="10" borderId="14" xfId="0" applyFill="1" applyBorder="1" applyAlignment="1"/>
    <xf numFmtId="0" fontId="5" fillId="6" borderId="16" xfId="3" applyBorder="1" applyAlignment="1">
      <alignment horizontal="center"/>
    </xf>
    <xf numFmtId="0" fontId="5" fillId="6" borderId="19" xfId="3" applyBorder="1" applyAlignment="1">
      <alignment horizontal="center"/>
    </xf>
    <xf numFmtId="0" fontId="0" fillId="11" borderId="7" xfId="0" applyFill="1" applyBorder="1"/>
    <xf numFmtId="0" fontId="0" fillId="11" borderId="6" xfId="0" applyFill="1" applyBorder="1"/>
    <xf numFmtId="0" fontId="0" fillId="11" borderId="0" xfId="0" applyFill="1" applyBorder="1"/>
    <xf numFmtId="0" fontId="0" fillId="11" borderId="4" xfId="0" applyFill="1" applyBorder="1"/>
    <xf numFmtId="0" fontId="0" fillId="11" borderId="3" xfId="0" applyFill="1" applyBorder="1"/>
    <xf numFmtId="0" fontId="0" fillId="11" borderId="9" xfId="0" applyFill="1" applyBorder="1"/>
    <xf numFmtId="0" fontId="0" fillId="11" borderId="4" xfId="0" applyFill="1" applyBorder="1" applyAlignment="1"/>
    <xf numFmtId="0" fontId="0" fillId="11" borderId="10" xfId="0" applyFill="1" applyBorder="1"/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4" fillId="10" borderId="12" xfId="1" applyNumberFormat="1" applyFill="1" applyBorder="1" applyAlignment="1">
      <alignment horizontal="center"/>
    </xf>
    <xf numFmtId="164" fontId="4" fillId="10" borderId="14" xfId="1" applyNumberFormat="1" applyFill="1" applyBorder="1" applyAlignment="1">
      <alignment horizontal="center"/>
    </xf>
    <xf numFmtId="164" fontId="4" fillId="10" borderId="12" xfId="1" applyNumberFormat="1" applyFill="1" applyBorder="1"/>
    <xf numFmtId="0" fontId="0" fillId="7" borderId="5" xfId="0" applyFill="1" applyBorder="1"/>
    <xf numFmtId="0" fontId="0" fillId="7" borderId="6" xfId="0" applyFill="1" applyBorder="1" applyAlignment="1">
      <alignment horizontal="center"/>
    </xf>
    <xf numFmtId="0" fontId="0" fillId="7" borderId="14" xfId="0" applyFill="1" applyBorder="1"/>
    <xf numFmtId="0" fontId="5" fillId="6" borderId="15" xfId="3" applyBorder="1"/>
    <xf numFmtId="0" fontId="1" fillId="7" borderId="13" xfId="3" applyFont="1" applyFill="1" applyBorder="1"/>
    <xf numFmtId="0" fontId="5" fillId="12" borderId="15" xfId="0" applyFont="1" applyFill="1" applyBorder="1"/>
    <xf numFmtId="0" fontId="6" fillId="9" borderId="1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40% - Énfasis1" xfId="2" builtinId="31"/>
    <cellStyle name="Buena" xfId="1" builtinId="26"/>
    <cellStyle name="Celda de comprobación" xfId="3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00"/>
            </a:pPr>
            <a:r>
              <a:rPr lang="en-GB" sz="2000"/>
              <a:t>Velocity</a:t>
            </a:r>
            <a:r>
              <a:rPr lang="en-GB" sz="2000" baseline="0"/>
              <a:t> Profile </a:t>
            </a:r>
            <a:endParaRPr lang="en-GB" sz="2000"/>
          </a:p>
        </c:rich>
      </c:tx>
      <c:layout/>
    </c:title>
    <c:plotArea>
      <c:layout>
        <c:manualLayout>
          <c:layoutTarget val="inner"/>
          <c:xMode val="edge"/>
          <c:yMode val="edge"/>
          <c:x val="6.9679605530590466E-2"/>
          <c:y val="7.4215075067894168E-2"/>
          <c:w val="0.80690539652637105"/>
          <c:h val="0.83600314960629918"/>
        </c:manualLayout>
      </c:layout>
      <c:scatterChart>
        <c:scatterStyle val="smoothMarker"/>
        <c:ser>
          <c:idx val="0"/>
          <c:order val="0"/>
          <c:tx>
            <c:v>Hw-6</c:v>
          </c:tx>
          <c:marker>
            <c:symbol val="none"/>
          </c:marker>
          <c:xVal>
            <c:numRef>
              <c:f>Total!$G$5:$G$42</c:f>
              <c:numCache>
                <c:formatCode>General</c:formatCode>
                <c:ptCount val="38"/>
                <c:pt idx="6">
                  <c:v>-0.29771173082065416</c:v>
                </c:pt>
                <c:pt idx="7">
                  <c:v>-0.28406916494513712</c:v>
                </c:pt>
                <c:pt idx="8">
                  <c:v>-0.23044221071948426</c:v>
                </c:pt>
                <c:pt idx="9">
                  <c:v>-0.16804855922055023</c:v>
                </c:pt>
                <c:pt idx="10">
                  <c:v>-0.11015744985853687</c:v>
                </c:pt>
                <c:pt idx="11">
                  <c:v>-6.1375606033820002E-2</c:v>
                </c:pt>
                <c:pt idx="12">
                  <c:v>-2.235511197725143E-2</c:v>
                </c:pt>
                <c:pt idx="13">
                  <c:v>7.8747098848730573E-3</c:v>
                </c:pt>
                <c:pt idx="14">
                  <c:v>3.0794533042314012E-2</c:v>
                </c:pt>
                <c:pt idx="15">
                  <c:v>4.7897249154031318E-2</c:v>
                </c:pt>
                <c:pt idx="16">
                  <c:v>6.0492426550081198E-2</c:v>
                </c:pt>
                <c:pt idx="17">
                  <c:v>6.9653123766965738E-2</c:v>
                </c:pt>
                <c:pt idx="18">
                  <c:v>7.6224852480409624E-2</c:v>
                </c:pt>
                <c:pt idx="19">
                  <c:v>8.0857617475751584E-2</c:v>
                </c:pt>
                <c:pt idx="20">
                  <c:v>8.4042902507473649E-2</c:v>
                </c:pt>
                <c:pt idx="21">
                  <c:v>8.6147909846576096E-2</c:v>
                </c:pt>
                <c:pt idx="22">
                  <c:v>8.7444394392821409E-2</c:v>
                </c:pt>
                <c:pt idx="23">
                  <c:v>8.8131725851788037E-2</c:v>
                </c:pt>
                <c:pt idx="24">
                  <c:v>8.8354747334501063E-2</c:v>
                </c:pt>
                <c:pt idx="25">
                  <c:v>8.8217284372136592E-2</c:v>
                </c:pt>
                <c:pt idx="26">
                  <c:v>8.7792150709672528E-2</c:v>
                </c:pt>
                <c:pt idx="27">
                  <c:v>8.7128368645950444E-2</c:v>
                </c:pt>
                <c:pt idx="28">
                  <c:v>8.6256148128868171E-2</c:v>
                </c:pt>
                <c:pt idx="29">
                  <c:v>8.518997269382364E-2</c:v>
                </c:pt>
                <c:pt idx="30">
                  <c:v>8.392990550502423E-2</c:v>
                </c:pt>
                <c:pt idx="31">
                  <c:v>8.2460889732692208E-2</c:v>
                </c:pt>
                <c:pt idx="32">
                  <c:v>8.0749200372407917E-2</c:v>
                </c:pt>
                <c:pt idx="33">
                  <c:v>7.8733823228785582E-2</c:v>
                </c:pt>
                <c:pt idx="34">
                  <c:v>7.6306835001122883E-2</c:v>
                </c:pt>
                <c:pt idx="35">
                  <c:v>7.3264819726660727E-2</c:v>
                </c:pt>
                <c:pt idx="36">
                  <c:v>6.9162303331807493E-2</c:v>
                </c:pt>
                <c:pt idx="37">
                  <c:v>6.2654347367904983E-2</c:v>
                </c:pt>
              </c:numCache>
            </c:numRef>
          </c:xVal>
          <c:yVal>
            <c:numRef>
              <c:f>Total!$H$5:$H$42</c:f>
              <c:numCache>
                <c:formatCode>General</c:formatCode>
                <c:ptCount val="38"/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v>Hw-5</c:v>
          </c:tx>
          <c:marker>
            <c:symbol val="none"/>
          </c:marker>
          <c:xVal>
            <c:numRef>
              <c:f>Total!$N$5:$N$42</c:f>
              <c:numCache>
                <c:formatCode>General</c:formatCode>
                <c:ptCount val="38"/>
                <c:pt idx="5">
                  <c:v>0.23886502792796449</c:v>
                </c:pt>
                <c:pt idx="6">
                  <c:v>0.21668826917934569</c:v>
                </c:pt>
                <c:pt idx="7">
                  <c:v>0.2280030421573126</c:v>
                </c:pt>
                <c:pt idx="8">
                  <c:v>0.27923692607763612</c:v>
                </c:pt>
                <c:pt idx="9">
                  <c:v>0.33916812907805172</c:v>
                </c:pt>
                <c:pt idx="10">
                  <c:v>0.39452290070835883</c:v>
                </c:pt>
                <c:pt idx="11">
                  <c:v>0.44068953884773854</c:v>
                </c:pt>
                <c:pt idx="12">
                  <c:v>0.47701044493376871</c:v>
                </c:pt>
                <c:pt idx="13">
                  <c:v>0.50445016575364487</c:v>
                </c:pt>
                <c:pt idx="14">
                  <c:v>0.52448253071762263</c:v>
                </c:pt>
                <c:pt idx="15">
                  <c:v>0.53859275730134282</c:v>
                </c:pt>
                <c:pt idx="16">
                  <c:v>0.54808176757543448</c:v>
                </c:pt>
                <c:pt idx="17">
                  <c:v>0.55401282776666161</c:v>
                </c:pt>
                <c:pt idx="18">
                  <c:v>0.55722029609053669</c:v>
                </c:pt>
                <c:pt idx="19">
                  <c:v>0.55834139416940942</c:v>
                </c:pt>
                <c:pt idx="20">
                  <c:v>0.55785285400174955</c:v>
                </c:pt>
                <c:pt idx="21">
                  <c:v>0.55610472479240936</c:v>
                </c:pt>
                <c:pt idx="22">
                  <c:v>0.55334864729017497</c:v>
                </c:pt>
                <c:pt idx="23">
                  <c:v>0.54976018123054082</c:v>
                </c:pt>
                <c:pt idx="24">
                  <c:v>0.54545568373194286</c:v>
                </c:pt>
                <c:pt idx="25">
                  <c:v>0.54050448638477222</c:v>
                </c:pt>
                <c:pt idx="26">
                  <c:v>0.53493705296726402</c:v>
                </c:pt>
                <c:pt idx="27">
                  <c:v>0.52874957325545702</c:v>
                </c:pt>
                <c:pt idx="28">
                  <c:v>0.52190510380967581</c:v>
                </c:pt>
                <c:pt idx="29">
                  <c:v>0.51433085812592294</c:v>
                </c:pt>
                <c:pt idx="30">
                  <c:v>0.50591041263535308</c:v>
                </c:pt>
                <c:pt idx="31">
                  <c:v>0.49646802478504615</c:v>
                </c:pt>
                <c:pt idx="32">
                  <c:v>0.48573891970208011</c:v>
                </c:pt>
                <c:pt idx="33">
                  <c:v>0.47331139170075093</c:v>
                </c:pt>
                <c:pt idx="34">
                  <c:v>0.45850456616714597</c:v>
                </c:pt>
                <c:pt idx="35">
                  <c:v>0.44007359230714249</c:v>
                </c:pt>
                <c:pt idx="36">
                  <c:v>0.41532783287684949</c:v>
                </c:pt>
                <c:pt idx="37">
                  <c:v>0.376184659229296</c:v>
                </c:pt>
              </c:numCache>
            </c:numRef>
          </c:xVal>
          <c:yVal>
            <c:numRef>
              <c:f>Total!$H$5:$H$42</c:f>
              <c:numCache>
                <c:formatCode>General</c:formatCode>
                <c:ptCount val="38"/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v>Hw-4</c:v>
          </c:tx>
          <c:marker>
            <c:symbol val="none"/>
          </c:marker>
          <c:xVal>
            <c:numRef>
              <c:f>Total!$T$5:$T$42</c:f>
              <c:numCache>
                <c:formatCode>General</c:formatCode>
                <c:ptCount val="38"/>
                <c:pt idx="4">
                  <c:v>0.67059863511812901</c:v>
                </c:pt>
                <c:pt idx="5">
                  <c:v>0.65117048745187245</c:v>
                </c:pt>
                <c:pt idx="6">
                  <c:v>0.6282082691793458</c:v>
                </c:pt>
                <c:pt idx="7">
                  <c:v>0.63766080783927226</c:v>
                </c:pt>
                <c:pt idx="8">
                  <c:v>0.68698023551533249</c:v>
                </c:pt>
                <c:pt idx="9">
                  <c:v>0.74494147971693347</c:v>
                </c:pt>
                <c:pt idx="10">
                  <c:v>0.79826718116187545</c:v>
                </c:pt>
                <c:pt idx="11">
                  <c:v>0.84234165475298561</c:v>
                </c:pt>
                <c:pt idx="12">
                  <c:v>0.87650289046258489</c:v>
                </c:pt>
                <c:pt idx="13">
                  <c:v>0.90171053044866245</c:v>
                </c:pt>
                <c:pt idx="14">
                  <c:v>0.91943292885786954</c:v>
                </c:pt>
                <c:pt idx="15">
                  <c:v>0.93114916381919199</c:v>
                </c:pt>
                <c:pt idx="16">
                  <c:v>0.93815324039571713</c:v>
                </c:pt>
                <c:pt idx="17">
                  <c:v>0.94150059096641836</c:v>
                </c:pt>
                <c:pt idx="18">
                  <c:v>0.9420166509786384</c:v>
                </c:pt>
                <c:pt idx="19">
                  <c:v>0.94032841552433577</c:v>
                </c:pt>
                <c:pt idx="20">
                  <c:v>0.93690081519717028</c:v>
                </c:pt>
                <c:pt idx="21">
                  <c:v>0.93207017674907588</c:v>
                </c:pt>
                <c:pt idx="22">
                  <c:v>0.92607204960805789</c:v>
                </c:pt>
                <c:pt idx="23">
                  <c:v>0.91906294553354306</c:v>
                </c:pt>
                <c:pt idx="24">
                  <c:v>0.91113643284989632</c:v>
                </c:pt>
                <c:pt idx="25">
                  <c:v>0.90233424799488071</c:v>
                </c:pt>
                <c:pt idx="26">
                  <c:v>0.89265297477333727</c:v>
                </c:pt>
                <c:pt idx="27">
                  <c:v>0.88204653694306223</c:v>
                </c:pt>
                <c:pt idx="28">
                  <c:v>0.87042426835432185</c:v>
                </c:pt>
                <c:pt idx="29">
                  <c:v>0.85764356647160256</c:v>
                </c:pt>
                <c:pt idx="30">
                  <c:v>0.84349481833961626</c:v>
                </c:pt>
                <c:pt idx="31">
                  <c:v>0.82767373282692946</c:v>
                </c:pt>
                <c:pt idx="32">
                  <c:v>0.80973069516581786</c:v>
                </c:pt>
                <c:pt idx="33">
                  <c:v>0.78897344647832302</c:v>
                </c:pt>
                <c:pt idx="34">
                  <c:v>0.76426275109996455</c:v>
                </c:pt>
                <c:pt idx="35">
                  <c:v>0.73352061037152794</c:v>
                </c:pt>
                <c:pt idx="36">
                  <c:v>0.69226025651288314</c:v>
                </c:pt>
                <c:pt idx="37">
                  <c:v>0.62700890871840897</c:v>
                </c:pt>
              </c:numCache>
            </c:numRef>
          </c:xVal>
          <c:yVal>
            <c:numRef>
              <c:f>Total!$H$5:$H$42</c:f>
              <c:numCache>
                <c:formatCode>General</c:formatCode>
                <c:ptCount val="38"/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3"/>
          <c:order val="3"/>
          <c:tx>
            <c:v>Hw-3</c:v>
          </c:tx>
          <c:marker>
            <c:symbol val="none"/>
          </c:marker>
          <c:xVal>
            <c:numRef>
              <c:f>Total!$Z$5:$Z$42</c:f>
              <c:numCache>
                <c:formatCode>General</c:formatCode>
                <c:ptCount val="38"/>
                <c:pt idx="3">
                  <c:v>0.75646865394817153</c:v>
                </c:pt>
                <c:pt idx="4">
                  <c:v>0.72218210409395733</c:v>
                </c:pt>
                <c:pt idx="5">
                  <c:v>0.70270866989236125</c:v>
                </c:pt>
                <c:pt idx="6">
                  <c:v>0.67964826917934595</c:v>
                </c:pt>
                <c:pt idx="7">
                  <c:v>0.68886802854951767</c:v>
                </c:pt>
                <c:pt idx="8">
                  <c:v>0.73794814919504459</c:v>
                </c:pt>
                <c:pt idx="9">
                  <c:v>0.79566314854679365</c:v>
                </c:pt>
                <c:pt idx="10">
                  <c:v>0.84873521621856518</c:v>
                </c:pt>
                <c:pt idx="11">
                  <c:v>0.89254816924114166</c:v>
                </c:pt>
                <c:pt idx="12">
                  <c:v>0.92643944615368712</c:v>
                </c:pt>
                <c:pt idx="13">
                  <c:v>0.95136807603553986</c:v>
                </c:pt>
                <c:pt idx="14">
                  <c:v>0.96880172862540059</c:v>
                </c:pt>
                <c:pt idx="15">
                  <c:v>0.9802187146339234</c:v>
                </c:pt>
                <c:pt idx="16">
                  <c:v>0.98691217449825264</c:v>
                </c:pt>
                <c:pt idx="17">
                  <c:v>0.98993656136638808</c:v>
                </c:pt>
                <c:pt idx="18">
                  <c:v>0.99011619533965134</c:v>
                </c:pt>
                <c:pt idx="19">
                  <c:v>0.98807679319370179</c:v>
                </c:pt>
                <c:pt idx="20">
                  <c:v>0.98428181034659801</c:v>
                </c:pt>
                <c:pt idx="21">
                  <c:v>0.97906585824365944</c:v>
                </c:pt>
                <c:pt idx="22">
                  <c:v>0.97266247489779334</c:v>
                </c:pt>
                <c:pt idx="23">
                  <c:v>0.96522579107141848</c:v>
                </c:pt>
                <c:pt idx="24">
                  <c:v>0.95684652648964064</c:v>
                </c:pt>
                <c:pt idx="25">
                  <c:v>0.94756296819614438</c:v>
                </c:pt>
                <c:pt idx="26">
                  <c:v>0.93736746499909662</c:v>
                </c:pt>
                <c:pt idx="27">
                  <c:v>0.92620865740401304</c:v>
                </c:pt>
                <c:pt idx="28">
                  <c:v>0.91398916392240281</c:v>
                </c:pt>
                <c:pt idx="29">
                  <c:v>0.90055765501481255</c:v>
                </c:pt>
                <c:pt idx="30">
                  <c:v>0.88569286905264932</c:v>
                </c:pt>
                <c:pt idx="31">
                  <c:v>0.86907444633216502</c:v>
                </c:pt>
                <c:pt idx="32">
                  <c:v>0.85022966709878522</c:v>
                </c:pt>
                <c:pt idx="33">
                  <c:v>0.82843120332551967</c:v>
                </c:pt>
                <c:pt idx="34">
                  <c:v>0.80248252421656696</c:v>
                </c:pt>
                <c:pt idx="35">
                  <c:v>0.77020148762957619</c:v>
                </c:pt>
                <c:pt idx="36">
                  <c:v>0.72687680946738742</c:v>
                </c:pt>
                <c:pt idx="37">
                  <c:v>0.65836193990454817</c:v>
                </c:pt>
              </c:numCache>
            </c:numRef>
          </c:xVal>
          <c:yVal>
            <c:numRef>
              <c:f>Total!$H$5:$H$42</c:f>
              <c:numCache>
                <c:formatCode>General</c:formatCode>
                <c:ptCount val="38"/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4"/>
          <c:order val="4"/>
          <c:tx>
            <c:v>Hw-2</c:v>
          </c:tx>
          <c:marker>
            <c:symbol val="none"/>
          </c:marker>
          <c:xVal>
            <c:numRef>
              <c:f>Total!$AF$7:$AF$42</c:f>
              <c:numCache>
                <c:formatCode>General</c:formatCode>
                <c:ptCount val="36"/>
                <c:pt idx="0">
                  <c:v>0.64466064843774995</c:v>
                </c:pt>
                <c:pt idx="1">
                  <c:v>0.60154942268044609</c:v>
                </c:pt>
                <c:pt idx="2">
                  <c:v>0.56743169716647235</c:v>
                </c:pt>
                <c:pt idx="3">
                  <c:v>0.54809412257089551</c:v>
                </c:pt>
                <c:pt idx="4">
                  <c:v>0.52532826917934572</c:v>
                </c:pt>
                <c:pt idx="5">
                  <c:v>0.53524636641878232</c:v>
                </c:pt>
                <c:pt idx="6">
                  <c:v>0.58504440815590852</c:v>
                </c:pt>
                <c:pt idx="7">
                  <c:v>0.6434981420572129</c:v>
                </c:pt>
                <c:pt idx="8">
                  <c:v>0.69733111104849632</c:v>
                </c:pt>
                <c:pt idx="9">
                  <c:v>0.74192862577667373</c:v>
                </c:pt>
                <c:pt idx="10">
                  <c:v>0.77662977908038089</c:v>
                </c:pt>
                <c:pt idx="11">
                  <c:v>0.80239543927490808</c:v>
                </c:pt>
                <c:pt idx="12">
                  <c:v>0.82069532932280775</c:v>
                </c:pt>
                <c:pt idx="13">
                  <c:v>0.83301006218972973</c:v>
                </c:pt>
                <c:pt idx="14">
                  <c:v>0.84063537219064643</c:v>
                </c:pt>
                <c:pt idx="15">
                  <c:v>0.84462865016647914</c:v>
                </c:pt>
                <c:pt idx="16">
                  <c:v>0.84581756225661298</c:v>
                </c:pt>
                <c:pt idx="17">
                  <c:v>0.84483166018560418</c:v>
                </c:pt>
                <c:pt idx="18">
                  <c:v>0.84213882489831515</c:v>
                </c:pt>
                <c:pt idx="19">
                  <c:v>0.83807881375990934</c:v>
                </c:pt>
                <c:pt idx="20">
                  <c:v>0.83289119902858721</c:v>
                </c:pt>
                <c:pt idx="21">
                  <c:v>0.82673725445779256</c:v>
                </c:pt>
                <c:pt idx="22">
                  <c:v>0.8197162455704079</c:v>
                </c:pt>
                <c:pt idx="23">
                  <c:v>0.81187680759235359</c:v>
                </c:pt>
                <c:pt idx="24">
                  <c:v>0.80322399432181901</c:v>
                </c:pt>
                <c:pt idx="25">
                  <c:v>0.79372229602116096</c:v>
                </c:pt>
                <c:pt idx="26">
                  <c:v>0.78329447721816037</c:v>
                </c:pt>
                <c:pt idx="27">
                  <c:v>0.77181538938518268</c:v>
                </c:pt>
                <c:pt idx="28">
                  <c:v>0.75909871691355058</c:v>
                </c:pt>
                <c:pt idx="29">
                  <c:v>0.74487230581645869</c:v>
                </c:pt>
                <c:pt idx="30">
                  <c:v>0.72873275129988346</c:v>
                </c:pt>
                <c:pt idx="31">
                  <c:v>0.71005793278393003</c:v>
                </c:pt>
                <c:pt idx="32">
                  <c:v>0.68782320486675996</c:v>
                </c:pt>
                <c:pt idx="33">
                  <c:v>0.66015885585543155</c:v>
                </c:pt>
                <c:pt idx="34">
                  <c:v>0.62302715060387481</c:v>
                </c:pt>
                <c:pt idx="35">
                  <c:v>0.5643028463461307</c:v>
                </c:pt>
              </c:numCache>
            </c:numRef>
          </c:xVal>
          <c:yVal>
            <c:numRef>
              <c:f>Total!$AA$7:$AA$42</c:f>
              <c:numCache>
                <c:formatCode>General</c:formatCode>
                <c:ptCount val="36"/>
                <c:pt idx="0">
                  <c:v>33.11</c:v>
                </c:pt>
                <c:pt idx="1">
                  <c:v>32.880000000000003</c:v>
                </c:pt>
                <c:pt idx="2">
                  <c:v>32.630000000000003</c:v>
                </c:pt>
                <c:pt idx="3">
                  <c:v>32.43</c:v>
                </c:pt>
                <c:pt idx="4">
                  <c:v>32</c:v>
                </c:pt>
                <c:pt idx="5">
                  <c:v>31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22</c:v>
                </c:pt>
                <c:pt idx="15">
                  <c:v>21</c:v>
                </c:pt>
                <c:pt idx="16">
                  <c:v>20</c:v>
                </c:pt>
                <c:pt idx="17">
                  <c:v>19</c:v>
                </c:pt>
                <c:pt idx="18">
                  <c:v>18</c:v>
                </c:pt>
                <c:pt idx="19">
                  <c:v>17</c:v>
                </c:pt>
                <c:pt idx="20">
                  <c:v>16</c:v>
                </c:pt>
                <c:pt idx="21">
                  <c:v>15</c:v>
                </c:pt>
                <c:pt idx="22">
                  <c:v>14</c:v>
                </c:pt>
                <c:pt idx="23">
                  <c:v>13</c:v>
                </c:pt>
                <c:pt idx="24">
                  <c:v>12</c:v>
                </c:pt>
                <c:pt idx="25">
                  <c:v>11</c:v>
                </c:pt>
                <c:pt idx="26">
                  <c:v>10</c:v>
                </c:pt>
                <c:pt idx="27">
                  <c:v>9</c:v>
                </c:pt>
                <c:pt idx="28">
                  <c:v>8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</c:numCache>
            </c:numRef>
          </c:yVal>
          <c:smooth val="1"/>
        </c:ser>
        <c:ser>
          <c:idx val="5"/>
          <c:order val="5"/>
          <c:tx>
            <c:v>Hw-1</c:v>
          </c:tx>
          <c:marker>
            <c:symbol val="none"/>
          </c:marker>
          <c:xVal>
            <c:numRef>
              <c:f>Total!$AL$6:$AL$42</c:f>
              <c:numCache>
                <c:formatCode>General</c:formatCode>
                <c:ptCount val="37"/>
                <c:pt idx="0">
                  <c:v>0.17303897881099961</c:v>
                </c:pt>
                <c:pt idx="1">
                  <c:v>0.12774871279765776</c:v>
                </c:pt>
                <c:pt idx="2">
                  <c:v>8.5151985121362017E-2</c:v>
                </c:pt>
                <c:pt idx="3">
                  <c:v>5.1597007408190176E-2</c:v>
                </c:pt>
                <c:pt idx="4">
                  <c:v>3.2712298166010401E-2</c:v>
                </c:pt>
                <c:pt idx="5">
                  <c:v>1.0928269179345751E-2</c:v>
                </c:pt>
                <c:pt idx="6">
                  <c:v>2.3174159316332821E-2</c:v>
                </c:pt>
                <c:pt idx="7">
                  <c:v>7.5365271358787955E-2</c:v>
                </c:pt>
                <c:pt idx="8">
                  <c:v>0.136281453758611</c:v>
                </c:pt>
                <c:pt idx="9">
                  <c:v>0.1926507604816006</c:v>
                </c:pt>
                <c:pt idx="10">
                  <c:v>0.23986348089511519</c:v>
                </c:pt>
                <c:pt idx="11">
                  <c:v>0.27726422216936064</c:v>
                </c:pt>
                <c:pt idx="12">
                  <c:v>0.3058199834061362</c:v>
                </c:pt>
                <c:pt idx="13">
                  <c:v>0.32700733164749923</c:v>
                </c:pt>
                <c:pt idx="14">
                  <c:v>0.34231455404241823</c:v>
                </c:pt>
                <c:pt idx="15">
                  <c:v>0.35304603116529321</c:v>
                </c:pt>
                <c:pt idx="16">
                  <c:v>0.36026894616678329</c:v>
                </c:pt>
                <c:pt idx="17">
                  <c:v>0.36482211864648589</c:v>
                </c:pt>
                <c:pt idx="18">
                  <c:v>0.36734788349194636</c:v>
                </c:pt>
                <c:pt idx="19">
                  <c:v>0.36832887340403919</c:v>
                </c:pt>
                <c:pt idx="20">
                  <c:v>0.36812199881407603</c:v>
                </c:pt>
                <c:pt idx="21">
                  <c:v>0.36698694613123356</c:v>
                </c:pt>
                <c:pt idx="22">
                  <c:v>0.36510879907903976</c:v>
                </c:pt>
                <c:pt idx="23">
                  <c:v>0.36261530917296614</c:v>
                </c:pt>
                <c:pt idx="24">
                  <c:v>0.35958960557971797</c:v>
                </c:pt>
                <c:pt idx="25">
                  <c:v>0.3560790920642275</c:v>
                </c:pt>
                <c:pt idx="26">
                  <c:v>0.35210109141165441</c:v>
                </c:pt>
                <c:pt idx="27">
                  <c:v>0.34764552153735273</c:v>
                </c:pt>
                <c:pt idx="28">
                  <c:v>0.3426745039530833</c:v>
                </c:pt>
                <c:pt idx="29">
                  <c:v>0.33711820978322166</c:v>
                </c:pt>
                <c:pt idx="30">
                  <c:v>0.3308651707641046</c:v>
                </c:pt>
                <c:pt idx="31">
                  <c:v>0.32374303197021126</c:v>
                </c:pt>
                <c:pt idx="32">
                  <c:v>0.3154803643119648</c:v>
                </c:pt>
                <c:pt idx="33">
                  <c:v>0.30562547370073673</c:v>
                </c:pt>
                <c:pt idx="34">
                  <c:v>0.29335008327494982</c:v>
                </c:pt>
                <c:pt idx="35">
                  <c:v>0.27686162105883272</c:v>
                </c:pt>
                <c:pt idx="36">
                  <c:v>0.25077253448473963</c:v>
                </c:pt>
              </c:numCache>
            </c:numRef>
          </c:xVal>
          <c:yVal>
            <c:numRef>
              <c:f>Total!$AG$6:$AG$42</c:f>
              <c:numCache>
                <c:formatCode>General</c:formatCode>
                <c:ptCount val="37"/>
                <c:pt idx="0">
                  <c:v>33.299999999999997</c:v>
                </c:pt>
                <c:pt idx="1">
                  <c:v>33.11</c:v>
                </c:pt>
                <c:pt idx="2">
                  <c:v>32.880000000000003</c:v>
                </c:pt>
                <c:pt idx="3">
                  <c:v>32.630000000000003</c:v>
                </c:pt>
                <c:pt idx="4">
                  <c:v>32.43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29</c:v>
                </c:pt>
                <c:pt idx="9">
                  <c:v>28</c:v>
                </c:pt>
                <c:pt idx="10">
                  <c:v>27</c:v>
                </c:pt>
                <c:pt idx="11">
                  <c:v>26</c:v>
                </c:pt>
                <c:pt idx="12">
                  <c:v>25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21</c:v>
                </c:pt>
                <c:pt idx="17">
                  <c:v>20</c:v>
                </c:pt>
                <c:pt idx="18">
                  <c:v>19</c:v>
                </c:pt>
                <c:pt idx="19">
                  <c:v>18</c:v>
                </c:pt>
                <c:pt idx="20">
                  <c:v>17</c:v>
                </c:pt>
                <c:pt idx="21">
                  <c:v>16</c:v>
                </c:pt>
                <c:pt idx="22">
                  <c:v>15</c:v>
                </c:pt>
                <c:pt idx="23">
                  <c:v>14</c:v>
                </c:pt>
                <c:pt idx="24">
                  <c:v>13</c:v>
                </c:pt>
                <c:pt idx="25">
                  <c:v>12</c:v>
                </c:pt>
                <c:pt idx="26">
                  <c:v>11</c:v>
                </c:pt>
                <c:pt idx="27">
                  <c:v>10</c:v>
                </c:pt>
                <c:pt idx="28">
                  <c:v>9</c:v>
                </c:pt>
                <c:pt idx="29">
                  <c:v>8</c:v>
                </c:pt>
                <c:pt idx="30">
                  <c:v>7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</c:numCache>
            </c:numRef>
          </c:yVal>
          <c:smooth val="1"/>
        </c:ser>
        <c:ser>
          <c:idx val="6"/>
          <c:order val="6"/>
          <c:tx>
            <c:v>Hw</c:v>
          </c:tx>
          <c:marker>
            <c:symbol val="none"/>
          </c:marker>
          <c:xVal>
            <c:numRef>
              <c:f>Total!$AR$5:$AR$42</c:f>
              <c:numCache>
                <c:formatCode>General</c:formatCode>
                <c:ptCount val="38"/>
                <c:pt idx="0">
                  <c:v>-0.16704226220155505</c:v>
                </c:pt>
                <c:pt idx="1">
                  <c:v>-0.18105353821152104</c:v>
                </c:pt>
                <c:pt idx="2">
                  <c:v>-0.21866037714078623</c:v>
                </c:pt>
                <c:pt idx="3">
                  <c:v>-0.25947424724369295</c:v>
                </c:pt>
                <c:pt idx="4">
                  <c:v>-0.29892488138668372</c:v>
                </c:pt>
                <c:pt idx="5">
                  <c:v>-0.31957316224258447</c:v>
                </c:pt>
                <c:pt idx="6">
                  <c:v>-0.3491517308206542</c:v>
                </c:pt>
                <c:pt idx="7">
                  <c:v>-0.33527638565538209</c:v>
                </c:pt>
                <c:pt idx="8">
                  <c:v>-0.28141012439919633</c:v>
                </c:pt>
                <c:pt idx="9">
                  <c:v>-0.21877022805041041</c:v>
                </c:pt>
                <c:pt idx="10">
                  <c:v>-0.16062548491522644</c:v>
                </c:pt>
                <c:pt idx="11">
                  <c:v>-0.11158212052197587</c:v>
                </c:pt>
                <c:pt idx="12">
                  <c:v>-7.2291667668353446E-2</c:v>
                </c:pt>
                <c:pt idx="13">
                  <c:v>-4.1782835702004126E-2</c:v>
                </c:pt>
                <c:pt idx="14">
                  <c:v>-1.8574266725216851E-2</c:v>
                </c:pt>
                <c:pt idx="15">
                  <c:v>-1.1723016606998357E-3</c:v>
                </c:pt>
                <c:pt idx="16">
                  <c:v>1.1733492447545867E-2</c:v>
                </c:pt>
                <c:pt idx="17">
                  <c:v>2.1217153366996141E-2</c:v>
                </c:pt>
                <c:pt idx="18">
                  <c:v>2.8125308119396921E-2</c:v>
                </c:pt>
                <c:pt idx="19">
                  <c:v>3.3109239806385783E-2</c:v>
                </c:pt>
                <c:pt idx="20">
                  <c:v>3.6661907358046059E-2</c:v>
                </c:pt>
                <c:pt idx="21">
                  <c:v>3.9152228351992779E-2</c:v>
                </c:pt>
                <c:pt idx="22">
                  <c:v>4.0853969103086051E-2</c:v>
                </c:pt>
                <c:pt idx="23">
                  <c:v>4.1968880313912757E-2</c:v>
                </c:pt>
                <c:pt idx="24">
                  <c:v>4.2644653694756889E-2</c:v>
                </c:pt>
                <c:pt idx="25">
                  <c:v>4.2988564170873031E-2</c:v>
                </c:pt>
                <c:pt idx="26">
                  <c:v>4.3077660483913364E-2</c:v>
                </c:pt>
                <c:pt idx="27">
                  <c:v>4.2966248184999792E-2</c:v>
                </c:pt>
                <c:pt idx="28">
                  <c:v>4.2691252560787409E-2</c:v>
                </c:pt>
                <c:pt idx="29">
                  <c:v>4.2275884150613681E-2</c:v>
                </c:pt>
                <c:pt idx="30">
                  <c:v>4.1731854791991332E-2</c:v>
                </c:pt>
                <c:pt idx="31">
                  <c:v>4.1060176227456821E-2</c:v>
                </c:pt>
                <c:pt idx="32">
                  <c:v>4.0250228439440712E-2</c:v>
                </c:pt>
                <c:pt idx="33">
                  <c:v>3.9276066381589043E-2</c:v>
                </c:pt>
                <c:pt idx="34">
                  <c:v>3.8087061884520587E-2</c:v>
                </c:pt>
                <c:pt idx="35">
                  <c:v>3.6583942468612553E-2</c:v>
                </c:pt>
                <c:pt idx="36">
                  <c:v>3.4545750377303293E-2</c:v>
                </c:pt>
                <c:pt idx="37">
                  <c:v>3.1301316181765876E-2</c:v>
                </c:pt>
              </c:numCache>
            </c:numRef>
          </c:xVal>
          <c:yVal>
            <c:numRef>
              <c:f>Total!$AM$5:$AM$42</c:f>
              <c:numCache>
                <c:formatCode>General</c:formatCode>
                <c:ptCount val="38"/>
                <c:pt idx="0">
                  <c:v>33.380000000000003</c:v>
                </c:pt>
                <c:pt idx="1">
                  <c:v>33.33</c:v>
                </c:pt>
                <c:pt idx="2">
                  <c:v>33.18</c:v>
                </c:pt>
                <c:pt idx="3">
                  <c:v>32.979999999999997</c:v>
                </c:pt>
                <c:pt idx="4">
                  <c:v>32.72</c:v>
                </c:pt>
                <c:pt idx="5">
                  <c:v>32.53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dLbls/>
        <c:axId val="70030848"/>
        <c:axId val="70032768"/>
      </c:scatterChart>
      <c:valAx>
        <c:axId val="70030848"/>
        <c:scaling>
          <c:orientation val="minMax"/>
          <c:max val="3.5"/>
          <c:min val="-1.5"/>
        </c:scaling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Velocity</a:t>
                </a:r>
                <a:r>
                  <a:rPr lang="en-GB" sz="1600" baseline="0"/>
                  <a:t> (x Direction - m/s)</a:t>
                </a:r>
              </a:p>
            </c:rich>
          </c:tx>
          <c:layout>
            <c:manualLayout>
              <c:xMode val="edge"/>
              <c:yMode val="edge"/>
              <c:x val="0.4173184404867547"/>
              <c:y val="0.95002725094145857"/>
            </c:manualLayout>
          </c:layout>
        </c:title>
        <c:numFmt formatCode="General" sourceLinked="1"/>
        <c:majorTickMark val="none"/>
        <c:tickLblPos val="nextTo"/>
        <c:crossAx val="70032768"/>
        <c:crosses val="autoZero"/>
        <c:crossBetween val="midCat"/>
      </c:valAx>
      <c:valAx>
        <c:axId val="7003276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2000"/>
                  <a:t>Depth</a:t>
                </a:r>
                <a:r>
                  <a:rPr lang="en-GB" sz="2000" baseline="0"/>
                  <a:t> Water (m</a:t>
                </a:r>
                <a:r>
                  <a:rPr lang="en-GB" sz="1600" baseline="0"/>
                  <a:t>)</a:t>
                </a:r>
                <a:endParaRPr lang="en-GB" sz="1600"/>
              </a:p>
            </c:rich>
          </c:tx>
          <c:layout>
            <c:manualLayout>
              <c:xMode val="edge"/>
              <c:yMode val="edge"/>
              <c:x val="2.813191950979211E-2"/>
              <c:y val="0.41723847997261221"/>
            </c:manualLayout>
          </c:layout>
        </c:title>
        <c:numFmt formatCode="General" sourceLinked="1"/>
        <c:majorTickMark val="none"/>
        <c:tickLblPos val="nextTo"/>
        <c:crossAx val="70030848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 b="1">
                <a:solidFill>
                  <a:sysClr val="windowText" lastClr="000000"/>
                </a:solidFill>
              </a:rPr>
              <a:t>Velocity Profile - No waves,</a:t>
            </a:r>
            <a:r>
              <a:rPr lang="en-GB" sz="1600" b="1" baseline="0">
                <a:solidFill>
                  <a:sysClr val="windowText" lastClr="000000"/>
                </a:solidFill>
              </a:rPr>
              <a:t> N</a:t>
            </a:r>
            <a:r>
              <a:rPr lang="en-GB" sz="1600" b="1">
                <a:solidFill>
                  <a:sysClr val="windowText" lastClr="000000"/>
                </a:solidFill>
              </a:rPr>
              <a:t>eap tides  </a:t>
            </a:r>
          </a:p>
        </c:rich>
      </c:tx>
      <c:spPr>
        <a:noFill/>
        <a:ln>
          <a:noFill/>
        </a:ln>
        <a:effectLst/>
      </c:spPr>
    </c:title>
    <c:plotArea>
      <c:layout/>
      <c:scatterChart>
        <c:scatterStyle val="smoothMarker"/>
        <c:ser>
          <c:idx val="0"/>
          <c:order val="0"/>
          <c:tx>
            <c:v>Hw-6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Neaps!$D$6:$D$43</c:f>
              <c:numCache>
                <c:formatCode>General</c:formatCode>
                <c:ptCount val="38"/>
                <c:pt idx="6">
                  <c:v>0.10288</c:v>
                </c:pt>
                <c:pt idx="7">
                  <c:v>0.10241444142048996</c:v>
                </c:pt>
                <c:pt idx="8">
                  <c:v>0.10193582735942408</c:v>
                </c:pt>
                <c:pt idx="9">
                  <c:v>0.1014433376597204</c:v>
                </c:pt>
                <c:pt idx="10">
                  <c:v>0.10093607011337916</c:v>
                </c:pt>
                <c:pt idx="11">
                  <c:v>0.10041302897631173</c:v>
                </c:pt>
                <c:pt idx="12">
                  <c:v>9.9873111382204033E-2</c:v>
                </c:pt>
                <c:pt idx="13">
                  <c:v>9.931509117375438E-2</c:v>
                </c:pt>
                <c:pt idx="14">
                  <c:v>9.8737599535061726E-2</c:v>
                </c:pt>
                <c:pt idx="15">
                  <c:v>9.8139101629462308E-2</c:v>
                </c:pt>
                <c:pt idx="16">
                  <c:v>9.7517868205070662E-2</c:v>
                </c:pt>
                <c:pt idx="17">
                  <c:v>9.6871940799939188E-2</c:v>
                </c:pt>
                <c:pt idx="18">
                  <c:v>9.6199088722025428E-2</c:v>
                </c:pt>
                <c:pt idx="19">
                  <c:v>9.5496755338731587E-2</c:v>
                </c:pt>
                <c:pt idx="20">
                  <c:v>9.4761990298855181E-2</c:v>
                </c:pt>
                <c:pt idx="21">
                  <c:v>9.3991362989166646E-2</c:v>
                </c:pt>
                <c:pt idx="22">
                  <c:v>9.3180850579470717E-2</c:v>
                </c:pt>
                <c:pt idx="23">
                  <c:v>9.2325691075750574E-2</c:v>
                </c:pt>
                <c:pt idx="24">
                  <c:v>9.1420187279488363E-2</c:v>
                </c:pt>
                <c:pt idx="25">
                  <c:v>9.0457440402527123E-2</c:v>
                </c:pt>
                <c:pt idx="26">
                  <c:v>8.9428980451518314E-2</c:v>
                </c:pt>
                <c:pt idx="27">
                  <c:v>8.8324240921901317E-2</c:v>
                </c:pt>
                <c:pt idx="28">
                  <c:v>8.7129791136161525E-2</c:v>
                </c:pt>
                <c:pt idx="29">
                  <c:v>8.5828177086419891E-2</c:v>
                </c:pt>
                <c:pt idx="30">
                  <c:v>8.4396101426065795E-2</c:v>
                </c:pt>
                <c:pt idx="31">
                  <c:v>8.2801427010470802E-2</c:v>
                </c:pt>
                <c:pt idx="32">
                  <c:v>8.0997943865934438E-2</c:v>
                </c:pt>
                <c:pt idx="33">
                  <c:v>7.8915513694393064E-2</c:v>
                </c:pt>
                <c:pt idx="34">
                  <c:v>7.6439546233204619E-2</c:v>
                </c:pt>
                <c:pt idx="35">
                  <c:v>7.3361754516096361E-2</c:v>
                </c:pt>
                <c:pt idx="36">
                  <c:v>6.9233105909008399E-2</c:v>
                </c:pt>
                <c:pt idx="37">
                  <c:v>6.2706062372278215E-2</c:v>
                </c:pt>
              </c:numCache>
            </c:numRef>
          </c:xVal>
          <c:yVal>
            <c:numRef>
              <c:f>Neaps!$C$6:$C$43</c:f>
              <c:numCache>
                <c:formatCode>General</c:formatCode>
                <c:ptCount val="38"/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3"/>
          <c:order val="1"/>
          <c:tx>
            <c:v>Hw-5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Neaps!$F$6:$F$43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0.61845818928586194</c:v>
                </c:pt>
                <c:pt idx="6">
                  <c:v>0.61727999999999994</c:v>
                </c:pt>
                <c:pt idx="7">
                  <c:v>0.61448664852293966</c:v>
                </c:pt>
                <c:pt idx="8">
                  <c:v>0.61161496415654448</c:v>
                </c:pt>
                <c:pt idx="9">
                  <c:v>0.60866002595832236</c:v>
                </c:pt>
                <c:pt idx="10">
                  <c:v>0.60561642068027488</c:v>
                </c:pt>
                <c:pt idx="11">
                  <c:v>0.60247817385787028</c:v>
                </c:pt>
                <c:pt idx="12">
                  <c:v>0.59923866829322414</c:v>
                </c:pt>
                <c:pt idx="13">
                  <c:v>0.5958905470425262</c:v>
                </c:pt>
                <c:pt idx="14">
                  <c:v>0.59242559721037036</c:v>
                </c:pt>
                <c:pt idx="15">
                  <c:v>0.58883460977677382</c:v>
                </c:pt>
                <c:pt idx="16">
                  <c:v>0.58510720923042392</c:v>
                </c:pt>
                <c:pt idx="17">
                  <c:v>0.58123164479963507</c:v>
                </c:pt>
                <c:pt idx="18">
                  <c:v>0.57719453233215245</c:v>
                </c:pt>
                <c:pt idx="19">
                  <c:v>0.57298053203238952</c:v>
                </c:pt>
                <c:pt idx="20">
                  <c:v>0.56857194179313109</c:v>
                </c:pt>
                <c:pt idx="21">
                  <c:v>0.56394817793499985</c:v>
                </c:pt>
                <c:pt idx="22">
                  <c:v>0.55908510347682427</c:v>
                </c:pt>
                <c:pt idx="23">
                  <c:v>0.55395414645450336</c:v>
                </c:pt>
                <c:pt idx="24">
                  <c:v>0.54852112367693018</c:v>
                </c:pt>
                <c:pt idx="25">
                  <c:v>0.54274464241516274</c:v>
                </c:pt>
                <c:pt idx="26">
                  <c:v>0.53657388270910977</c:v>
                </c:pt>
                <c:pt idx="27">
                  <c:v>0.52994544553140788</c:v>
                </c:pt>
                <c:pt idx="28">
                  <c:v>0.52277874681696912</c:v>
                </c:pt>
                <c:pt idx="29">
                  <c:v>0.51496906251851926</c:v>
                </c:pt>
                <c:pt idx="30">
                  <c:v>0.50637660855639466</c:v>
                </c:pt>
                <c:pt idx="31">
                  <c:v>0.49680856206282475</c:v>
                </c:pt>
                <c:pt idx="32">
                  <c:v>0.4859876631956066</c:v>
                </c:pt>
                <c:pt idx="33">
                  <c:v>0.47349308216635838</c:v>
                </c:pt>
                <c:pt idx="34">
                  <c:v>0.45863727739922772</c:v>
                </c:pt>
                <c:pt idx="35">
                  <c:v>0.44017052709657811</c:v>
                </c:pt>
                <c:pt idx="36">
                  <c:v>0.41539863545405037</c:v>
                </c:pt>
                <c:pt idx="37">
                  <c:v>0.37623637423366924</c:v>
                </c:pt>
              </c:numCache>
            </c:numRef>
          </c:xVal>
          <c:yVal>
            <c:numRef>
              <c:f>Neaps!$E$6:$E$43</c:f>
              <c:numCache>
                <c:formatCode>General</c:formatCode>
                <c:ptCount val="38"/>
                <c:pt idx="5">
                  <c:v>32.43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2"/>
          <c:order val="2"/>
          <c:tx>
            <c:v>Hw-4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Neaps!$H$6:$H$43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1.0316693795165646</c:v>
                </c:pt>
                <c:pt idx="5">
                  <c:v>1.03076364880977</c:v>
                </c:pt>
                <c:pt idx="6">
                  <c:v>1.0287999999999999</c:v>
                </c:pt>
                <c:pt idx="7">
                  <c:v>1.0241444142048994</c:v>
                </c:pt>
                <c:pt idx="8">
                  <c:v>1.0193582735942408</c:v>
                </c:pt>
                <c:pt idx="9">
                  <c:v>1.014433376597204</c:v>
                </c:pt>
                <c:pt idx="10">
                  <c:v>1.0093607011337915</c:v>
                </c:pt>
                <c:pt idx="11">
                  <c:v>1.0041302897631172</c:v>
                </c:pt>
                <c:pt idx="12">
                  <c:v>0.99873111382204027</c:v>
                </c:pt>
                <c:pt idx="13">
                  <c:v>0.99315091173754377</c:v>
                </c:pt>
                <c:pt idx="14">
                  <c:v>0.98737599535061726</c:v>
                </c:pt>
                <c:pt idx="15">
                  <c:v>0.981391016294623</c:v>
                </c:pt>
                <c:pt idx="16">
                  <c:v>0.97517868205070657</c:v>
                </c:pt>
                <c:pt idx="17">
                  <c:v>0.96871940799939182</c:v>
                </c:pt>
                <c:pt idx="18">
                  <c:v>0.96199088722025416</c:v>
                </c:pt>
                <c:pt idx="19">
                  <c:v>0.95496755338731587</c:v>
                </c:pt>
                <c:pt idx="20">
                  <c:v>0.94761990298855181</c:v>
                </c:pt>
                <c:pt idx="21">
                  <c:v>0.93991362989166638</c:v>
                </c:pt>
                <c:pt idx="22">
                  <c:v>0.9318085057947072</c:v>
                </c:pt>
                <c:pt idx="23">
                  <c:v>0.9232569107575056</c:v>
                </c:pt>
                <c:pt idx="24">
                  <c:v>0.91420187279488363</c:v>
                </c:pt>
                <c:pt idx="25">
                  <c:v>0.90457440402527123</c:v>
                </c:pt>
                <c:pt idx="26">
                  <c:v>0.89428980451518303</c:v>
                </c:pt>
                <c:pt idx="27">
                  <c:v>0.88324240921901309</c:v>
                </c:pt>
                <c:pt idx="28">
                  <c:v>0.87129791136161516</c:v>
                </c:pt>
                <c:pt idx="29">
                  <c:v>0.85828177086419888</c:v>
                </c:pt>
                <c:pt idx="30">
                  <c:v>0.84396101426065784</c:v>
                </c:pt>
                <c:pt idx="31">
                  <c:v>0.82801427010470796</c:v>
                </c:pt>
                <c:pt idx="32">
                  <c:v>0.80997943865934441</c:v>
                </c:pt>
                <c:pt idx="33">
                  <c:v>0.78915513694393058</c:v>
                </c:pt>
                <c:pt idx="34">
                  <c:v>0.76439546233204625</c:v>
                </c:pt>
                <c:pt idx="35">
                  <c:v>0.73361754516096356</c:v>
                </c:pt>
                <c:pt idx="36">
                  <c:v>0.69233105909008397</c:v>
                </c:pt>
                <c:pt idx="37">
                  <c:v>0.62706062372278215</c:v>
                </c:pt>
              </c:numCache>
            </c:numRef>
          </c:xVal>
          <c:yVal>
            <c:numRef>
              <c:f>Neaps!$G$6:$G$43</c:f>
              <c:numCache>
                <c:formatCode>General</c:formatCode>
                <c:ptCount val="38"/>
                <c:pt idx="4">
                  <c:v>32.630000000000003</c:v>
                </c:pt>
                <c:pt idx="5">
                  <c:v>32.43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4"/>
          <c:order val="3"/>
          <c:tx>
            <c:v>Hw-3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Neaps!$J$6:$J$43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1.0844346188740772</c:v>
                </c:pt>
                <c:pt idx="4">
                  <c:v>1.0832528484923929</c:v>
                </c:pt>
                <c:pt idx="5">
                  <c:v>1.0823018312502586</c:v>
                </c:pt>
                <c:pt idx="6">
                  <c:v>1.0802400000000001</c:v>
                </c:pt>
                <c:pt idx="7">
                  <c:v>1.0753516349151446</c:v>
                </c:pt>
                <c:pt idx="8">
                  <c:v>1.0703261872739529</c:v>
                </c:pt>
                <c:pt idx="9">
                  <c:v>1.0651550454270642</c:v>
                </c:pt>
                <c:pt idx="10">
                  <c:v>1.0598287361904812</c:v>
                </c:pt>
                <c:pt idx="11">
                  <c:v>1.0543368042512733</c:v>
                </c:pt>
                <c:pt idx="12">
                  <c:v>1.0486676695131425</c:v>
                </c:pt>
                <c:pt idx="13">
                  <c:v>1.0428084573244212</c:v>
                </c:pt>
                <c:pt idx="14">
                  <c:v>1.0367447951181483</c:v>
                </c:pt>
                <c:pt idx="15">
                  <c:v>1.0304605671093543</c:v>
                </c:pt>
                <c:pt idx="16">
                  <c:v>1.0239376161532421</c:v>
                </c:pt>
                <c:pt idx="17">
                  <c:v>1.0171553783993617</c:v>
                </c:pt>
                <c:pt idx="18">
                  <c:v>1.0100904315812671</c:v>
                </c:pt>
                <c:pt idx="19">
                  <c:v>1.0027159310566818</c:v>
                </c:pt>
                <c:pt idx="20">
                  <c:v>0.99500089813797954</c:v>
                </c:pt>
                <c:pt idx="21">
                  <c:v>0.98690931138624993</c:v>
                </c:pt>
                <c:pt idx="22">
                  <c:v>0.97839893108444265</c:v>
                </c:pt>
                <c:pt idx="23">
                  <c:v>0.96941975629538102</c:v>
                </c:pt>
                <c:pt idx="24">
                  <c:v>0.95991196643462795</c:v>
                </c:pt>
                <c:pt idx="25">
                  <c:v>0.9498031242265349</c:v>
                </c:pt>
                <c:pt idx="26">
                  <c:v>0.93900429474094238</c:v>
                </c:pt>
                <c:pt idx="27">
                  <c:v>0.9274045296799639</c:v>
                </c:pt>
                <c:pt idx="28">
                  <c:v>0.91486280692969613</c:v>
                </c:pt>
                <c:pt idx="29">
                  <c:v>0.90119585940740887</c:v>
                </c:pt>
                <c:pt idx="30">
                  <c:v>0.8861590649736909</c:v>
                </c:pt>
                <c:pt idx="31">
                  <c:v>0.86941498360994351</c:v>
                </c:pt>
                <c:pt idx="32">
                  <c:v>0.85047841059231177</c:v>
                </c:pt>
                <c:pt idx="33">
                  <c:v>0.82861289379112724</c:v>
                </c:pt>
                <c:pt idx="34">
                  <c:v>0.80261523544864866</c:v>
                </c:pt>
                <c:pt idx="35">
                  <c:v>0.77029842241901181</c:v>
                </c:pt>
                <c:pt idx="36">
                  <c:v>0.72694761204458824</c:v>
                </c:pt>
                <c:pt idx="37">
                  <c:v>0.65841365490892134</c:v>
                </c:pt>
              </c:numCache>
            </c:numRef>
          </c:xVal>
          <c:yVal>
            <c:numRef>
              <c:f>Neaps!$I$6:$I$43</c:f>
              <c:numCache>
                <c:formatCode>General</c:formatCode>
                <c:ptCount val="38"/>
                <c:pt idx="3">
                  <c:v>32.880000000000003</c:v>
                </c:pt>
                <c:pt idx="4">
                  <c:v>32.630000000000003</c:v>
                </c:pt>
                <c:pt idx="5">
                  <c:v>32.43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5"/>
          <c:order val="4"/>
          <c:tx>
            <c:v>Hw-2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Neaps!$L$6:$L$43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0.93044148415216599</c:v>
                </c:pt>
                <c:pt idx="3">
                  <c:v>0.92951538760635177</c:v>
                </c:pt>
                <c:pt idx="4">
                  <c:v>0.92850244156490802</c:v>
                </c:pt>
                <c:pt idx="5">
                  <c:v>0.92768728392879296</c:v>
                </c:pt>
                <c:pt idx="6">
                  <c:v>0.92591999999999997</c:v>
                </c:pt>
                <c:pt idx="7">
                  <c:v>0.92172997278440949</c:v>
                </c:pt>
                <c:pt idx="8">
                  <c:v>0.91742244623481672</c:v>
                </c:pt>
                <c:pt idx="9">
                  <c:v>0.91299003893748354</c:v>
                </c:pt>
                <c:pt idx="10">
                  <c:v>0.90842463102041238</c:v>
                </c:pt>
                <c:pt idx="11">
                  <c:v>0.90371726078680548</c:v>
                </c:pt>
                <c:pt idx="12">
                  <c:v>0.89885800243983627</c:v>
                </c:pt>
                <c:pt idx="13">
                  <c:v>0.89383582056378941</c:v>
                </c:pt>
                <c:pt idx="14">
                  <c:v>0.88863839581555548</c:v>
                </c:pt>
                <c:pt idx="15">
                  <c:v>0.88325191466516073</c:v>
                </c:pt>
                <c:pt idx="16">
                  <c:v>0.87766081384563588</c:v>
                </c:pt>
                <c:pt idx="17">
                  <c:v>0.87184746719945261</c:v>
                </c:pt>
                <c:pt idx="18">
                  <c:v>0.86579179849822874</c:v>
                </c:pt>
                <c:pt idx="19">
                  <c:v>0.85947079804858428</c:v>
                </c:pt>
                <c:pt idx="20">
                  <c:v>0.85285791268969668</c:v>
                </c:pt>
                <c:pt idx="21">
                  <c:v>0.84592226690249983</c:v>
                </c:pt>
                <c:pt idx="22">
                  <c:v>0.83862765521523652</c:v>
                </c:pt>
                <c:pt idx="23">
                  <c:v>0.8309312196817551</c:v>
                </c:pt>
                <c:pt idx="24">
                  <c:v>0.82278168551539521</c:v>
                </c:pt>
                <c:pt idx="25">
                  <c:v>0.81411696362274411</c:v>
                </c:pt>
                <c:pt idx="26">
                  <c:v>0.80486082406366477</c:v>
                </c:pt>
                <c:pt idx="27">
                  <c:v>0.79491816829711182</c:v>
                </c:pt>
                <c:pt idx="28">
                  <c:v>0.78416812022545368</c:v>
                </c:pt>
                <c:pt idx="29">
                  <c:v>0.772453593777779</c:v>
                </c:pt>
                <c:pt idx="30">
                  <c:v>0.75956491283459215</c:v>
                </c:pt>
                <c:pt idx="31">
                  <c:v>0.74521284309423719</c:v>
                </c:pt>
                <c:pt idx="32">
                  <c:v>0.72898149479341001</c:v>
                </c:pt>
                <c:pt idx="33">
                  <c:v>0.7102396232495376</c:v>
                </c:pt>
                <c:pt idx="34">
                  <c:v>0.68795591609884166</c:v>
                </c:pt>
                <c:pt idx="35">
                  <c:v>0.66025579064486717</c:v>
                </c:pt>
                <c:pt idx="36">
                  <c:v>0.62309795318107564</c:v>
                </c:pt>
                <c:pt idx="37">
                  <c:v>0.56435456135050388</c:v>
                </c:pt>
              </c:numCache>
            </c:numRef>
          </c:xVal>
          <c:yVal>
            <c:numRef>
              <c:f>Neaps!$K$6:$K$43</c:f>
              <c:numCache>
                <c:formatCode>General</c:formatCode>
                <c:ptCount val="38"/>
                <c:pt idx="2">
                  <c:v>33.11</c:v>
                </c:pt>
                <c:pt idx="3">
                  <c:v>32.880000000000003</c:v>
                </c:pt>
                <c:pt idx="4">
                  <c:v>32.630000000000003</c:v>
                </c:pt>
                <c:pt idx="5">
                  <c:v>32.43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1"/>
          <c:order val="5"/>
          <c:tx>
            <c:v>Hw-1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Neaps!$N$6:$N$43</c:f>
              <c:numCache>
                <c:formatCode>General</c:formatCode>
                <c:ptCount val="38"/>
                <c:pt idx="0">
                  <c:v>0</c:v>
                </c:pt>
                <c:pt idx="1">
                  <c:v>0.41386772026169333</c:v>
                </c:pt>
                <c:pt idx="2">
                  <c:v>0.41352954851207374</c:v>
                </c:pt>
                <c:pt idx="3">
                  <c:v>0.41311795004726748</c:v>
                </c:pt>
                <c:pt idx="4">
                  <c:v>0.41266775180662585</c:v>
                </c:pt>
                <c:pt idx="5">
                  <c:v>0.41230545952390796</c:v>
                </c:pt>
                <c:pt idx="6">
                  <c:v>0.41152</c:v>
                </c:pt>
                <c:pt idx="7">
                  <c:v>0.40965776568195983</c:v>
                </c:pt>
                <c:pt idx="8">
                  <c:v>0.40774330943769632</c:v>
                </c:pt>
                <c:pt idx="9">
                  <c:v>0.40577335063888159</c:v>
                </c:pt>
                <c:pt idx="10">
                  <c:v>0.40374428045351662</c:v>
                </c:pt>
                <c:pt idx="11">
                  <c:v>0.40165211590524691</c:v>
                </c:pt>
                <c:pt idx="12">
                  <c:v>0.39949244552881613</c:v>
                </c:pt>
                <c:pt idx="13">
                  <c:v>0.39726036469501752</c:v>
                </c:pt>
                <c:pt idx="14">
                  <c:v>0.39495039814024691</c:v>
                </c:pt>
                <c:pt idx="15">
                  <c:v>0.39255640651784923</c:v>
                </c:pt>
                <c:pt idx="16">
                  <c:v>0.39007147282028265</c:v>
                </c:pt>
                <c:pt idx="17">
                  <c:v>0.38748776319975675</c:v>
                </c:pt>
                <c:pt idx="18">
                  <c:v>0.38479635488810171</c:v>
                </c:pt>
                <c:pt idx="19">
                  <c:v>0.38198702135492635</c:v>
                </c:pt>
                <c:pt idx="20">
                  <c:v>0.37904796119542072</c:v>
                </c:pt>
                <c:pt idx="21">
                  <c:v>0.37596545195666659</c:v>
                </c:pt>
                <c:pt idx="22">
                  <c:v>0.37272340231788287</c:v>
                </c:pt>
                <c:pt idx="23">
                  <c:v>0.3693027643030023</c:v>
                </c:pt>
                <c:pt idx="24">
                  <c:v>0.36568074911795345</c:v>
                </c:pt>
                <c:pt idx="25">
                  <c:v>0.36182976161010849</c:v>
                </c:pt>
                <c:pt idx="26">
                  <c:v>0.35771592180607326</c:v>
                </c:pt>
                <c:pt idx="27">
                  <c:v>0.35329696368760527</c:v>
                </c:pt>
                <c:pt idx="28">
                  <c:v>0.3485191645446461</c:v>
                </c:pt>
                <c:pt idx="29">
                  <c:v>0.34331270834567956</c:v>
                </c:pt>
                <c:pt idx="30">
                  <c:v>0.33758440570426318</c:v>
                </c:pt>
                <c:pt idx="31">
                  <c:v>0.33120570804188321</c:v>
                </c:pt>
                <c:pt idx="32">
                  <c:v>0.32399177546373775</c:v>
                </c:pt>
                <c:pt idx="33">
                  <c:v>0.31566205477757225</c:v>
                </c:pt>
                <c:pt idx="34">
                  <c:v>0.30575818493281848</c:v>
                </c:pt>
                <c:pt idx="35">
                  <c:v>0.29344701806438545</c:v>
                </c:pt>
                <c:pt idx="36">
                  <c:v>0.2769324236360336</c:v>
                </c:pt>
                <c:pt idx="37">
                  <c:v>0.25082424948911286</c:v>
                </c:pt>
              </c:numCache>
            </c:numRef>
          </c:xVal>
          <c:yVal>
            <c:numRef>
              <c:f>Neaps!$M$6:$M$43</c:f>
              <c:numCache>
                <c:formatCode>General</c:formatCode>
                <c:ptCount val="38"/>
                <c:pt idx="1">
                  <c:v>33.299999999999997</c:v>
                </c:pt>
                <c:pt idx="2">
                  <c:v>33.11</c:v>
                </c:pt>
                <c:pt idx="3">
                  <c:v>32.880000000000003</c:v>
                </c:pt>
                <c:pt idx="4">
                  <c:v>32.630000000000003</c:v>
                </c:pt>
                <c:pt idx="5">
                  <c:v>32.43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6"/>
          <c:order val="6"/>
          <c:tx>
            <c:v>Hw</c:v>
          </c:tx>
          <c:marker>
            <c:symbol val="none"/>
          </c:marker>
          <c:xVal>
            <c:numRef>
              <c:f>Neaps!$P$6:$P$43</c:f>
              <c:numCache>
                <c:formatCode>General</c:formatCode>
                <c:ptCount val="38"/>
                <c:pt idx="0">
                  <c:v>5.1751201722298523E-2</c:v>
                </c:pt>
                <c:pt idx="1">
                  <c:v>5.1740120567055861E-2</c:v>
                </c:pt>
                <c:pt idx="2">
                  <c:v>5.1706791395146154E-2</c:v>
                </c:pt>
                <c:pt idx="3">
                  <c:v>5.1662151020786883E-2</c:v>
                </c:pt>
                <c:pt idx="4">
                  <c:v>5.1603770336172868E-2</c:v>
                </c:pt>
                <c:pt idx="5">
                  <c:v>5.1560855539925329E-2</c:v>
                </c:pt>
                <c:pt idx="6">
                  <c:v>5.144E-2</c:v>
                </c:pt>
                <c:pt idx="7">
                  <c:v>5.1207220710244979E-2</c:v>
                </c:pt>
                <c:pt idx="8">
                  <c:v>5.096791367971204E-2</c:v>
                </c:pt>
                <c:pt idx="9">
                  <c:v>5.0721668829860199E-2</c:v>
                </c:pt>
                <c:pt idx="10">
                  <c:v>5.0468035056689578E-2</c:v>
                </c:pt>
                <c:pt idx="11">
                  <c:v>5.0206514488155864E-2</c:v>
                </c:pt>
                <c:pt idx="12">
                  <c:v>4.9936555691102016E-2</c:v>
                </c:pt>
                <c:pt idx="13">
                  <c:v>4.965754558687719E-2</c:v>
                </c:pt>
                <c:pt idx="14">
                  <c:v>4.9368799767530863E-2</c:v>
                </c:pt>
                <c:pt idx="15">
                  <c:v>4.9069550814731154E-2</c:v>
                </c:pt>
                <c:pt idx="16">
                  <c:v>4.8758934102535331E-2</c:v>
                </c:pt>
                <c:pt idx="17">
                  <c:v>4.8435970399969594E-2</c:v>
                </c:pt>
                <c:pt idx="18">
                  <c:v>4.8099544361012714E-2</c:v>
                </c:pt>
                <c:pt idx="19">
                  <c:v>4.7748377669365794E-2</c:v>
                </c:pt>
                <c:pt idx="20">
                  <c:v>4.738099514942759E-2</c:v>
                </c:pt>
                <c:pt idx="21">
                  <c:v>4.6995681494583323E-2</c:v>
                </c:pt>
                <c:pt idx="22">
                  <c:v>4.6590425289735359E-2</c:v>
                </c:pt>
                <c:pt idx="23">
                  <c:v>4.6162845537875287E-2</c:v>
                </c:pt>
                <c:pt idx="24">
                  <c:v>4.5710093639744181E-2</c:v>
                </c:pt>
                <c:pt idx="25">
                  <c:v>4.5228720201263561E-2</c:v>
                </c:pt>
                <c:pt idx="26">
                  <c:v>4.4714490225759157E-2</c:v>
                </c:pt>
                <c:pt idx="27">
                  <c:v>4.4162120460950659E-2</c:v>
                </c:pt>
                <c:pt idx="28">
                  <c:v>4.3564895568080762E-2</c:v>
                </c:pt>
                <c:pt idx="29">
                  <c:v>4.2914088543209945E-2</c:v>
                </c:pt>
                <c:pt idx="30">
                  <c:v>4.2198050713032897E-2</c:v>
                </c:pt>
                <c:pt idx="31">
                  <c:v>4.1400713505235401E-2</c:v>
                </c:pt>
                <c:pt idx="32">
                  <c:v>4.0498971932967219E-2</c:v>
                </c:pt>
                <c:pt idx="33">
                  <c:v>3.9457756847196532E-2</c:v>
                </c:pt>
                <c:pt idx="34">
                  <c:v>3.821977311660231E-2</c:v>
                </c:pt>
                <c:pt idx="35">
                  <c:v>3.6680877258048181E-2</c:v>
                </c:pt>
                <c:pt idx="36">
                  <c:v>3.46165529545042E-2</c:v>
                </c:pt>
                <c:pt idx="37">
                  <c:v>3.1353031186139108E-2</c:v>
                </c:pt>
              </c:numCache>
            </c:numRef>
          </c:xVal>
          <c:yVal>
            <c:numRef>
              <c:f>Neaps!$O$6:$O$43</c:f>
              <c:numCache>
                <c:formatCode>General</c:formatCode>
                <c:ptCount val="38"/>
                <c:pt idx="0">
                  <c:v>33.380000000000003</c:v>
                </c:pt>
                <c:pt idx="1">
                  <c:v>33.33</c:v>
                </c:pt>
                <c:pt idx="2">
                  <c:v>33.18</c:v>
                </c:pt>
                <c:pt idx="3">
                  <c:v>32.979999999999997</c:v>
                </c:pt>
                <c:pt idx="4">
                  <c:v>32.72</c:v>
                </c:pt>
                <c:pt idx="5">
                  <c:v>32.53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dLbls/>
        <c:axId val="72753152"/>
        <c:axId val="72755072"/>
      </c:scatterChart>
      <c:valAx>
        <c:axId val="72753152"/>
        <c:scaling>
          <c:orientation val="minMax"/>
          <c:max val="3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>
                    <a:solidFill>
                      <a:sysClr val="windowText" lastClr="000000"/>
                    </a:solidFill>
                  </a:rPr>
                  <a:t>Velocity (m/s)</a:t>
                </a:r>
              </a:p>
            </c:rich>
          </c:tx>
          <c:layout>
            <c:manualLayout>
              <c:xMode val="edge"/>
              <c:yMode val="edge"/>
              <c:x val="0.40164608861762102"/>
              <c:y val="0.94498476230905915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55072"/>
        <c:crosses val="autoZero"/>
        <c:crossBetween val="midCat"/>
      </c:valAx>
      <c:valAx>
        <c:axId val="72755072"/>
        <c:scaling>
          <c:orientation val="minMax"/>
          <c:max val="35"/>
          <c:min val="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</a:rPr>
                  <a:t>Depth (m)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53152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legend>
      <c:legendPos val="r"/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bg1"/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4.1831653543307083E-2"/>
          <c:y val="2.4975321924545345E-2"/>
          <c:w val="0.78289291338582689"/>
          <c:h val="0.9106201083051676"/>
        </c:manualLayout>
      </c:layout>
      <c:scatterChart>
        <c:scatterStyle val="smoothMarker"/>
        <c:ser>
          <c:idx val="3"/>
          <c:order val="3"/>
          <c:marker>
            <c:symbol val="none"/>
          </c:marker>
          <c:xVal>
            <c:numRef>
              <c:f>Springs!$F$6:$F$43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1.0290753502439312</c:v>
                </c:pt>
                <c:pt idx="6">
                  <c:v>1.0287999999999999</c:v>
                </c:pt>
                <c:pt idx="7">
                  <c:v>1.0241444142048994</c:v>
                </c:pt>
                <c:pt idx="8">
                  <c:v>1.0193582735942408</c:v>
                </c:pt>
                <c:pt idx="9">
                  <c:v>1.014433376597204</c:v>
                </c:pt>
                <c:pt idx="10">
                  <c:v>1.0093607011337915</c:v>
                </c:pt>
                <c:pt idx="11">
                  <c:v>1.0041302897631172</c:v>
                </c:pt>
                <c:pt idx="12">
                  <c:v>0.99873111382204027</c:v>
                </c:pt>
                <c:pt idx="13">
                  <c:v>0.99315091173754377</c:v>
                </c:pt>
                <c:pt idx="14">
                  <c:v>0.98737599535061726</c:v>
                </c:pt>
                <c:pt idx="15">
                  <c:v>0.981391016294623</c:v>
                </c:pt>
                <c:pt idx="16">
                  <c:v>0.97517868205070657</c:v>
                </c:pt>
                <c:pt idx="17">
                  <c:v>0.96871940799939182</c:v>
                </c:pt>
                <c:pt idx="18">
                  <c:v>0.96199088722025416</c:v>
                </c:pt>
                <c:pt idx="19">
                  <c:v>0.95496755338731587</c:v>
                </c:pt>
                <c:pt idx="20">
                  <c:v>0.94761990298855181</c:v>
                </c:pt>
                <c:pt idx="21">
                  <c:v>0.93991362989166638</c:v>
                </c:pt>
                <c:pt idx="22">
                  <c:v>0.9318085057947072</c:v>
                </c:pt>
                <c:pt idx="23">
                  <c:v>0.9232569107575056</c:v>
                </c:pt>
                <c:pt idx="24">
                  <c:v>0.91420187279488363</c:v>
                </c:pt>
                <c:pt idx="25">
                  <c:v>0.90457440402527123</c:v>
                </c:pt>
                <c:pt idx="26">
                  <c:v>0.89428980451518303</c:v>
                </c:pt>
                <c:pt idx="27">
                  <c:v>0.88324240921901309</c:v>
                </c:pt>
                <c:pt idx="28">
                  <c:v>0.87129791136161516</c:v>
                </c:pt>
                <c:pt idx="29">
                  <c:v>0.85828177086419888</c:v>
                </c:pt>
                <c:pt idx="30">
                  <c:v>0.84396101426065784</c:v>
                </c:pt>
                <c:pt idx="31">
                  <c:v>0.82801427010470796</c:v>
                </c:pt>
                <c:pt idx="32">
                  <c:v>0.80997943865934441</c:v>
                </c:pt>
                <c:pt idx="33">
                  <c:v>0.78915513694393058</c:v>
                </c:pt>
                <c:pt idx="34">
                  <c:v>0.76439546233204625</c:v>
                </c:pt>
                <c:pt idx="35">
                  <c:v>0.73361754516096356</c:v>
                </c:pt>
                <c:pt idx="36">
                  <c:v>0.69233105909008397</c:v>
                </c:pt>
                <c:pt idx="37">
                  <c:v>0.62706062372278215</c:v>
                </c:pt>
              </c:numCache>
            </c:numRef>
          </c:xVal>
          <c:yVal>
            <c:numRef>
              <c:f>Springs!$E$6:$E$43</c:f>
              <c:numCache>
                <c:formatCode>General</c:formatCode>
                <c:ptCount val="38"/>
                <c:pt idx="5">
                  <c:v>32.06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4"/>
          <c:order val="4"/>
          <c:marker>
            <c:symbol val="none"/>
          </c:marker>
          <c:xVal>
            <c:numRef>
              <c:f>Springs!$J$6:$J$43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1.7578794835797054</c:v>
                </c:pt>
                <c:pt idx="4">
                  <c:v>1.7532230216359805</c:v>
                </c:pt>
                <c:pt idx="5">
                  <c:v>1.749428095414683</c:v>
                </c:pt>
                <c:pt idx="6">
                  <c:v>1.7489599999999998</c:v>
                </c:pt>
                <c:pt idx="7">
                  <c:v>1.741045504148329</c:v>
                </c:pt>
                <c:pt idx="8">
                  <c:v>1.7329090651102093</c:v>
                </c:pt>
                <c:pt idx="9">
                  <c:v>1.7245367402152465</c:v>
                </c:pt>
                <c:pt idx="10">
                  <c:v>1.7159131919274455</c:v>
                </c:pt>
                <c:pt idx="11">
                  <c:v>1.7070214925972993</c:v>
                </c:pt>
                <c:pt idx="12">
                  <c:v>1.6978428934974683</c:v>
                </c:pt>
                <c:pt idx="13">
                  <c:v>1.6883565499538244</c:v>
                </c:pt>
                <c:pt idx="14">
                  <c:v>1.6785391920960493</c:v>
                </c:pt>
                <c:pt idx="15">
                  <c:v>1.6683647277008591</c:v>
                </c:pt>
                <c:pt idx="16">
                  <c:v>1.6578037594862012</c:v>
                </c:pt>
                <c:pt idx="17">
                  <c:v>1.646822993598966</c:v>
                </c:pt>
                <c:pt idx="18">
                  <c:v>1.635384508274432</c:v>
                </c:pt>
                <c:pt idx="19">
                  <c:v>1.623444840758437</c:v>
                </c:pt>
                <c:pt idx="20">
                  <c:v>1.6109538350805381</c:v>
                </c:pt>
                <c:pt idx="21">
                  <c:v>1.5978531708158328</c:v>
                </c:pt>
                <c:pt idx="22">
                  <c:v>1.5840744598510021</c:v>
                </c:pt>
                <c:pt idx="23">
                  <c:v>1.5695367482877596</c:v>
                </c:pt>
                <c:pt idx="24">
                  <c:v>1.554143183751302</c:v>
                </c:pt>
                <c:pt idx="25">
                  <c:v>1.5377764868429609</c:v>
                </c:pt>
                <c:pt idx="26">
                  <c:v>1.5202926676758113</c:v>
                </c:pt>
                <c:pt idx="27">
                  <c:v>1.5015120956723222</c:v>
                </c:pt>
                <c:pt idx="28">
                  <c:v>1.4812064493147459</c:v>
                </c:pt>
                <c:pt idx="29">
                  <c:v>1.459079010469138</c:v>
                </c:pt>
                <c:pt idx="30">
                  <c:v>1.4347337242431184</c:v>
                </c:pt>
                <c:pt idx="31">
                  <c:v>1.4076242591780035</c:v>
                </c:pt>
                <c:pt idx="32">
                  <c:v>1.3769650457208855</c:v>
                </c:pt>
                <c:pt idx="33">
                  <c:v>1.3415637328046821</c:v>
                </c:pt>
                <c:pt idx="34">
                  <c:v>1.2994722859644785</c:v>
                </c:pt>
                <c:pt idx="35">
                  <c:v>1.2471498267736381</c:v>
                </c:pt>
                <c:pt idx="36">
                  <c:v>1.1769628004531427</c:v>
                </c:pt>
                <c:pt idx="37">
                  <c:v>1.0660030603287296</c:v>
                </c:pt>
              </c:numCache>
            </c:numRef>
          </c:xVal>
          <c:yVal>
            <c:numRef>
              <c:f>Springs!$I$6:$I$43</c:f>
              <c:numCache>
                <c:formatCode>General</c:formatCode>
                <c:ptCount val="38"/>
                <c:pt idx="3">
                  <c:v>33.159999999999997</c:v>
                </c:pt>
                <c:pt idx="4">
                  <c:v>32.549999999999997</c:v>
                </c:pt>
                <c:pt idx="5">
                  <c:v>32.06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5"/>
          <c:order val="5"/>
          <c:marker>
            <c:symbol val="none"/>
          </c:marker>
          <c:xVal>
            <c:numRef>
              <c:f>Springs!$L$6:$L$43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1.5546535831275996</c:v>
                </c:pt>
                <c:pt idx="3">
                  <c:v>1.5510701325703284</c:v>
                </c:pt>
                <c:pt idx="4">
                  <c:v>1.5469614896788064</c:v>
                </c:pt>
                <c:pt idx="5">
                  <c:v>1.5436130253658968</c:v>
                </c:pt>
                <c:pt idx="6">
                  <c:v>1.5431999999999999</c:v>
                </c:pt>
                <c:pt idx="7">
                  <c:v>1.5362166213073492</c:v>
                </c:pt>
                <c:pt idx="8">
                  <c:v>1.5290374103913611</c:v>
                </c:pt>
                <c:pt idx="9">
                  <c:v>1.5216500648958058</c:v>
                </c:pt>
                <c:pt idx="10">
                  <c:v>1.5140410517006873</c:v>
                </c:pt>
                <c:pt idx="11">
                  <c:v>1.5061954346446758</c:v>
                </c:pt>
                <c:pt idx="12">
                  <c:v>1.4980966707330603</c:v>
                </c:pt>
                <c:pt idx="13">
                  <c:v>1.4897263676063157</c:v>
                </c:pt>
                <c:pt idx="14">
                  <c:v>1.4810639930259257</c:v>
                </c:pt>
                <c:pt idx="15">
                  <c:v>1.4720865244419346</c:v>
                </c:pt>
                <c:pt idx="16">
                  <c:v>1.4627680230760598</c:v>
                </c:pt>
                <c:pt idx="17">
                  <c:v>1.4530791119990878</c:v>
                </c:pt>
                <c:pt idx="18">
                  <c:v>1.4429863308303812</c:v>
                </c:pt>
                <c:pt idx="19">
                  <c:v>1.4324513300809738</c:v>
                </c:pt>
                <c:pt idx="20">
                  <c:v>1.4214298544828277</c:v>
                </c:pt>
                <c:pt idx="21">
                  <c:v>1.4098704448374997</c:v>
                </c:pt>
                <c:pt idx="22">
                  <c:v>1.3977127586920608</c:v>
                </c:pt>
                <c:pt idx="23">
                  <c:v>1.3848853661362583</c:v>
                </c:pt>
                <c:pt idx="24">
                  <c:v>1.3713028091923254</c:v>
                </c:pt>
                <c:pt idx="25">
                  <c:v>1.3568616060379068</c:v>
                </c:pt>
                <c:pt idx="26">
                  <c:v>1.3414347067727745</c:v>
                </c:pt>
                <c:pt idx="27">
                  <c:v>1.3248636138285197</c:v>
                </c:pt>
                <c:pt idx="28">
                  <c:v>1.3069468670424229</c:v>
                </c:pt>
                <c:pt idx="29">
                  <c:v>1.2874226562962983</c:v>
                </c:pt>
                <c:pt idx="30">
                  <c:v>1.2659415213909868</c:v>
                </c:pt>
                <c:pt idx="31">
                  <c:v>1.2420214051570619</c:v>
                </c:pt>
                <c:pt idx="32">
                  <c:v>1.2149691579890165</c:v>
                </c:pt>
                <c:pt idx="33">
                  <c:v>1.1837327054158959</c:v>
                </c:pt>
                <c:pt idx="34">
                  <c:v>1.1465931934980693</c:v>
                </c:pt>
                <c:pt idx="35">
                  <c:v>1.1004263177414453</c:v>
                </c:pt>
                <c:pt idx="36">
                  <c:v>1.0384965886351261</c:v>
                </c:pt>
                <c:pt idx="37">
                  <c:v>0.94059093558417317</c:v>
                </c:pt>
              </c:numCache>
            </c:numRef>
          </c:xVal>
          <c:yVal>
            <c:numRef>
              <c:f>Springs!$K$6:$K$43</c:f>
              <c:numCache>
                <c:formatCode>General</c:formatCode>
                <c:ptCount val="38"/>
                <c:pt idx="2">
                  <c:v>33.700000000000003</c:v>
                </c:pt>
                <c:pt idx="3">
                  <c:v>33.159999999999997</c:v>
                </c:pt>
                <c:pt idx="4">
                  <c:v>32.549999999999997</c:v>
                </c:pt>
                <c:pt idx="5">
                  <c:v>32.06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Springs!$N$6:$N$43</c:f>
              <c:numCache>
                <c:formatCode>General</c:formatCode>
                <c:ptCount val="38"/>
                <c:pt idx="0">
                  <c:v>0</c:v>
                </c:pt>
                <c:pt idx="1">
                  <c:v>0.67484803789383996</c:v>
                </c:pt>
                <c:pt idx="2">
                  <c:v>0.67368321935529318</c:v>
                </c:pt>
                <c:pt idx="3">
                  <c:v>0.67213039078047565</c:v>
                </c:pt>
                <c:pt idx="4">
                  <c:v>0.67034997886081615</c:v>
                </c:pt>
                <c:pt idx="5">
                  <c:v>0.66889897765855533</c:v>
                </c:pt>
                <c:pt idx="6">
                  <c:v>0.66871999999999998</c:v>
                </c:pt>
                <c:pt idx="7">
                  <c:v>0.66569386923318463</c:v>
                </c:pt>
                <c:pt idx="8">
                  <c:v>0.66258287783625647</c:v>
                </c:pt>
                <c:pt idx="9">
                  <c:v>0.65938169478818254</c:v>
                </c:pt>
                <c:pt idx="10">
                  <c:v>0.6560844557369645</c:v>
                </c:pt>
                <c:pt idx="11">
                  <c:v>0.65268468834602622</c:v>
                </c:pt>
                <c:pt idx="12">
                  <c:v>0.64917522398432614</c:v>
                </c:pt>
                <c:pt idx="13">
                  <c:v>0.64554809262940349</c:v>
                </c:pt>
                <c:pt idx="14">
                  <c:v>0.64179439697790119</c:v>
                </c:pt>
                <c:pt idx="15">
                  <c:v>0.63790416059150501</c:v>
                </c:pt>
                <c:pt idx="16">
                  <c:v>0.63386614333295932</c:v>
                </c:pt>
                <c:pt idx="17">
                  <c:v>0.62966761519960468</c:v>
                </c:pt>
                <c:pt idx="18">
                  <c:v>0.62529407669316517</c:v>
                </c:pt>
                <c:pt idx="19">
                  <c:v>0.62072890970175532</c:v>
                </c:pt>
                <c:pt idx="20">
                  <c:v>0.6159529369425587</c:v>
                </c:pt>
                <c:pt idx="21">
                  <c:v>0.61094385942958318</c:v>
                </c:pt>
                <c:pt idx="22">
                  <c:v>0.60567552876655972</c:v>
                </c:pt>
                <c:pt idx="23">
                  <c:v>0.60011699199237867</c:v>
                </c:pt>
                <c:pt idx="24">
                  <c:v>0.59423121731667439</c:v>
                </c:pt>
                <c:pt idx="25">
                  <c:v>0.5879733626164263</c:v>
                </c:pt>
                <c:pt idx="26">
                  <c:v>0.58128837293486901</c:v>
                </c:pt>
                <c:pt idx="27">
                  <c:v>0.57410756599235857</c:v>
                </c:pt>
                <c:pt idx="28">
                  <c:v>0.56634364238504986</c:v>
                </c:pt>
                <c:pt idx="29">
                  <c:v>0.55788315106172925</c:v>
                </c:pt>
                <c:pt idx="30">
                  <c:v>0.54857465926942761</c:v>
                </c:pt>
                <c:pt idx="31">
                  <c:v>0.5382092755680602</c:v>
                </c:pt>
                <c:pt idx="32">
                  <c:v>0.52648663512857385</c:v>
                </c:pt>
                <c:pt idx="33">
                  <c:v>0.51295083901355498</c:v>
                </c:pt>
                <c:pt idx="34">
                  <c:v>0.49685705051583007</c:v>
                </c:pt>
                <c:pt idx="35">
                  <c:v>0.47685140435462631</c:v>
                </c:pt>
                <c:pt idx="36">
                  <c:v>0.45001518840855459</c:v>
                </c:pt>
                <c:pt idx="37">
                  <c:v>0.40758940541980837</c:v>
                </c:pt>
              </c:numCache>
            </c:numRef>
          </c:xVal>
          <c:yVal>
            <c:numRef>
              <c:f>Springs!$M$6:$M$43</c:f>
              <c:numCache>
                <c:formatCode>General</c:formatCode>
                <c:ptCount val="38"/>
                <c:pt idx="1">
                  <c:v>34.11</c:v>
                </c:pt>
                <c:pt idx="2">
                  <c:v>33.700000000000003</c:v>
                </c:pt>
                <c:pt idx="3">
                  <c:v>33.159999999999997</c:v>
                </c:pt>
                <c:pt idx="4">
                  <c:v>32.549999999999997</c:v>
                </c:pt>
                <c:pt idx="5">
                  <c:v>32.06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Springs!$H$6:$H$43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1.7016576386466868</c:v>
                </c:pt>
                <c:pt idx="5">
                  <c:v>1.6979743279024864</c:v>
                </c:pt>
                <c:pt idx="6">
                  <c:v>1.6975199999999997</c:v>
                </c:pt>
                <c:pt idx="7">
                  <c:v>1.6898382834380838</c:v>
                </c:pt>
                <c:pt idx="8">
                  <c:v>1.6819411514304969</c:v>
                </c:pt>
                <c:pt idx="9">
                  <c:v>1.6738150713853863</c:v>
                </c:pt>
                <c:pt idx="10">
                  <c:v>1.6654451568707558</c:v>
                </c:pt>
                <c:pt idx="11">
                  <c:v>1.6568149781091432</c:v>
                </c:pt>
                <c:pt idx="12">
                  <c:v>1.6479063378063661</c:v>
                </c:pt>
                <c:pt idx="13">
                  <c:v>1.6386990043669472</c:v>
                </c:pt>
                <c:pt idx="14">
                  <c:v>1.6291703923285181</c:v>
                </c:pt>
                <c:pt idx="15">
                  <c:v>1.6192951768861279</c:v>
                </c:pt>
                <c:pt idx="16">
                  <c:v>1.6090448253836656</c:v>
                </c:pt>
                <c:pt idx="17">
                  <c:v>1.5983870231989963</c:v>
                </c:pt>
                <c:pt idx="18">
                  <c:v>1.5872849639134192</c:v>
                </c:pt>
                <c:pt idx="19">
                  <c:v>1.5756964630890711</c:v>
                </c:pt>
                <c:pt idx="20">
                  <c:v>1.5635728399311104</c:v>
                </c:pt>
                <c:pt idx="21">
                  <c:v>1.5508574893212494</c:v>
                </c:pt>
                <c:pt idx="22">
                  <c:v>1.5374840345612666</c:v>
                </c:pt>
                <c:pt idx="23">
                  <c:v>1.523373902749884</c:v>
                </c:pt>
                <c:pt idx="24">
                  <c:v>1.5084330901115577</c:v>
                </c:pt>
                <c:pt idx="25">
                  <c:v>1.4925477666416973</c:v>
                </c:pt>
                <c:pt idx="26">
                  <c:v>1.4755781774500518</c:v>
                </c:pt>
                <c:pt idx="27">
                  <c:v>1.4573499752113714</c:v>
                </c:pt>
                <c:pt idx="28">
                  <c:v>1.4376415537466649</c:v>
                </c:pt>
                <c:pt idx="29">
                  <c:v>1.416164921925928</c:v>
                </c:pt>
                <c:pt idx="30">
                  <c:v>1.3925356735300853</c:v>
                </c:pt>
                <c:pt idx="31">
                  <c:v>1.366223545672768</c:v>
                </c:pt>
                <c:pt idx="32">
                  <c:v>1.3364660737879182</c:v>
                </c:pt>
                <c:pt idx="33">
                  <c:v>1.3021059759574853</c:v>
                </c:pt>
                <c:pt idx="34">
                  <c:v>1.2612525128478762</c:v>
                </c:pt>
                <c:pt idx="35">
                  <c:v>1.2104689495155898</c:v>
                </c:pt>
                <c:pt idx="36">
                  <c:v>1.1423462474986383</c:v>
                </c:pt>
                <c:pt idx="37">
                  <c:v>1.0346500291425904</c:v>
                </c:pt>
              </c:numCache>
            </c:numRef>
          </c:xVal>
          <c:yVal>
            <c:numRef>
              <c:f>Springs!$G$6:$G$43</c:f>
              <c:numCache>
                <c:formatCode>General</c:formatCode>
                <c:ptCount val="38"/>
                <c:pt idx="4">
                  <c:v>32.549999999999997</c:v>
                </c:pt>
                <c:pt idx="5">
                  <c:v>32.06</c:v>
                </c:pt>
                <c:pt idx="6">
                  <c:v>32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19</c:v>
                </c:pt>
                <c:pt idx="20">
                  <c:v>18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11</c:v>
                </c:pt>
                <c:pt idx="28">
                  <c:v>10</c:v>
                </c:pt>
                <c:pt idx="29">
                  <c:v>9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</c:numCache>
            </c:numRef>
          </c:yVal>
          <c:smooth val="1"/>
        </c:ser>
        <c:ser>
          <c:idx val="0"/>
          <c:order val="0"/>
          <c:marker>
            <c:symbol val="none"/>
          </c:marker>
          <c:xVal>
            <c:numRef>
              <c:f>Springs!$D$12:$D$43</c:f>
              <c:numCache>
                <c:formatCode>General</c:formatCode>
                <c:ptCount val="32"/>
                <c:pt idx="0">
                  <c:v>0.15431999999999998</c:v>
                </c:pt>
                <c:pt idx="1">
                  <c:v>0.15362166213073492</c:v>
                </c:pt>
                <c:pt idx="2">
                  <c:v>0.15290374103913612</c:v>
                </c:pt>
                <c:pt idx="3">
                  <c:v>0.15216500648958059</c:v>
                </c:pt>
                <c:pt idx="4">
                  <c:v>0.15140410517006872</c:v>
                </c:pt>
                <c:pt idx="5">
                  <c:v>0.15061954346446757</c:v>
                </c:pt>
                <c:pt idx="6">
                  <c:v>0.14980966707330604</c:v>
                </c:pt>
                <c:pt idx="7">
                  <c:v>0.14897263676063155</c:v>
                </c:pt>
                <c:pt idx="8">
                  <c:v>0.14810639930259259</c:v>
                </c:pt>
                <c:pt idx="9">
                  <c:v>0.14720865244419346</c:v>
                </c:pt>
                <c:pt idx="10">
                  <c:v>0.14627680230760598</c:v>
                </c:pt>
                <c:pt idx="11">
                  <c:v>0.14530791119990877</c:v>
                </c:pt>
                <c:pt idx="12">
                  <c:v>0.14429863308303811</c:v>
                </c:pt>
                <c:pt idx="13">
                  <c:v>0.14324513300809738</c:v>
                </c:pt>
                <c:pt idx="14">
                  <c:v>0.14214298544828277</c:v>
                </c:pt>
                <c:pt idx="15">
                  <c:v>0.14098704448374996</c:v>
                </c:pt>
                <c:pt idx="16">
                  <c:v>0.13977127586920607</c:v>
                </c:pt>
                <c:pt idx="17">
                  <c:v>0.13848853661362584</c:v>
                </c:pt>
                <c:pt idx="18">
                  <c:v>0.13713028091923254</c:v>
                </c:pt>
                <c:pt idx="19">
                  <c:v>0.13568616060379068</c:v>
                </c:pt>
                <c:pt idx="20">
                  <c:v>0.13414347067727744</c:v>
                </c:pt>
                <c:pt idx="21">
                  <c:v>0.13248636138285197</c:v>
                </c:pt>
                <c:pt idx="22">
                  <c:v>0.13069468670424228</c:v>
                </c:pt>
                <c:pt idx="23">
                  <c:v>0.12874226562962982</c:v>
                </c:pt>
                <c:pt idx="24">
                  <c:v>0.12659415213909866</c:v>
                </c:pt>
                <c:pt idx="25">
                  <c:v>0.12420214051570619</c:v>
                </c:pt>
                <c:pt idx="26">
                  <c:v>0.12149691579890165</c:v>
                </c:pt>
                <c:pt idx="27">
                  <c:v>0.1183732705415896</c:v>
                </c:pt>
                <c:pt idx="28">
                  <c:v>0.11465931934980693</c:v>
                </c:pt>
                <c:pt idx="29">
                  <c:v>0.11004263177414453</c:v>
                </c:pt>
                <c:pt idx="30">
                  <c:v>0.10384965886351259</c:v>
                </c:pt>
                <c:pt idx="31">
                  <c:v>9.4059093558417309E-2</c:v>
                </c:pt>
              </c:numCache>
            </c:numRef>
          </c:xVal>
          <c:yVal>
            <c:numRef>
              <c:f>Springs!$C$12:$C$43</c:f>
              <c:numCache>
                <c:formatCode>General</c:formatCode>
                <c:ptCount val="32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</c:numCache>
            </c:numRef>
          </c:yVal>
          <c:smooth val="1"/>
        </c:ser>
        <c:dLbls/>
        <c:axId val="74800512"/>
        <c:axId val="74810496"/>
      </c:scatterChart>
      <c:valAx>
        <c:axId val="74800512"/>
        <c:scaling>
          <c:orientation val="minMax"/>
        </c:scaling>
        <c:axPos val="b"/>
        <c:numFmt formatCode="General" sourceLinked="1"/>
        <c:tickLblPos val="nextTo"/>
        <c:crossAx val="74810496"/>
        <c:crosses val="autoZero"/>
        <c:crossBetween val="midCat"/>
      </c:valAx>
      <c:valAx>
        <c:axId val="74810496"/>
        <c:scaling>
          <c:orientation val="minMax"/>
        </c:scaling>
        <c:axPos val="l"/>
        <c:majorGridlines/>
        <c:numFmt formatCode="General" sourceLinked="1"/>
        <c:tickLblPos val="nextTo"/>
        <c:crossAx val="7480051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GB"/>
              <a:t>Wave Particle Velocity</a:t>
            </a:r>
          </a:p>
        </c:rich>
      </c:tx>
    </c:title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'Wave particle velocity'!$B$26:$AG$26</c:f>
              <c:numCache>
                <c:formatCode>General</c:formatCode>
                <c:ptCount val="32"/>
                <c:pt idx="0">
                  <c:v>-1.6319622863622438</c:v>
                </c:pt>
                <c:pt idx="1">
                  <c:v>-1.1919896456488834</c:v>
                </c:pt>
                <c:pt idx="2">
                  <c:v>-0.87063244488406588</c:v>
                </c:pt>
                <c:pt idx="3">
                  <c:v>-0.63591228065758332</c:v>
                </c:pt>
                <c:pt idx="4">
                  <c:v>-0.46447204106318046</c:v>
                </c:pt>
                <c:pt idx="5">
                  <c:v>-0.33925162870940406</c:v>
                </c:pt>
                <c:pt idx="6">
                  <c:v>-0.24779030255198467</c:v>
                </c:pt>
                <c:pt idx="7">
                  <c:v>-0.1809867037997277</c:v>
                </c:pt>
                <c:pt idx="8">
                  <c:v>-0.13219317549934526</c:v>
                </c:pt>
                <c:pt idx="9">
                  <c:v>-9.6554251122987655E-2</c:v>
                </c:pt>
                <c:pt idx="10">
                  <c:v>-7.0523484852416898E-2</c:v>
                </c:pt>
                <c:pt idx="11">
                  <c:v>-5.1510543118333696E-2</c:v>
                </c:pt>
                <c:pt idx="12">
                  <c:v>-3.7623439311008228E-2</c:v>
                </c:pt>
                <c:pt idx="13">
                  <c:v>-2.7480261319265811E-2</c:v>
                </c:pt>
                <c:pt idx="14">
                  <c:v>-2.0071656818311752E-2</c:v>
                </c:pt>
                <c:pt idx="15">
                  <c:v>-1.4660392153899799E-2</c:v>
                </c:pt>
                <c:pt idx="16">
                  <c:v>-1.0707989881036863E-2</c:v>
                </c:pt>
                <c:pt idx="17">
                  <c:v>-7.8211446248309929E-3</c:v>
                </c:pt>
                <c:pt idx="18">
                  <c:v>-5.7125850810572061E-3</c:v>
                </c:pt>
                <c:pt idx="19">
                  <c:v>-4.1724875160485293E-3</c:v>
                </c:pt>
                <c:pt idx="20">
                  <c:v>-3.0475961100887247E-3</c:v>
                </c:pt>
                <c:pt idx="21">
                  <c:v>-2.2259724000381889E-3</c:v>
                </c:pt>
                <c:pt idx="22">
                  <c:v>-1.6258562311879054E-3</c:v>
                </c:pt>
                <c:pt idx="23">
                  <c:v>-1.1875297665178549E-3</c:v>
                </c:pt>
                <c:pt idx="24">
                  <c:v>-8.6737493716501114E-4</c:v>
                </c:pt>
                <c:pt idx="25">
                  <c:v>-6.3353298825347408E-4</c:v>
                </c:pt>
                <c:pt idx="26">
                  <c:v>-4.6273419948842742E-4</c:v>
                </c:pt>
                <c:pt idx="27">
                  <c:v>-3.3798230454658822E-4</c:v>
                </c:pt>
                <c:pt idx="28">
                  <c:v>-2.4686318476765094E-4</c:v>
                </c:pt>
                <c:pt idx="29">
                  <c:v>-1.8030953447513125E-4</c:v>
                </c:pt>
                <c:pt idx="30">
                  <c:v>-1.3169856920236441E-4</c:v>
                </c:pt>
                <c:pt idx="31">
                  <c:v>-9.6192989352663247E-5</c:v>
                </c:pt>
              </c:numCache>
            </c:numRef>
          </c:xVal>
          <c:yVal>
            <c:numRef>
              <c:f>'Wave particle velocity'!$B$25:$AG$25</c:f>
              <c:numCache>
                <c:formatCode>General</c:formatCode>
                <c:ptCount val="32"/>
                <c:pt idx="0">
                  <c:v>0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  <c:pt idx="11">
                  <c:v>-11</c:v>
                </c:pt>
                <c:pt idx="12">
                  <c:v>-12</c:v>
                </c:pt>
                <c:pt idx="13">
                  <c:v>-13</c:v>
                </c:pt>
                <c:pt idx="14">
                  <c:v>-14</c:v>
                </c:pt>
                <c:pt idx="15">
                  <c:v>-15</c:v>
                </c:pt>
                <c:pt idx="16">
                  <c:v>-16</c:v>
                </c:pt>
                <c:pt idx="17">
                  <c:v>-17</c:v>
                </c:pt>
                <c:pt idx="18">
                  <c:v>-18</c:v>
                </c:pt>
                <c:pt idx="19">
                  <c:v>-19</c:v>
                </c:pt>
                <c:pt idx="20">
                  <c:v>-20</c:v>
                </c:pt>
                <c:pt idx="21">
                  <c:v>-21</c:v>
                </c:pt>
                <c:pt idx="22">
                  <c:v>-22</c:v>
                </c:pt>
                <c:pt idx="23">
                  <c:v>-23</c:v>
                </c:pt>
                <c:pt idx="24">
                  <c:v>-24</c:v>
                </c:pt>
                <c:pt idx="25">
                  <c:v>-25</c:v>
                </c:pt>
                <c:pt idx="26">
                  <c:v>-26</c:v>
                </c:pt>
                <c:pt idx="27">
                  <c:v>-27</c:v>
                </c:pt>
                <c:pt idx="28">
                  <c:v>-28</c:v>
                </c:pt>
                <c:pt idx="29">
                  <c:v>-29</c:v>
                </c:pt>
                <c:pt idx="30">
                  <c:v>-30</c:v>
                </c:pt>
                <c:pt idx="31">
                  <c:v>-31</c:v>
                </c:pt>
              </c:numCache>
            </c:numRef>
          </c:yVal>
          <c:smooth val="1"/>
        </c:ser>
        <c:dLbls/>
        <c:axId val="74843264"/>
        <c:axId val="74845184"/>
      </c:scatterChart>
      <c:valAx>
        <c:axId val="74843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Velocity (m/s)</a:t>
                </a:r>
              </a:p>
            </c:rich>
          </c:tx>
        </c:title>
        <c:numFmt formatCode="General" sourceLinked="1"/>
        <c:majorTickMark val="none"/>
        <c:tickLblPos val="nextTo"/>
        <c:crossAx val="74845184"/>
        <c:crosses val="autoZero"/>
        <c:crossBetween val="midCat"/>
      </c:valAx>
      <c:valAx>
        <c:axId val="748451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Depth (m)</a:t>
                </a:r>
              </a:p>
            </c:rich>
          </c:tx>
        </c:title>
        <c:numFmt formatCode="General" sourceLinked="1"/>
        <c:majorTickMark val="none"/>
        <c:tickLblPos val="nextTo"/>
        <c:crossAx val="74843264"/>
        <c:crosses val="autoZero"/>
        <c:crossBetween val="midCat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GB"/>
              <a:t>Wave Drift Velocity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v>Wavelength 30m, height 3m, Period 7s</c:v>
          </c:tx>
          <c:marker>
            <c:symbol val="none"/>
          </c:marker>
          <c:xVal>
            <c:numRef>
              <c:f>'Wave Drift (net flow)'!$B$7:$AG$7</c:f>
              <c:numCache>
                <c:formatCode>General</c:formatCode>
                <c:ptCount val="32"/>
                <c:pt idx="0">
                  <c:v>0.4768073478687242</c:v>
                </c:pt>
                <c:pt idx="1">
                  <c:v>0.25437104183269732</c:v>
                </c:pt>
                <c:pt idx="2">
                  <c:v>0.13570392153618085</c:v>
                </c:pt>
                <c:pt idx="3">
                  <c:v>7.239642605391397E-2</c:v>
                </c:pt>
                <c:pt idx="4">
                  <c:v>3.8622631137320784E-2</c:v>
                </c:pt>
                <c:pt idx="5">
                  <c:v>2.0604713758365072E-2</c:v>
                </c:pt>
                <c:pt idx="6">
                  <c:v>1.0992369410428774E-2</c:v>
                </c:pt>
                <c:pt idx="7">
                  <c:v>5.8642981733378827E-3</c:v>
                </c:pt>
                <c:pt idx="8">
                  <c:v>3.1285332380830708E-3</c:v>
                </c:pt>
                <c:pt idx="9">
                  <c:v>1.6690352251000056E-3</c:v>
                </c:pt>
                <c:pt idx="10">
                  <c:v>8.9041041620241184E-4</c:v>
                </c:pt>
                <c:pt idx="11">
                  <c:v>4.7502335322745947E-4</c:v>
                </c:pt>
                <c:pt idx="12">
                  <c:v>2.5341930193701224E-4</c:v>
                </c:pt>
                <c:pt idx="13">
                  <c:v>1.3519617963601656E-4</c:v>
                </c:pt>
                <c:pt idx="14">
                  <c:v>7.2125551796828368E-5</c:v>
                </c:pt>
                <c:pt idx="15">
                  <c:v>3.8478122946982463E-5</c:v>
                </c:pt>
                <c:pt idx="16">
                  <c:v>2.0527620359754447E-5</c:v>
                </c:pt>
                <c:pt idx="17">
                  <c:v>1.0951241000368268E-5</c:v>
                </c:pt>
                <c:pt idx="18">
                  <c:v>5.8423566563650912E-6</c:v>
                </c:pt>
                <c:pt idx="19">
                  <c:v>3.1168277000776133E-6</c:v>
                </c:pt>
                <c:pt idx="20">
                  <c:v>1.6627904599742797E-6</c:v>
                </c:pt>
                <c:pt idx="21">
                  <c:v>8.87078908376176E-7</c:v>
                </c:pt>
                <c:pt idx="22">
                  <c:v>4.7324603347678583E-7</c:v>
                </c:pt>
                <c:pt idx="23">
                  <c:v>2.5247112301596682E-7</c:v>
                </c:pt>
                <c:pt idx="24">
                  <c:v>1.3469033747341524E-7</c:v>
                </c:pt>
                <c:pt idx="25">
                  <c:v>7.1855691027108782E-8</c:v>
                </c:pt>
                <c:pt idx="26">
                  <c:v>3.8334155440084383E-8</c:v>
                </c:pt>
                <c:pt idx="27">
                  <c:v>2.0450815409320251E-8</c:v>
                </c:pt>
                <c:pt idx="28">
                  <c:v>1.0910266473974781E-8</c:v>
                </c:pt>
                <c:pt idx="29">
                  <c:v>5.8204972344960676E-9</c:v>
                </c:pt>
                <c:pt idx="30">
                  <c:v>3.1051659588323528E-9</c:v>
                </c:pt>
                <c:pt idx="31">
                  <c:v>1.6565690598985473E-9</c:v>
                </c:pt>
              </c:numCache>
            </c:numRef>
          </c:xVal>
          <c:yVal>
            <c:numRef>
              <c:f>'Wave Drift (net flow)'!$B$6:$AG$6</c:f>
              <c:numCache>
                <c:formatCode>General</c:formatCode>
                <c:ptCount val="32"/>
                <c:pt idx="0">
                  <c:v>0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  <c:pt idx="6">
                  <c:v>-6</c:v>
                </c:pt>
                <c:pt idx="7">
                  <c:v>-7</c:v>
                </c:pt>
                <c:pt idx="8">
                  <c:v>-8</c:v>
                </c:pt>
                <c:pt idx="9">
                  <c:v>-9</c:v>
                </c:pt>
                <c:pt idx="10">
                  <c:v>-10</c:v>
                </c:pt>
                <c:pt idx="11">
                  <c:v>-11</c:v>
                </c:pt>
                <c:pt idx="12">
                  <c:v>-12</c:v>
                </c:pt>
                <c:pt idx="13">
                  <c:v>-13</c:v>
                </c:pt>
                <c:pt idx="14">
                  <c:v>-14</c:v>
                </c:pt>
                <c:pt idx="15">
                  <c:v>-15</c:v>
                </c:pt>
                <c:pt idx="16">
                  <c:v>-16</c:v>
                </c:pt>
                <c:pt idx="17">
                  <c:v>-17</c:v>
                </c:pt>
                <c:pt idx="18">
                  <c:v>-18</c:v>
                </c:pt>
                <c:pt idx="19">
                  <c:v>-19</c:v>
                </c:pt>
                <c:pt idx="20">
                  <c:v>-20</c:v>
                </c:pt>
                <c:pt idx="21">
                  <c:v>-21</c:v>
                </c:pt>
                <c:pt idx="22">
                  <c:v>-22</c:v>
                </c:pt>
                <c:pt idx="23">
                  <c:v>-23</c:v>
                </c:pt>
                <c:pt idx="24">
                  <c:v>-24</c:v>
                </c:pt>
                <c:pt idx="25">
                  <c:v>-25</c:v>
                </c:pt>
                <c:pt idx="26">
                  <c:v>-26</c:v>
                </c:pt>
                <c:pt idx="27">
                  <c:v>-27</c:v>
                </c:pt>
                <c:pt idx="28">
                  <c:v>-28</c:v>
                </c:pt>
                <c:pt idx="29">
                  <c:v>-29</c:v>
                </c:pt>
                <c:pt idx="30">
                  <c:v>-30</c:v>
                </c:pt>
                <c:pt idx="31">
                  <c:v>-31</c:v>
                </c:pt>
              </c:numCache>
            </c:numRef>
          </c:yVal>
          <c:smooth val="1"/>
        </c:ser>
        <c:dLbls/>
        <c:axId val="74894336"/>
        <c:axId val="82707584"/>
      </c:scatterChart>
      <c:valAx>
        <c:axId val="74894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Wave</a:t>
                </a:r>
                <a:r>
                  <a:rPr lang="en-GB" baseline="0"/>
                  <a:t> Drift (m/s)</a:t>
                </a:r>
              </a:p>
            </c:rich>
          </c:tx>
        </c:title>
        <c:numFmt formatCode="General" sourceLinked="1"/>
        <c:majorTickMark val="none"/>
        <c:tickLblPos val="nextTo"/>
        <c:crossAx val="82707584"/>
        <c:crosses val="autoZero"/>
        <c:crossBetween val="midCat"/>
      </c:valAx>
      <c:valAx>
        <c:axId val="827075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Depth</a:t>
                </a:r>
                <a:r>
                  <a:rPr lang="en-GB" baseline="0"/>
                  <a:t> (m)</a:t>
                </a:r>
              </a:p>
            </c:rich>
          </c:tx>
        </c:title>
        <c:numFmt formatCode="General" sourceLinked="1"/>
        <c:majorTickMark val="none"/>
        <c:tickLblPos val="nextTo"/>
        <c:crossAx val="74894336"/>
        <c:crosses val="autoZero"/>
        <c:crossBetween val="midCat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Hw -6 Velocity</a:t>
            </a:r>
            <a:r>
              <a:rPr lang="en-GB" baseline="0"/>
              <a:t> over a wave distance</a:t>
            </a:r>
            <a:endParaRPr lang="en-GB"/>
          </a:p>
        </c:rich>
      </c:tx>
      <c:layout>
        <c:manualLayout>
          <c:xMode val="edge"/>
          <c:yMode val="edge"/>
          <c:x val="0.30885088830103935"/>
          <c:y val="1.6931216931216932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3.4859521257067545E-2"/>
          <c:y val="7.9349248010665327E-2"/>
          <c:w val="0.9364542420661528"/>
          <c:h val="0.82399283422905478"/>
        </c:manualLayout>
      </c:layout>
      <c:scatterChart>
        <c:scatterStyle val="smoothMarker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'X distance Change'!$B$11:$B$42</c:f>
              <c:numCache>
                <c:formatCode>General</c:formatCode>
                <c:ptCount val="32"/>
                <c:pt idx="0">
                  <c:v>0.97466199627380012</c:v>
                </c:pt>
                <c:pt idx="1">
                  <c:v>0.74463913966506312</c:v>
                </c:pt>
                <c:pt idx="2">
                  <c:v>0.58016457951786771</c:v>
                </c:pt>
                <c:pt idx="3">
                  <c:v>0.4612572445454125</c:v>
                </c:pt>
                <c:pt idx="4">
                  <c:v>0.37430947614248777</c:v>
                </c:pt>
                <c:pt idx="5">
                  <c:v>0.30999359510994628</c:v>
                </c:pt>
                <c:pt idx="6">
                  <c:v>0.26186829888284979</c:v>
                </c:pt>
                <c:pt idx="7">
                  <c:v>0.22544852585171113</c:v>
                </c:pt>
                <c:pt idx="8">
                  <c:v>0.19758271879670508</c:v>
                </c:pt>
                <c:pt idx="9">
                  <c:v>0.17603434819654079</c:v>
                </c:pt>
                <c:pt idx="10">
                  <c:v>0.15919946239266505</c:v>
                </c:pt>
                <c:pt idx="11">
                  <c:v>0.14591506570409862</c:v>
                </c:pt>
                <c:pt idx="12">
                  <c:v>0.13532833646050441</c:v>
                </c:pt>
                <c:pt idx="13">
                  <c:v>0.12680675042039558</c:v>
                </c:pt>
                <c:pt idx="14">
                  <c:v>0.11987582681289788</c:v>
                </c:pt>
                <c:pt idx="15">
                  <c:v>0.11417562076793679</c:v>
                </c:pt>
                <c:pt idx="16">
                  <c:v>0.10943000916878685</c:v>
                </c:pt>
                <c:pt idx="17">
                  <c:v>0.10542475911781848</c:v>
                </c:pt>
                <c:pt idx="18">
                  <c:v>0.10199166010969621</c:v>
                </c:pt>
                <c:pt idx="19">
                  <c:v>9.8996860392643354E-2</c:v>
                </c:pt>
                <c:pt idx="20">
                  <c:v>9.6332117522013538E-2</c:v>
                </c:pt>
                <c:pt idx="21">
                  <c:v>9.3908044869481358E-2</c:v>
                </c:pt>
                <c:pt idx="22">
                  <c:v>9.164866640353582E-2</c:v>
                </c:pt>
                <c:pt idx="23">
                  <c:v>8.9486709692551805E-2</c:v>
                </c:pt>
                <c:pt idx="24">
                  <c:v>8.7359070171394645E-2</c:v>
                </c:pt>
                <c:pt idx="25">
                  <c:v>8.5201718494332099E-2</c:v>
                </c:pt>
                <c:pt idx="26">
                  <c:v>8.2942837383204501E-2</c:v>
                </c:pt>
                <c:pt idx="27">
                  <c:v>8.0491690065344609E-2</c:v>
                </c:pt>
                <c:pt idx="28">
                  <c:v>7.7717091967814858E-2</c:v>
                </c:pt>
                <c:pt idx="29">
                  <c:v>7.4397371069463272E-2</c:v>
                </c:pt>
                <c:pt idx="30">
                  <c:v>7.0072687333833206E-2</c:v>
                </c:pt>
                <c:pt idx="31">
                  <c:v>6.3386769333195911E-2</c:v>
                </c:pt>
              </c:numCache>
            </c:numRef>
          </c:xVal>
          <c:yVal>
            <c:numRef>
              <c:f>'X distance Change'!$A$11:$A$43</c:f>
              <c:numCache>
                <c:formatCode>General</c:formatCode>
                <c:ptCount val="33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'X distance Change'!$C$11:$C$42</c:f>
              <c:numCache>
                <c:formatCode>General</c:formatCode>
                <c:ptCount val="32"/>
                <c:pt idx="0">
                  <c:v>0.75026252101738633</c:v>
                </c:pt>
                <c:pt idx="1">
                  <c:v>0.56264248153655139</c:v>
                </c:pt>
                <c:pt idx="2">
                  <c:v>0.43255824696250822</c:v>
                </c:pt>
                <c:pt idx="3">
                  <c:v>0.34154279684902306</c:v>
                </c:pt>
                <c:pt idx="4">
                  <c:v>0.2772164264125479</c:v>
                </c:pt>
                <c:pt idx="5">
                  <c:v>0.23124737452202893</c:v>
                </c:pt>
                <c:pt idx="6">
                  <c:v>0.19800206670527726</c:v>
                </c:pt>
                <c:pt idx="7">
                  <c:v>0.17365054009307196</c:v>
                </c:pt>
                <c:pt idx="8">
                  <c:v>0.15557254789461814</c:v>
                </c:pt>
                <c:pt idx="9">
                  <c:v>0.14196247390694641</c:v>
                </c:pt>
                <c:pt idx="10">
                  <c:v>0.13156585384792449</c:v>
                </c:pt>
                <c:pt idx="11">
                  <c:v>0.12350313982313323</c:v>
                </c:pt>
                <c:pt idx="12">
                  <c:v>0.11715139728585268</c:v>
                </c:pt>
                <c:pt idx="13">
                  <c:v>0.11206454934790314</c:v>
                </c:pt>
                <c:pt idx="14">
                  <c:v>0.10791933125698637</c:v>
                </c:pt>
                <c:pt idx="15">
                  <c:v>0.10447844018577274</c:v>
                </c:pt>
                <c:pt idx="16">
                  <c:v>0.10156522046014164</c:v>
                </c:pt>
                <c:pt idx="17">
                  <c:v>9.9046111127555986E-2</c:v>
                </c:pt>
                <c:pt idx="18">
                  <c:v>9.6818329751951787E-2</c:v>
                </c:pt>
                <c:pt idx="19">
                  <c:v>9.4801089277633366E-2</c:v>
                </c:pt>
                <c:pt idx="20">
                  <c:v>9.2929184781946297E-2</c:v>
                </c:pt>
                <c:pt idx="21">
                  <c:v>9.1148134732344635E-2</c:v>
                </c:pt>
                <c:pt idx="22">
                  <c:v>8.9410272480733938E-2</c:v>
                </c:pt>
                <c:pt idx="23">
                  <c:v>8.7671285600941923E-2</c:v>
                </c:pt>
                <c:pt idx="24">
                  <c:v>8.5886690980750593E-2</c:v>
                </c:pt>
                <c:pt idx="25">
                  <c:v>8.4007561993346608E-2</c:v>
                </c:pt>
                <c:pt idx="26">
                  <c:v>8.1974330250050742E-2</c:v>
                </c:pt>
                <c:pt idx="27">
                  <c:v>7.9706193301565642E-2</c:v>
                </c:pt>
                <c:pt idx="28">
                  <c:v>7.7080023695640071E-2</c:v>
                </c:pt>
                <c:pt idx="29">
                  <c:v>7.3880684047788955E-2</c:v>
                </c:pt>
                <c:pt idx="30">
                  <c:v>6.9653634164766526E-2</c:v>
                </c:pt>
                <c:pt idx="31">
                  <c:v>6.3046900996778676E-2</c:v>
                </c:pt>
              </c:numCache>
            </c:numRef>
          </c:xVal>
          <c:yVal>
            <c:numRef>
              <c:f>'X distance Change'!$A$11:$A$42</c:f>
              <c:numCache>
                <c:formatCode>General</c:formatCode>
                <c:ptCount val="32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'X distance Change'!$D$11:$D$42</c:f>
              <c:numCache>
                <c:formatCode>General</c:formatCode>
                <c:ptCount val="32"/>
                <c:pt idx="0">
                  <c:v>0.30146357050455885</c:v>
                </c:pt>
                <c:pt idx="1">
                  <c:v>0.19864916527952797</c:v>
                </c:pt>
                <c:pt idx="2">
                  <c:v>0.13734558185178913</c:v>
                </c:pt>
                <c:pt idx="3">
                  <c:v>0.10211390145624415</c:v>
                </c:pt>
                <c:pt idx="4">
                  <c:v>8.3030326952668168E-2</c:v>
                </c:pt>
                <c:pt idx="5">
                  <c:v>7.3754933346194304E-2</c:v>
                </c:pt>
                <c:pt idx="6">
                  <c:v>7.0269602350132188E-2</c:v>
                </c:pt>
                <c:pt idx="7">
                  <c:v>7.0054568575793591E-2</c:v>
                </c:pt>
                <c:pt idx="8">
                  <c:v>7.1552206090444243E-2</c:v>
                </c:pt>
                <c:pt idx="9">
                  <c:v>7.3818725327757698E-2</c:v>
                </c:pt>
                <c:pt idx="10">
                  <c:v>7.6298636758443353E-2</c:v>
                </c:pt>
                <c:pt idx="11">
                  <c:v>7.8679288061202446E-2</c:v>
                </c:pt>
                <c:pt idx="12">
                  <c:v>8.0797518936549212E-2</c:v>
                </c:pt>
                <c:pt idx="13">
                  <c:v>8.2580147202918244E-2</c:v>
                </c:pt>
                <c:pt idx="14">
                  <c:v>8.4006340145163338E-2</c:v>
                </c:pt>
                <c:pt idx="15">
                  <c:v>8.5084079021444631E-2</c:v>
                </c:pt>
                <c:pt idx="16">
                  <c:v>8.5835643042851226E-2</c:v>
                </c:pt>
                <c:pt idx="17">
                  <c:v>8.6288815147030989E-2</c:v>
                </c:pt>
                <c:pt idx="18">
                  <c:v>8.6471669036462973E-2</c:v>
                </c:pt>
                <c:pt idx="19">
                  <c:v>8.6409547047613361E-2</c:v>
                </c:pt>
                <c:pt idx="20">
                  <c:v>8.6123319301811815E-2</c:v>
                </c:pt>
                <c:pt idx="21">
                  <c:v>8.5628314458071189E-2</c:v>
                </c:pt>
                <c:pt idx="22">
                  <c:v>8.4933484635130202E-2</c:v>
                </c:pt>
                <c:pt idx="23">
                  <c:v>8.4040437417722144E-2</c:v>
                </c:pt>
                <c:pt idx="24">
                  <c:v>8.294193259946249E-2</c:v>
                </c:pt>
                <c:pt idx="25">
                  <c:v>8.1619248991375612E-2</c:v>
                </c:pt>
                <c:pt idx="26">
                  <c:v>8.0037315983743224E-2</c:v>
                </c:pt>
                <c:pt idx="27">
                  <c:v>7.8135199774007735E-2</c:v>
                </c:pt>
                <c:pt idx="28">
                  <c:v>7.5805887151290496E-2</c:v>
                </c:pt>
                <c:pt idx="29">
                  <c:v>7.2847310004440322E-2</c:v>
                </c:pt>
                <c:pt idx="30">
                  <c:v>6.8815527826633166E-2</c:v>
                </c:pt>
                <c:pt idx="31">
                  <c:v>6.2367164323944208E-2</c:v>
                </c:pt>
              </c:numCache>
            </c:numRef>
          </c:xVal>
          <c:yVal>
            <c:numRef>
              <c:f>'X distance Change'!$A$11:$A$42</c:f>
              <c:numCache>
                <c:formatCode>General</c:formatCode>
                <c:ptCount val="32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</c:numCache>
            </c:numRef>
          </c:yVal>
          <c:smooth val="1"/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'X distance Change'!$E$11:$E$42</c:f>
              <c:numCache>
                <c:formatCode>General</c:formatCode>
                <c:ptCount val="32"/>
                <c:pt idx="0">
                  <c:v>7.7064095248144948E-2</c:v>
                </c:pt>
                <c:pt idx="1">
                  <c:v>1.6652507151016127E-2</c:v>
                </c:pt>
                <c:pt idx="2">
                  <c:v>-1.0260750703570465E-2</c:v>
                </c:pt>
                <c:pt idx="3">
                  <c:v>-1.7600546240145371E-2</c:v>
                </c:pt>
                <c:pt idx="4">
                  <c:v>-1.4062722777271747E-2</c:v>
                </c:pt>
                <c:pt idx="5">
                  <c:v>-4.9912872417230691E-3</c:v>
                </c:pt>
                <c:pt idx="6">
                  <c:v>6.4033701725596248E-3</c:v>
                </c:pt>
                <c:pt idx="7">
                  <c:v>1.8256582817154393E-2</c:v>
                </c:pt>
                <c:pt idx="8">
                  <c:v>2.9542035188357268E-2</c:v>
                </c:pt>
                <c:pt idx="9">
                  <c:v>3.9746851038163319E-2</c:v>
                </c:pt>
                <c:pt idx="10">
                  <c:v>4.866502821370277E-2</c:v>
                </c:pt>
                <c:pt idx="11">
                  <c:v>5.6267362180237049E-2</c:v>
                </c:pt>
                <c:pt idx="12">
                  <c:v>6.2620579761897457E-2</c:v>
                </c:pt>
                <c:pt idx="13">
                  <c:v>6.7837946130425791E-2</c:v>
                </c:pt>
                <c:pt idx="14">
                  <c:v>7.2049844589251816E-2</c:v>
                </c:pt>
                <c:pt idx="15">
                  <c:v>7.5386898439280578E-2</c:v>
                </c:pt>
                <c:pt idx="16">
                  <c:v>7.7970854334206016E-2</c:v>
                </c:pt>
                <c:pt idx="17">
                  <c:v>7.9910167156768491E-2</c:v>
                </c:pt>
                <c:pt idx="18">
                  <c:v>8.1298338678718551E-2</c:v>
                </c:pt>
                <c:pt idx="19">
                  <c:v>8.2213775932603372E-2</c:v>
                </c:pt>
                <c:pt idx="20">
                  <c:v>8.2720386561744574E-2</c:v>
                </c:pt>
                <c:pt idx="21">
                  <c:v>8.2868404320934466E-2</c:v>
                </c:pt>
                <c:pt idx="22">
                  <c:v>8.269509071232832E-2</c:v>
                </c:pt>
                <c:pt idx="23">
                  <c:v>8.2225013326112248E-2</c:v>
                </c:pt>
                <c:pt idx="24">
                  <c:v>8.1469553408818438E-2</c:v>
                </c:pt>
                <c:pt idx="25">
                  <c:v>8.0425092490390107E-2</c:v>
                </c:pt>
                <c:pt idx="26">
                  <c:v>7.9068808850589464E-2</c:v>
                </c:pt>
                <c:pt idx="27">
                  <c:v>7.7349703010228768E-2</c:v>
                </c:pt>
                <c:pt idx="28">
                  <c:v>7.5168818879115709E-2</c:v>
                </c:pt>
                <c:pt idx="29">
                  <c:v>7.2330622982766005E-2</c:v>
                </c:pt>
                <c:pt idx="30">
                  <c:v>6.8396474657566486E-2</c:v>
                </c:pt>
                <c:pt idx="31">
                  <c:v>6.2027295987526973E-2</c:v>
                </c:pt>
              </c:numCache>
            </c:numRef>
          </c:xVal>
          <c:yVal>
            <c:numRef>
              <c:f>'X distance Change'!$A$11:$A$42</c:f>
              <c:numCache>
                <c:formatCode>General</c:formatCode>
                <c:ptCount val="32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</c:numCache>
            </c:numRef>
          </c:yVal>
          <c:smooth val="1"/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'X distance Change'!$F$11:$F$42</c:f>
              <c:numCache>
                <c:formatCode>General</c:formatCode>
                <c:ptCount val="32"/>
                <c:pt idx="0">
                  <c:v>0.30146357050455852</c:v>
                </c:pt>
                <c:pt idx="1">
                  <c:v>0.19864916527952772</c:v>
                </c:pt>
                <c:pt idx="2">
                  <c:v>0.13734558185178894</c:v>
                </c:pt>
                <c:pt idx="3">
                  <c:v>0.10211390145624398</c:v>
                </c:pt>
                <c:pt idx="4">
                  <c:v>8.3030326952668043E-2</c:v>
                </c:pt>
                <c:pt idx="5">
                  <c:v>7.3754933346194193E-2</c:v>
                </c:pt>
                <c:pt idx="6">
                  <c:v>7.0269602350132104E-2</c:v>
                </c:pt>
                <c:pt idx="7">
                  <c:v>7.0054568575793535E-2</c:v>
                </c:pt>
                <c:pt idx="8">
                  <c:v>7.1552206090444187E-2</c:v>
                </c:pt>
                <c:pt idx="9">
                  <c:v>7.3818725327757656E-2</c:v>
                </c:pt>
                <c:pt idx="10">
                  <c:v>7.6298636758443311E-2</c:v>
                </c:pt>
                <c:pt idx="11">
                  <c:v>7.8679288061202418E-2</c:v>
                </c:pt>
                <c:pt idx="12">
                  <c:v>8.0797518936549184E-2</c:v>
                </c:pt>
                <c:pt idx="13">
                  <c:v>8.2580147202918217E-2</c:v>
                </c:pt>
                <c:pt idx="14">
                  <c:v>8.4006340145163325E-2</c:v>
                </c:pt>
                <c:pt idx="15">
                  <c:v>8.5084079021444631E-2</c:v>
                </c:pt>
                <c:pt idx="16">
                  <c:v>8.5835643042851212E-2</c:v>
                </c:pt>
                <c:pt idx="17">
                  <c:v>8.6288815147030989E-2</c:v>
                </c:pt>
                <c:pt idx="18">
                  <c:v>8.6471669036462959E-2</c:v>
                </c:pt>
                <c:pt idx="19">
                  <c:v>8.6409547047613361E-2</c:v>
                </c:pt>
                <c:pt idx="20">
                  <c:v>8.6123319301811815E-2</c:v>
                </c:pt>
                <c:pt idx="21">
                  <c:v>8.5628314458071189E-2</c:v>
                </c:pt>
                <c:pt idx="22">
                  <c:v>8.4933484635130188E-2</c:v>
                </c:pt>
                <c:pt idx="23">
                  <c:v>8.404043741772213E-2</c:v>
                </c:pt>
                <c:pt idx="24">
                  <c:v>8.294193259946249E-2</c:v>
                </c:pt>
                <c:pt idx="25">
                  <c:v>8.1619248991375598E-2</c:v>
                </c:pt>
                <c:pt idx="26">
                  <c:v>8.0037315983743224E-2</c:v>
                </c:pt>
                <c:pt idx="27">
                  <c:v>7.8135199774007721E-2</c:v>
                </c:pt>
                <c:pt idx="28">
                  <c:v>7.5805887151290496E-2</c:v>
                </c:pt>
                <c:pt idx="29">
                  <c:v>7.2847310004440322E-2</c:v>
                </c:pt>
                <c:pt idx="30">
                  <c:v>6.8815527826633166E-2</c:v>
                </c:pt>
                <c:pt idx="31">
                  <c:v>6.2367164323944208E-2</c:v>
                </c:pt>
              </c:numCache>
            </c:numRef>
          </c:xVal>
          <c:yVal>
            <c:numRef>
              <c:f>'X distance Change'!$A$11:$A$42</c:f>
              <c:numCache>
                <c:formatCode>General</c:formatCode>
                <c:ptCount val="32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</c:numCache>
            </c:numRef>
          </c:yVal>
          <c:smooth val="1"/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'X distance Change'!$G$11:$G$42</c:f>
              <c:numCache>
                <c:formatCode>General</c:formatCode>
                <c:ptCount val="32"/>
                <c:pt idx="0">
                  <c:v>0.750262521017386</c:v>
                </c:pt>
                <c:pt idx="1">
                  <c:v>0.56264248153655116</c:v>
                </c:pt>
                <c:pt idx="2">
                  <c:v>0.432558246962508</c:v>
                </c:pt>
                <c:pt idx="3">
                  <c:v>0.34154279684902289</c:v>
                </c:pt>
                <c:pt idx="4">
                  <c:v>0.27721642641254773</c:v>
                </c:pt>
                <c:pt idx="5">
                  <c:v>0.23124737452202881</c:v>
                </c:pt>
                <c:pt idx="6">
                  <c:v>0.19800206670527715</c:v>
                </c:pt>
                <c:pt idx="7">
                  <c:v>0.17365054009307188</c:v>
                </c:pt>
                <c:pt idx="8">
                  <c:v>0.15557254789461808</c:v>
                </c:pt>
                <c:pt idx="9">
                  <c:v>0.14196247390694636</c:v>
                </c:pt>
                <c:pt idx="10">
                  <c:v>0.13156585384792446</c:v>
                </c:pt>
                <c:pt idx="11">
                  <c:v>0.12350313982313318</c:v>
                </c:pt>
                <c:pt idx="12">
                  <c:v>0.11715139728585265</c:v>
                </c:pt>
                <c:pt idx="13">
                  <c:v>0.11206454934790311</c:v>
                </c:pt>
                <c:pt idx="14">
                  <c:v>0.10791933125698636</c:v>
                </c:pt>
                <c:pt idx="15">
                  <c:v>0.10447844018577272</c:v>
                </c:pt>
                <c:pt idx="16">
                  <c:v>0.10156522046014163</c:v>
                </c:pt>
                <c:pt idx="17">
                  <c:v>9.9046111127555972E-2</c:v>
                </c:pt>
                <c:pt idx="18">
                  <c:v>9.6818329751951787E-2</c:v>
                </c:pt>
                <c:pt idx="19">
                  <c:v>9.4801089277633352E-2</c:v>
                </c:pt>
                <c:pt idx="20">
                  <c:v>9.2929184781946297E-2</c:v>
                </c:pt>
                <c:pt idx="21">
                  <c:v>9.1148134732344635E-2</c:v>
                </c:pt>
                <c:pt idx="22">
                  <c:v>8.9410272480733938E-2</c:v>
                </c:pt>
                <c:pt idx="23">
                  <c:v>8.7671285600941909E-2</c:v>
                </c:pt>
                <c:pt idx="24">
                  <c:v>8.5886690980750593E-2</c:v>
                </c:pt>
                <c:pt idx="25">
                  <c:v>8.4007561993346594E-2</c:v>
                </c:pt>
                <c:pt idx="26">
                  <c:v>8.1974330250050742E-2</c:v>
                </c:pt>
                <c:pt idx="27">
                  <c:v>7.9706193301565642E-2</c:v>
                </c:pt>
                <c:pt idx="28">
                  <c:v>7.7080023695640071E-2</c:v>
                </c:pt>
                <c:pt idx="29">
                  <c:v>7.3880684047788955E-2</c:v>
                </c:pt>
                <c:pt idx="30">
                  <c:v>6.9653634164766526E-2</c:v>
                </c:pt>
                <c:pt idx="31">
                  <c:v>6.3046900996778676E-2</c:v>
                </c:pt>
              </c:numCache>
            </c:numRef>
          </c:xVal>
          <c:yVal>
            <c:numRef>
              <c:f>'X distance Change'!$A$11:$A$42</c:f>
              <c:numCache>
                <c:formatCode>General</c:formatCode>
                <c:ptCount val="32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</c:numCache>
            </c:numRef>
          </c:yVal>
          <c:smooth val="1"/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'X distance Change'!$H$11:$H$42</c:f>
              <c:numCache>
                <c:formatCode>General</c:formatCode>
                <c:ptCount val="32"/>
                <c:pt idx="0">
                  <c:v>0.97466199627380012</c:v>
                </c:pt>
                <c:pt idx="1">
                  <c:v>0.74463913966506312</c:v>
                </c:pt>
                <c:pt idx="2">
                  <c:v>0.58016457951786771</c:v>
                </c:pt>
                <c:pt idx="3">
                  <c:v>0.4612572445454125</c:v>
                </c:pt>
                <c:pt idx="4">
                  <c:v>0.37430947614248777</c:v>
                </c:pt>
                <c:pt idx="5">
                  <c:v>0.30999359510994628</c:v>
                </c:pt>
                <c:pt idx="6">
                  <c:v>0.26186829888284979</c:v>
                </c:pt>
                <c:pt idx="7">
                  <c:v>0.22544852585171113</c:v>
                </c:pt>
                <c:pt idx="8">
                  <c:v>0.19758271879670508</c:v>
                </c:pt>
                <c:pt idx="9">
                  <c:v>0.17603434819654079</c:v>
                </c:pt>
                <c:pt idx="10">
                  <c:v>0.15919946239266505</c:v>
                </c:pt>
                <c:pt idx="11">
                  <c:v>0.14591506570409862</c:v>
                </c:pt>
                <c:pt idx="12">
                  <c:v>0.13532833646050441</c:v>
                </c:pt>
                <c:pt idx="13">
                  <c:v>0.12680675042039558</c:v>
                </c:pt>
                <c:pt idx="14">
                  <c:v>0.11987582681289788</c:v>
                </c:pt>
                <c:pt idx="15">
                  <c:v>0.11417562076793679</c:v>
                </c:pt>
                <c:pt idx="16">
                  <c:v>0.10943000916878685</c:v>
                </c:pt>
                <c:pt idx="17">
                  <c:v>0.10542475911781848</c:v>
                </c:pt>
                <c:pt idx="18">
                  <c:v>0.10199166010969621</c:v>
                </c:pt>
                <c:pt idx="19">
                  <c:v>9.8996860392643354E-2</c:v>
                </c:pt>
                <c:pt idx="20">
                  <c:v>9.6332117522013538E-2</c:v>
                </c:pt>
                <c:pt idx="21">
                  <c:v>9.3908044869481358E-2</c:v>
                </c:pt>
                <c:pt idx="22">
                  <c:v>9.164866640353582E-2</c:v>
                </c:pt>
                <c:pt idx="23">
                  <c:v>8.9486709692551805E-2</c:v>
                </c:pt>
                <c:pt idx="24">
                  <c:v>8.7359070171394645E-2</c:v>
                </c:pt>
                <c:pt idx="25">
                  <c:v>8.5201718494332099E-2</c:v>
                </c:pt>
                <c:pt idx="26">
                  <c:v>8.2942837383204501E-2</c:v>
                </c:pt>
                <c:pt idx="27">
                  <c:v>8.0491690065344609E-2</c:v>
                </c:pt>
                <c:pt idx="28">
                  <c:v>7.7717091967814858E-2</c:v>
                </c:pt>
                <c:pt idx="29">
                  <c:v>7.4397371069463272E-2</c:v>
                </c:pt>
                <c:pt idx="30">
                  <c:v>7.0072687333833206E-2</c:v>
                </c:pt>
                <c:pt idx="31">
                  <c:v>6.3386769333195911E-2</c:v>
                </c:pt>
              </c:numCache>
            </c:numRef>
          </c:xVal>
          <c:yVal>
            <c:numRef>
              <c:f>'X distance Change'!$A$11:$A$42</c:f>
              <c:numCache>
                <c:formatCode>General</c:formatCode>
                <c:ptCount val="32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13</c:v>
                </c:pt>
                <c:pt idx="20">
                  <c:v>12</c:v>
                </c:pt>
                <c:pt idx="21">
                  <c:v>11</c:v>
                </c:pt>
                <c:pt idx="22">
                  <c:v>10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</c:numCache>
            </c:numRef>
          </c:yVal>
          <c:smooth val="1"/>
        </c:ser>
        <c:dLbls/>
        <c:axId val="82855808"/>
        <c:axId val="82857344"/>
      </c:scatterChart>
      <c:valAx>
        <c:axId val="82855808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857344"/>
        <c:crosses val="autoZero"/>
        <c:crossBetween val="midCat"/>
      </c:valAx>
      <c:valAx>
        <c:axId val="828573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855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</xdr:colOff>
      <xdr:row>1</xdr:row>
      <xdr:rowOff>0</xdr:rowOff>
    </xdr:from>
    <xdr:to>
      <xdr:col>22</xdr:col>
      <xdr:colOff>104775</xdr:colOff>
      <xdr:row>23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44</xdr:row>
      <xdr:rowOff>6348</xdr:rowOff>
    </xdr:from>
    <xdr:to>
      <xdr:col>9</xdr:col>
      <xdr:colOff>558800</xdr:colOff>
      <xdr:row>79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44</xdr:row>
      <xdr:rowOff>6348</xdr:rowOff>
    </xdr:from>
    <xdr:to>
      <xdr:col>8</xdr:col>
      <xdr:colOff>571500</xdr:colOff>
      <xdr:row>76</xdr:row>
      <xdr:rowOff>190499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90487</xdr:rowOff>
    </xdr:from>
    <xdr:to>
      <xdr:col>11</xdr:col>
      <xdr:colOff>304800</xdr:colOff>
      <xdr:row>18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23811</xdr:rowOff>
    </xdr:from>
    <xdr:to>
      <xdr:col>12</xdr:col>
      <xdr:colOff>209550</xdr:colOff>
      <xdr:row>33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595311</xdr:colOff>
      <xdr:row>1</xdr:row>
      <xdr:rowOff>47625</xdr:rowOff>
    </xdr:from>
    <xdr:to>
      <xdr:col>20</xdr:col>
      <xdr:colOff>228600</xdr:colOff>
      <xdr:row>32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6238875</xdr:colOff>
      <xdr:row>29</xdr:row>
      <xdr:rowOff>142875</xdr:rowOff>
    </xdr:to>
    <xdr:pic>
      <xdr:nvPicPr>
        <xdr:cNvPr id="2" name="irc_mi" descr="http://upload.wikimedia.org/math/6/e/f/6efc2581f7cedef4a1459d6f0e5f5e3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486025"/>
          <a:ext cx="6238875" cy="3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1"/>
  <sheetViews>
    <sheetView tabSelected="1" workbookViewId="0"/>
  </sheetViews>
  <sheetFormatPr baseColWidth="10" defaultColWidth="9.140625" defaultRowHeight="15"/>
  <cols>
    <col min="2" max="2" width="24.42578125" customWidth="1"/>
  </cols>
  <sheetData>
    <row r="1" spans="2:9" ht="15.75" thickBot="1"/>
    <row r="2" spans="2:9" ht="24" thickBot="1">
      <c r="B2" s="122" t="s">
        <v>66</v>
      </c>
      <c r="C2" s="123"/>
      <c r="D2" s="124"/>
      <c r="E2" s="97"/>
      <c r="F2" s="97"/>
      <c r="G2" s="97"/>
      <c r="H2" s="97"/>
      <c r="I2" s="98"/>
    </row>
    <row r="3" spans="2:9" ht="15.75" thickBot="1">
      <c r="B3" s="101"/>
      <c r="C3" s="99"/>
      <c r="D3" s="99"/>
      <c r="E3" s="99"/>
      <c r="F3" s="99"/>
      <c r="G3" s="99"/>
      <c r="H3" s="99"/>
      <c r="I3" s="100"/>
    </row>
    <row r="4" spans="2:9" ht="15.75" thickBot="1">
      <c r="B4" s="128" t="s">
        <v>68</v>
      </c>
      <c r="C4" s="130"/>
      <c r="D4" s="129"/>
      <c r="E4" s="99"/>
      <c r="F4" s="99"/>
      <c r="G4" s="125" t="s">
        <v>69</v>
      </c>
      <c r="H4" s="126"/>
      <c r="I4" s="127"/>
    </row>
    <row r="5" spans="2:9" ht="15.75" thickBot="1">
      <c r="B5" s="69" t="s">
        <v>67</v>
      </c>
      <c r="C5" s="73">
        <v>32</v>
      </c>
      <c r="D5" s="90" t="s">
        <v>21</v>
      </c>
      <c r="E5" s="99"/>
      <c r="F5" s="99"/>
      <c r="G5" s="66" t="s">
        <v>70</v>
      </c>
      <c r="H5" s="68" t="s">
        <v>58</v>
      </c>
      <c r="I5" s="67" t="s">
        <v>65</v>
      </c>
    </row>
    <row r="6" spans="2:9" ht="16.5" thickTop="1" thickBot="1">
      <c r="B6" s="70" t="s">
        <v>81</v>
      </c>
      <c r="C6" s="71">
        <v>2</v>
      </c>
      <c r="D6" s="91"/>
      <c r="E6" s="99"/>
      <c r="F6" s="99"/>
      <c r="G6" s="64" t="s">
        <v>10</v>
      </c>
      <c r="H6" s="95">
        <v>0.10288</v>
      </c>
      <c r="I6" s="96">
        <v>0.15431999999999998</v>
      </c>
    </row>
    <row r="7" spans="2:9" ht="16.5" thickTop="1" thickBot="1">
      <c r="B7" s="101"/>
      <c r="C7" s="99"/>
      <c r="D7" s="99"/>
      <c r="E7" s="99"/>
      <c r="F7" s="99"/>
      <c r="G7" s="64" t="s">
        <v>9</v>
      </c>
      <c r="H7" s="95">
        <v>0.61727999999999994</v>
      </c>
      <c r="I7" s="96">
        <v>1.0287999999999999</v>
      </c>
    </row>
    <row r="8" spans="2:9" ht="16.5" thickTop="1" thickBot="1">
      <c r="B8" s="128" t="s">
        <v>71</v>
      </c>
      <c r="C8" s="126"/>
      <c r="D8" s="129"/>
      <c r="E8" s="99"/>
      <c r="F8" s="99"/>
      <c r="G8" s="64" t="s">
        <v>8</v>
      </c>
      <c r="H8" s="95">
        <v>1.0287999999999999</v>
      </c>
      <c r="I8" s="96">
        <v>1.6975199999999997</v>
      </c>
    </row>
    <row r="9" spans="2:9" ht="16.5" thickTop="1" thickBot="1">
      <c r="B9" s="113" t="s">
        <v>72</v>
      </c>
      <c r="C9" s="116">
        <v>1</v>
      </c>
      <c r="D9" s="114" t="s">
        <v>21</v>
      </c>
      <c r="E9" s="99"/>
      <c r="F9" s="99"/>
      <c r="G9" s="64" t="s">
        <v>7</v>
      </c>
      <c r="H9" s="95">
        <v>1.0802400000000001</v>
      </c>
      <c r="I9" s="96">
        <v>1.7489599999999998</v>
      </c>
    </row>
    <row r="10" spans="2:9" ht="16.5" thickTop="1" thickBot="1">
      <c r="B10" s="69" t="s">
        <v>18</v>
      </c>
      <c r="C10" s="72">
        <f>20*C9</f>
        <v>20</v>
      </c>
      <c r="D10" s="90" t="s">
        <v>21</v>
      </c>
      <c r="E10" s="99"/>
      <c r="F10" s="99"/>
      <c r="G10" s="64" t="s">
        <v>6</v>
      </c>
      <c r="H10" s="95">
        <v>0.92591999999999997</v>
      </c>
      <c r="I10" s="96">
        <v>1.5431999999999999</v>
      </c>
    </row>
    <row r="11" spans="2:9" ht="16.5" thickTop="1" thickBot="1">
      <c r="B11" s="69" t="s">
        <v>19</v>
      </c>
      <c r="C11" s="92">
        <f>SQRT(C10/1.56)</f>
        <v>3.5805743701971644</v>
      </c>
      <c r="D11" s="90" t="s">
        <v>20</v>
      </c>
      <c r="E11" s="99"/>
      <c r="F11" s="99"/>
      <c r="G11" s="64" t="s">
        <v>5</v>
      </c>
      <c r="H11" s="95">
        <v>0.41152</v>
      </c>
      <c r="I11" s="96">
        <v>0.66871999999999998</v>
      </c>
    </row>
    <row r="12" spans="2:9" ht="16.5" thickTop="1" thickBot="1">
      <c r="B12" s="69" t="s">
        <v>73</v>
      </c>
      <c r="C12" s="117">
        <f>C10*(C13/100)</f>
        <v>10</v>
      </c>
      <c r="D12" s="90" t="s">
        <v>21</v>
      </c>
      <c r="E12" s="99"/>
      <c r="F12" s="99"/>
      <c r="G12" s="64" t="s">
        <v>12</v>
      </c>
      <c r="H12" s="95">
        <v>5.144E-2</v>
      </c>
      <c r="I12" s="96">
        <v>0.10288</v>
      </c>
    </row>
    <row r="13" spans="2:9" ht="16.5" thickTop="1" thickBot="1">
      <c r="B13" s="69" t="s">
        <v>87</v>
      </c>
      <c r="C13" s="118">
        <v>50</v>
      </c>
      <c r="D13" s="90" t="s">
        <v>75</v>
      </c>
      <c r="E13" s="99"/>
      <c r="F13" s="99"/>
      <c r="G13" s="64" t="s">
        <v>11</v>
      </c>
      <c r="H13" s="95">
        <v>0.41152</v>
      </c>
      <c r="I13" s="96">
        <v>0.72015999999999991</v>
      </c>
    </row>
    <row r="14" spans="2:9" ht="16.5" thickTop="1" thickBot="1">
      <c r="B14" s="70" t="s">
        <v>86</v>
      </c>
      <c r="C14" s="115">
        <v>9.81</v>
      </c>
      <c r="D14" s="91" t="s">
        <v>39</v>
      </c>
      <c r="E14" s="99"/>
      <c r="F14" s="99"/>
      <c r="G14" s="64" t="s">
        <v>13</v>
      </c>
      <c r="H14" s="95">
        <v>0.77159999999999995</v>
      </c>
      <c r="I14" s="96">
        <v>1.2345599999999999</v>
      </c>
    </row>
    <row r="15" spans="2:9" ht="16.5" thickTop="1" thickBot="1">
      <c r="B15" s="131" t="s">
        <v>82</v>
      </c>
      <c r="C15" s="132"/>
      <c r="D15" s="133"/>
      <c r="E15" s="99"/>
      <c r="F15" s="99"/>
      <c r="G15" s="64" t="s">
        <v>14</v>
      </c>
      <c r="H15" s="95">
        <v>1.0287999999999999</v>
      </c>
      <c r="I15" s="96">
        <v>1.6975199999999997</v>
      </c>
    </row>
    <row r="16" spans="2:9" ht="16.5" thickTop="1" thickBot="1">
      <c r="B16" s="70" t="s">
        <v>80</v>
      </c>
      <c r="C16" s="74">
        <v>15</v>
      </c>
      <c r="D16" s="91" t="s">
        <v>75</v>
      </c>
      <c r="E16" s="99"/>
      <c r="F16" s="99"/>
      <c r="G16" s="64" t="s">
        <v>15</v>
      </c>
      <c r="H16" s="95">
        <v>0.9773599999999999</v>
      </c>
      <c r="I16" s="96">
        <v>1.5946400000000001</v>
      </c>
    </row>
    <row r="17" spans="2:9" ht="16.5" thickTop="1" thickBot="1">
      <c r="B17" s="101"/>
      <c r="C17" s="99"/>
      <c r="D17" s="99"/>
      <c r="E17" s="99"/>
      <c r="F17" s="99"/>
      <c r="G17" s="65" t="s">
        <v>16</v>
      </c>
      <c r="H17" s="95">
        <v>0.66871999999999998</v>
      </c>
      <c r="I17" s="96">
        <v>1.13168</v>
      </c>
    </row>
    <row r="18" spans="2:9" ht="24" thickBot="1">
      <c r="B18" s="119" t="s">
        <v>83</v>
      </c>
      <c r="C18" s="120"/>
      <c r="D18" s="121"/>
      <c r="E18" s="99"/>
      <c r="F18" s="99"/>
      <c r="G18" s="99"/>
      <c r="H18" s="99"/>
      <c r="I18" s="100"/>
    </row>
    <row r="19" spans="2:9">
      <c r="B19" s="93" t="s">
        <v>76</v>
      </c>
      <c r="C19" s="110">
        <f>'Position and size'!O43</f>
        <v>22</v>
      </c>
      <c r="D19" s="88" t="s">
        <v>21</v>
      </c>
      <c r="E19" s="99"/>
      <c r="F19" s="99"/>
      <c r="G19" s="99"/>
      <c r="H19" s="99"/>
      <c r="I19" s="103"/>
    </row>
    <row r="20" spans="2:9" ht="15.75" thickBot="1">
      <c r="B20" s="94"/>
      <c r="C20" s="111"/>
      <c r="D20" s="89"/>
      <c r="E20" s="99"/>
      <c r="F20" s="99"/>
      <c r="G20" s="99"/>
      <c r="H20" s="99"/>
      <c r="I20" s="100"/>
    </row>
    <row r="21" spans="2:9">
      <c r="B21" s="86" t="s">
        <v>84</v>
      </c>
      <c r="C21" s="112"/>
      <c r="D21" s="88"/>
      <c r="E21" s="99"/>
      <c r="F21" s="99"/>
      <c r="G21" s="99"/>
      <c r="H21" s="99"/>
      <c r="I21" s="100"/>
    </row>
    <row r="22" spans="2:9" ht="15.75" thickBot="1">
      <c r="B22" s="87" t="s">
        <v>85</v>
      </c>
      <c r="C22" s="111">
        <f>'Position and size'!O42</f>
        <v>15</v>
      </c>
      <c r="D22" s="89" t="s">
        <v>21</v>
      </c>
      <c r="E22" s="102"/>
      <c r="F22" s="102"/>
      <c r="G22" s="102"/>
      <c r="H22" s="102"/>
      <c r="I22" s="104"/>
    </row>
    <row r="23" spans="2:9">
      <c r="I23" s="60"/>
    </row>
    <row r="25" spans="2:9">
      <c r="I25" s="60"/>
    </row>
    <row r="27" spans="2:9">
      <c r="I27" s="60"/>
    </row>
    <row r="29" spans="2:9">
      <c r="I29" s="60"/>
    </row>
    <row r="31" spans="2:9">
      <c r="I31" s="60"/>
    </row>
  </sheetData>
  <mergeCells count="6">
    <mergeCell ref="B18:D18"/>
    <mergeCell ref="B2:D2"/>
    <mergeCell ref="G4:I4"/>
    <mergeCell ref="B8:D8"/>
    <mergeCell ref="B4:D4"/>
    <mergeCell ref="B15:D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3"/>
  <sheetViews>
    <sheetView zoomScale="75" zoomScaleNormal="75" workbookViewId="0">
      <selection activeCell="D12" sqref="D12"/>
    </sheetView>
  </sheetViews>
  <sheetFormatPr baseColWidth="10" defaultColWidth="9.140625" defaultRowHeight="15"/>
  <cols>
    <col min="1" max="1" width="7" customWidth="1"/>
    <col min="2" max="2" width="3.28515625" customWidth="1"/>
    <col min="3" max="14" width="14" customWidth="1"/>
    <col min="15" max="26" width="14.140625" customWidth="1"/>
  </cols>
  <sheetData>
    <row r="1" spans="1:26" ht="15.75" thickBot="1">
      <c r="C1" t="s">
        <v>56</v>
      </c>
    </row>
    <row r="2" spans="1:26" ht="15.75" thickBot="1">
      <c r="A2" t="s">
        <v>3</v>
      </c>
      <c r="C2" s="134" t="s">
        <v>10</v>
      </c>
      <c r="D2" s="135"/>
      <c r="E2" s="134" t="s">
        <v>9</v>
      </c>
      <c r="F2" s="135"/>
      <c r="G2" s="134" t="s">
        <v>8</v>
      </c>
      <c r="H2" s="135"/>
      <c r="I2" s="134" t="s">
        <v>7</v>
      </c>
      <c r="J2" s="135"/>
      <c r="K2" s="134" t="s">
        <v>6</v>
      </c>
      <c r="L2" s="135"/>
      <c r="M2" s="134" t="s">
        <v>5</v>
      </c>
      <c r="N2" s="135"/>
      <c r="O2" s="134" t="s">
        <v>12</v>
      </c>
      <c r="P2" s="135"/>
      <c r="Q2" s="134" t="s">
        <v>11</v>
      </c>
      <c r="R2" s="135"/>
      <c r="S2" s="134" t="s">
        <v>13</v>
      </c>
      <c r="T2" s="135"/>
      <c r="U2" s="134" t="s">
        <v>14</v>
      </c>
      <c r="V2" s="135"/>
      <c r="W2" s="134" t="s">
        <v>15</v>
      </c>
      <c r="X2" s="135"/>
      <c r="Y2" s="134" t="s">
        <v>16</v>
      </c>
      <c r="Z2" s="135"/>
    </row>
    <row r="3" spans="1:26">
      <c r="A3">
        <f>Inputs!C5</f>
        <v>32</v>
      </c>
      <c r="B3">
        <f>A3/32</f>
        <v>1</v>
      </c>
      <c r="C3" s="138" t="s">
        <v>0</v>
      </c>
      <c r="D3" s="139"/>
      <c r="E3" s="138" t="s">
        <v>0</v>
      </c>
      <c r="F3" s="139"/>
      <c r="G3" s="138" t="s">
        <v>0</v>
      </c>
      <c r="H3" s="139"/>
      <c r="I3" s="138" t="s">
        <v>0</v>
      </c>
      <c r="J3" s="139"/>
      <c r="K3" s="138" t="s">
        <v>0</v>
      </c>
      <c r="L3" s="139"/>
      <c r="M3" s="138" t="s">
        <v>0</v>
      </c>
      <c r="N3" s="139"/>
      <c r="O3" s="138" t="s">
        <v>0</v>
      </c>
      <c r="P3" s="139"/>
      <c r="Q3" s="138" t="s">
        <v>0</v>
      </c>
      <c r="R3" s="139"/>
      <c r="S3" s="138" t="s">
        <v>0</v>
      </c>
      <c r="T3" s="139"/>
      <c r="U3" s="138" t="s">
        <v>0</v>
      </c>
      <c r="V3" s="139"/>
      <c r="W3" s="138" t="s">
        <v>0</v>
      </c>
      <c r="X3" s="139"/>
      <c r="Y3" s="138" t="s">
        <v>0</v>
      </c>
      <c r="Z3" s="139"/>
    </row>
    <row r="4" spans="1:26">
      <c r="C4" s="136">
        <f>Inputs!H6</f>
        <v>0.10288</v>
      </c>
      <c r="D4" s="137"/>
      <c r="E4" s="136">
        <f>Inputs!H7</f>
        <v>0.61727999999999994</v>
      </c>
      <c r="F4" s="137"/>
      <c r="G4" s="136">
        <f>Inputs!H8</f>
        <v>1.0287999999999999</v>
      </c>
      <c r="H4" s="137"/>
      <c r="I4" s="136">
        <f>Inputs!H9</f>
        <v>1.0802400000000001</v>
      </c>
      <c r="J4" s="137"/>
      <c r="K4" s="136">
        <f>Inputs!H10</f>
        <v>0.92591999999999997</v>
      </c>
      <c r="L4" s="137"/>
      <c r="M4" s="136">
        <f>Inputs!H11</f>
        <v>0.41152</v>
      </c>
      <c r="N4" s="137"/>
      <c r="O4" s="136">
        <f>Inputs!H12</f>
        <v>5.144E-2</v>
      </c>
      <c r="P4" s="137"/>
      <c r="Q4" s="136">
        <f>Inputs!H13</f>
        <v>0.41152</v>
      </c>
      <c r="R4" s="137"/>
      <c r="S4" s="136">
        <f>Inputs!H14</f>
        <v>0.77159999999999995</v>
      </c>
      <c r="T4" s="137"/>
      <c r="U4" s="136">
        <f>Inputs!H15</f>
        <v>1.0287999999999999</v>
      </c>
      <c r="V4" s="137"/>
      <c r="W4" s="136">
        <f>Inputs!H16</f>
        <v>0.9773599999999999</v>
      </c>
      <c r="X4" s="137"/>
      <c r="Y4" s="136">
        <f>Inputs!H17</f>
        <v>0.66871999999999998</v>
      </c>
      <c r="Z4" s="137"/>
    </row>
    <row r="5" spans="1:26">
      <c r="C5" s="48" t="s">
        <v>1</v>
      </c>
      <c r="D5" s="47" t="s">
        <v>2</v>
      </c>
      <c r="E5" s="48" t="s">
        <v>1</v>
      </c>
      <c r="F5" s="47" t="s">
        <v>2</v>
      </c>
      <c r="G5" s="48" t="s">
        <v>1</v>
      </c>
      <c r="H5" s="47" t="s">
        <v>2</v>
      </c>
      <c r="I5" s="48" t="s">
        <v>1</v>
      </c>
      <c r="J5" s="47" t="s">
        <v>2</v>
      </c>
      <c r="K5" s="48" t="s">
        <v>1</v>
      </c>
      <c r="L5" s="47" t="s">
        <v>2</v>
      </c>
      <c r="M5" s="48" t="s">
        <v>1</v>
      </c>
      <c r="N5" s="47" t="s">
        <v>2</v>
      </c>
      <c r="O5" s="48" t="s">
        <v>1</v>
      </c>
      <c r="P5" s="47" t="s">
        <v>2</v>
      </c>
      <c r="Q5" s="2" t="s">
        <v>1</v>
      </c>
      <c r="R5" s="1" t="s">
        <v>2</v>
      </c>
      <c r="S5" s="2" t="s">
        <v>1</v>
      </c>
      <c r="T5" s="1" t="s">
        <v>2</v>
      </c>
      <c r="U5" s="2" t="s">
        <v>1</v>
      </c>
      <c r="V5" s="1" t="s">
        <v>2</v>
      </c>
      <c r="W5" s="2" t="s">
        <v>1</v>
      </c>
      <c r="X5" s="1" t="s">
        <v>2</v>
      </c>
      <c r="Y5" s="2" t="s">
        <v>1</v>
      </c>
      <c r="Z5" s="1" t="s">
        <v>2</v>
      </c>
    </row>
    <row r="6" spans="1:26">
      <c r="C6" s="51"/>
      <c r="D6" s="53"/>
      <c r="E6" s="51"/>
      <c r="F6" s="49">
        <f t="shared" ref="F6:F10" si="0">$E$4*(E6/$A$3)^(1/7)</f>
        <v>0</v>
      </c>
      <c r="G6" s="52"/>
      <c r="H6" s="49">
        <f t="shared" ref="H6:H9" si="1">$G$4*(G6/$A$3)^(1/7)</f>
        <v>0</v>
      </c>
      <c r="I6" s="52"/>
      <c r="J6" s="49">
        <f t="shared" ref="J6:J11" si="2">$I$4*(I6/$A$3)^(1/7)</f>
        <v>0</v>
      </c>
      <c r="K6" s="52"/>
      <c r="L6" s="49">
        <f t="shared" ref="L6:L11" si="3">$K$4*(K6/$A$3)^(1/7)</f>
        <v>0</v>
      </c>
      <c r="M6" s="52"/>
      <c r="N6" s="49">
        <f t="shared" ref="N6:N11" si="4">$M$4*(M6/$A$3)^(1/7)</f>
        <v>0</v>
      </c>
      <c r="O6" s="51">
        <f>1.38+$A$3</f>
        <v>33.380000000000003</v>
      </c>
      <c r="P6" s="56">
        <f t="shared" ref="P6:P11" si="5">$O$4*(O6/$A$3)^(1/7)</f>
        <v>5.1751201722298523E-2</v>
      </c>
      <c r="Q6" s="5"/>
      <c r="R6" s="3">
        <f t="shared" ref="R6:R11" si="6">$Q$4*(Q6/$A$3)^(1/7)</f>
        <v>0</v>
      </c>
      <c r="S6" s="6"/>
      <c r="T6" s="3">
        <f t="shared" ref="T6:T11" si="7">$S$4*(S6/$A$3)^(1/7)</f>
        <v>0</v>
      </c>
      <c r="U6" s="6"/>
      <c r="V6" s="3">
        <f t="shared" ref="V6:V11" si="8">$U$4*(U6/$A$3)^(1/7)</f>
        <v>0</v>
      </c>
      <c r="W6" s="6"/>
      <c r="X6" s="3">
        <f t="shared" ref="X6:X11" si="9">$W$4*(W6/$A$3)^(1/7)</f>
        <v>0</v>
      </c>
      <c r="Y6" s="6"/>
      <c r="Z6" s="3">
        <f t="shared" ref="Z6:Z11" si="10">$Y$4*(Y6/$A$3)^(1/7)</f>
        <v>0</v>
      </c>
    </row>
    <row r="7" spans="1:26">
      <c r="C7" s="51"/>
      <c r="D7" s="53"/>
      <c r="E7" s="51"/>
      <c r="F7" s="49">
        <f t="shared" si="0"/>
        <v>0</v>
      </c>
      <c r="G7" s="52"/>
      <c r="H7" s="49">
        <f t="shared" si="1"/>
        <v>0</v>
      </c>
      <c r="I7" s="52"/>
      <c r="J7" s="49">
        <f t="shared" si="2"/>
        <v>0</v>
      </c>
      <c r="K7" s="52"/>
      <c r="L7" s="49">
        <f t="shared" si="3"/>
        <v>0</v>
      </c>
      <c r="M7" s="52">
        <f>1.3+$A$3</f>
        <v>33.299999999999997</v>
      </c>
      <c r="N7" s="56">
        <f t="shared" si="4"/>
        <v>0.41386772026169333</v>
      </c>
      <c r="O7" s="51">
        <f>Q7</f>
        <v>33.33</v>
      </c>
      <c r="P7" s="56">
        <f t="shared" si="5"/>
        <v>5.1740120567055861E-2</v>
      </c>
      <c r="Q7" s="5">
        <f>1.33+$A$3</f>
        <v>33.33</v>
      </c>
      <c r="R7" s="56">
        <f t="shared" si="6"/>
        <v>0.41392096453644689</v>
      </c>
      <c r="S7" s="6"/>
      <c r="T7" s="3">
        <f t="shared" si="7"/>
        <v>0</v>
      </c>
      <c r="U7" s="6"/>
      <c r="V7" s="3">
        <f t="shared" si="8"/>
        <v>0</v>
      </c>
      <c r="W7" s="6"/>
      <c r="X7" s="3">
        <f t="shared" si="9"/>
        <v>0</v>
      </c>
      <c r="Y7" s="6"/>
      <c r="Z7" s="3">
        <f t="shared" si="10"/>
        <v>0</v>
      </c>
    </row>
    <row r="8" spans="1:26">
      <c r="C8" s="51"/>
      <c r="D8" s="53"/>
      <c r="E8" s="51"/>
      <c r="F8" s="49">
        <f t="shared" si="0"/>
        <v>0</v>
      </c>
      <c r="G8" s="52"/>
      <c r="H8" s="49">
        <f t="shared" si="1"/>
        <v>0</v>
      </c>
      <c r="I8" s="52"/>
      <c r="J8" s="49">
        <f t="shared" si="2"/>
        <v>0</v>
      </c>
      <c r="K8" s="52">
        <f>1.11+$A$3</f>
        <v>33.11</v>
      </c>
      <c r="L8" s="56">
        <f t="shared" si="3"/>
        <v>0.93044148415216599</v>
      </c>
      <c r="M8" s="52">
        <f>K8</f>
        <v>33.11</v>
      </c>
      <c r="N8" s="56">
        <f t="shared" si="4"/>
        <v>0.41352954851207374</v>
      </c>
      <c r="O8" s="51">
        <f>Q8</f>
        <v>33.18</v>
      </c>
      <c r="P8" s="56">
        <f t="shared" si="5"/>
        <v>5.1706791395146154E-2</v>
      </c>
      <c r="Q8" s="5">
        <f>S8</f>
        <v>33.18</v>
      </c>
      <c r="R8" s="56">
        <f t="shared" si="6"/>
        <v>0.41365433116116923</v>
      </c>
      <c r="S8" s="6">
        <f>1.18+$A$3</f>
        <v>33.18</v>
      </c>
      <c r="T8" s="3">
        <f t="shared" si="7"/>
        <v>0.77560187092719224</v>
      </c>
      <c r="U8" s="6"/>
      <c r="V8" s="3">
        <f t="shared" si="8"/>
        <v>0</v>
      </c>
      <c r="W8" s="6"/>
      <c r="X8" s="3">
        <f t="shared" si="9"/>
        <v>0</v>
      </c>
      <c r="Y8" s="6"/>
      <c r="Z8" s="3">
        <f t="shared" si="10"/>
        <v>0</v>
      </c>
    </row>
    <row r="9" spans="1:26">
      <c r="C9" s="51"/>
      <c r="D9" s="53"/>
      <c r="E9" s="51"/>
      <c r="F9" s="49">
        <f t="shared" si="0"/>
        <v>0</v>
      </c>
      <c r="G9" s="52"/>
      <c r="H9" s="49">
        <f t="shared" si="1"/>
        <v>0</v>
      </c>
      <c r="I9" s="52">
        <f>0.88+A3</f>
        <v>32.880000000000003</v>
      </c>
      <c r="J9" s="56">
        <f t="shared" si="2"/>
        <v>1.0844346188740772</v>
      </c>
      <c r="K9" s="52">
        <f>I9</f>
        <v>32.880000000000003</v>
      </c>
      <c r="L9" s="56">
        <f t="shared" si="3"/>
        <v>0.92951538760635177</v>
      </c>
      <c r="M9" s="52">
        <f>K9</f>
        <v>32.880000000000003</v>
      </c>
      <c r="N9" s="56">
        <f t="shared" si="4"/>
        <v>0.41311795004726748</v>
      </c>
      <c r="O9" s="51">
        <f>Q9</f>
        <v>32.979999999999997</v>
      </c>
      <c r="P9" s="56">
        <f t="shared" si="5"/>
        <v>5.1662151020786883E-2</v>
      </c>
      <c r="Q9" s="5">
        <f>S9</f>
        <v>32.979999999999997</v>
      </c>
      <c r="R9" s="56">
        <f t="shared" si="6"/>
        <v>0.41329720816629506</v>
      </c>
      <c r="S9" s="6">
        <f>U9</f>
        <v>32.979999999999997</v>
      </c>
      <c r="T9" s="3">
        <f t="shared" si="7"/>
        <v>0.77493226531180315</v>
      </c>
      <c r="U9" s="6">
        <f>0.98+$A$3</f>
        <v>32.979999999999997</v>
      </c>
      <c r="V9" s="3">
        <f t="shared" si="8"/>
        <v>1.0332430204157375</v>
      </c>
      <c r="W9" s="6"/>
      <c r="X9" s="3">
        <f t="shared" si="9"/>
        <v>0</v>
      </c>
      <c r="Y9" s="6"/>
      <c r="Z9" s="3">
        <f t="shared" si="10"/>
        <v>0</v>
      </c>
    </row>
    <row r="10" spans="1:26">
      <c r="C10" s="51"/>
      <c r="D10" s="53"/>
      <c r="E10" s="51"/>
      <c r="F10" s="49">
        <f t="shared" si="0"/>
        <v>0</v>
      </c>
      <c r="G10" s="52">
        <f>0.63+$A$3</f>
        <v>32.630000000000003</v>
      </c>
      <c r="H10" s="56">
        <f>$G$4*(G10/$A$3)^(1/7)</f>
        <v>1.0316693795165646</v>
      </c>
      <c r="I10" s="52">
        <f>G10</f>
        <v>32.630000000000003</v>
      </c>
      <c r="J10" s="56">
        <f t="shared" si="2"/>
        <v>1.0832528484923929</v>
      </c>
      <c r="K10" s="52">
        <f>I10</f>
        <v>32.630000000000003</v>
      </c>
      <c r="L10" s="56">
        <f t="shared" si="3"/>
        <v>0.92850244156490802</v>
      </c>
      <c r="M10" s="52">
        <f>K10</f>
        <v>32.630000000000003</v>
      </c>
      <c r="N10" s="56">
        <f t="shared" si="4"/>
        <v>0.41266775180662585</v>
      </c>
      <c r="O10" s="51">
        <f>Q10</f>
        <v>32.72</v>
      </c>
      <c r="P10" s="56">
        <f t="shared" si="5"/>
        <v>5.1603770336172868E-2</v>
      </c>
      <c r="Q10" s="5">
        <f>S10</f>
        <v>32.72</v>
      </c>
      <c r="R10" s="56">
        <f t="shared" si="6"/>
        <v>0.41283016268938294</v>
      </c>
      <c r="S10" s="6">
        <f>U10</f>
        <v>32.72</v>
      </c>
      <c r="T10" s="3">
        <f t="shared" si="7"/>
        <v>0.77405655504259296</v>
      </c>
      <c r="U10" s="6">
        <f>W10</f>
        <v>32.72</v>
      </c>
      <c r="V10" s="3">
        <f t="shared" si="8"/>
        <v>1.0320754067234572</v>
      </c>
      <c r="W10" s="6">
        <f>0.72+$A$3</f>
        <v>32.72</v>
      </c>
      <c r="X10" s="3">
        <f t="shared" si="9"/>
        <v>0.98047163638728441</v>
      </c>
      <c r="Y10" s="6"/>
      <c r="Z10" s="3">
        <f t="shared" si="10"/>
        <v>0</v>
      </c>
    </row>
    <row r="11" spans="1:26">
      <c r="C11" s="50"/>
      <c r="D11" s="49"/>
      <c r="E11" s="50">
        <f>0.43+$A$3</f>
        <v>32.43</v>
      </c>
      <c r="F11" s="56">
        <f>$E$4*(E11/$A$3)^(1/7)</f>
        <v>0.61845818928586194</v>
      </c>
      <c r="G11" s="50">
        <f>E11</f>
        <v>32.43</v>
      </c>
      <c r="H11" s="56">
        <f>$G$4*(G11/$A$3)^(1/7)</f>
        <v>1.03076364880977</v>
      </c>
      <c r="I11" s="50">
        <f>G11</f>
        <v>32.43</v>
      </c>
      <c r="J11" s="56">
        <f t="shared" si="2"/>
        <v>1.0823018312502586</v>
      </c>
      <c r="K11" s="50">
        <f>I11</f>
        <v>32.43</v>
      </c>
      <c r="L11" s="56">
        <f t="shared" si="3"/>
        <v>0.92768728392879296</v>
      </c>
      <c r="M11" s="50">
        <f>K11</f>
        <v>32.43</v>
      </c>
      <c r="N11" s="56">
        <f t="shared" si="4"/>
        <v>0.41230545952390796</v>
      </c>
      <c r="O11" s="50">
        <f>Q11</f>
        <v>32.53</v>
      </c>
      <c r="P11" s="56">
        <f t="shared" si="5"/>
        <v>5.1560855539925329E-2</v>
      </c>
      <c r="Q11" s="4">
        <f>S11</f>
        <v>32.53</v>
      </c>
      <c r="R11" s="56">
        <f t="shared" si="6"/>
        <v>0.41248684431940263</v>
      </c>
      <c r="S11" s="6">
        <f>U11</f>
        <v>32.53</v>
      </c>
      <c r="T11" s="3">
        <f t="shared" si="7"/>
        <v>0.77341283309887987</v>
      </c>
      <c r="U11" s="6">
        <f>W11</f>
        <v>32.53</v>
      </c>
      <c r="V11" s="3">
        <f t="shared" si="8"/>
        <v>1.0312171107985066</v>
      </c>
      <c r="W11" s="6">
        <f>Y11</f>
        <v>32.53</v>
      </c>
      <c r="X11" s="3">
        <f t="shared" si="9"/>
        <v>0.97965625525858113</v>
      </c>
      <c r="Y11" s="6">
        <f>0.53+$A$3</f>
        <v>32.53</v>
      </c>
      <c r="Z11" s="3">
        <f t="shared" si="10"/>
        <v>0.6702911220190293</v>
      </c>
    </row>
    <row r="12" spans="1:26">
      <c r="A12" s="8" t="s">
        <v>3</v>
      </c>
      <c r="B12" s="59">
        <v>0</v>
      </c>
      <c r="C12" s="54">
        <f>A3</f>
        <v>32</v>
      </c>
      <c r="D12" s="55">
        <f>$C$4*(C12/$A$3)^(1/7)</f>
        <v>0.10288</v>
      </c>
      <c r="E12" s="54">
        <f>C12</f>
        <v>32</v>
      </c>
      <c r="F12" s="55">
        <f>$E$4*(E12/$A$3)^(1/7)</f>
        <v>0.61727999999999994</v>
      </c>
      <c r="G12" s="54">
        <f>E12</f>
        <v>32</v>
      </c>
      <c r="H12" s="55">
        <f>$G$4*(G12/$A$3)^(1/7)</f>
        <v>1.0287999999999999</v>
      </c>
      <c r="I12" s="54">
        <f>G12</f>
        <v>32</v>
      </c>
      <c r="J12" s="55">
        <f>$I$4*(I12/$A$3)^(1/7)</f>
        <v>1.0802400000000001</v>
      </c>
      <c r="K12" s="54">
        <f>I12</f>
        <v>32</v>
      </c>
      <c r="L12" s="55">
        <f>$K$4*(K12/$A$3)^(1/7)</f>
        <v>0.92591999999999997</v>
      </c>
      <c r="M12" s="54">
        <f>K12</f>
        <v>32</v>
      </c>
      <c r="N12" s="55">
        <f>$M$4*(M12/$A$3)^(1/7)</f>
        <v>0.41152</v>
      </c>
      <c r="O12" s="54">
        <f>M12</f>
        <v>32</v>
      </c>
      <c r="P12" s="55">
        <f>$O$4*(O12/$A$3)^(1/7)</f>
        <v>5.144E-2</v>
      </c>
      <c r="Q12" s="9">
        <f>O12</f>
        <v>32</v>
      </c>
      <c r="R12" s="10">
        <f>$Q$4*(Q12/$A$3)^(1/7)</f>
        <v>0.41152</v>
      </c>
      <c r="S12" s="9">
        <f>Q12</f>
        <v>32</v>
      </c>
      <c r="T12" s="10">
        <f>$S$4*(S12/$A$3)^(1/7)</f>
        <v>0.77159999999999995</v>
      </c>
      <c r="U12" s="9">
        <f>S12</f>
        <v>32</v>
      </c>
      <c r="V12" s="10">
        <f>$U$4*(U12/$A$3)^(1/7)</f>
        <v>1.0287999999999999</v>
      </c>
      <c r="W12" s="9">
        <f>U12</f>
        <v>32</v>
      </c>
      <c r="X12" s="10">
        <f>$W$4*(W12/$A$3)^(1/7)</f>
        <v>0.9773599999999999</v>
      </c>
      <c r="Y12" s="9">
        <f>W12</f>
        <v>32</v>
      </c>
      <c r="Z12" s="10">
        <f>$Y$4*(Y12/$A$3)^(1/7)</f>
        <v>0.66871999999999998</v>
      </c>
    </row>
    <row r="13" spans="1:26">
      <c r="B13" s="59">
        <v>1</v>
      </c>
      <c r="C13" s="58">
        <f>C12-$B$3</f>
        <v>31</v>
      </c>
      <c r="D13" s="49">
        <f t="shared" ref="D13:D43" si="11">$C$4*(C13/$A$3)^(1/7)</f>
        <v>0.10241444142048996</v>
      </c>
      <c r="E13" s="54">
        <f t="shared" ref="E13:E43" si="12">C13</f>
        <v>31</v>
      </c>
      <c r="F13" s="49">
        <f t="shared" ref="F13:F43" si="13">$E$4*(E13/$A$3)^(1/7)</f>
        <v>0.61448664852293966</v>
      </c>
      <c r="G13" s="54">
        <f t="shared" ref="G13:G43" si="14">E13</f>
        <v>31</v>
      </c>
      <c r="H13" s="49">
        <f>$G$4*(G13/$A$3)^(1/7)</f>
        <v>1.0241444142048994</v>
      </c>
      <c r="I13" s="54">
        <f t="shared" ref="I13:I43" si="15">G13</f>
        <v>31</v>
      </c>
      <c r="J13" s="49">
        <f t="shared" ref="J13:J43" si="16">$I$4*(I13/$A$3)^(1/7)</f>
        <v>1.0753516349151446</v>
      </c>
      <c r="K13" s="54">
        <f t="shared" ref="K13:K43" si="17">I13</f>
        <v>31</v>
      </c>
      <c r="L13" s="49">
        <f t="shared" ref="L13:L43" si="18">$K$4*(K13/$A$3)^(1/7)</f>
        <v>0.92172997278440949</v>
      </c>
      <c r="M13" s="54">
        <f t="shared" ref="M13:M43" si="19">K13</f>
        <v>31</v>
      </c>
      <c r="N13" s="49">
        <f t="shared" ref="N13:N43" si="20">$M$4*(M13/$A$3)^(1/7)</f>
        <v>0.40965776568195983</v>
      </c>
      <c r="O13" s="54">
        <f t="shared" ref="O13:O43" si="21">M13</f>
        <v>31</v>
      </c>
      <c r="P13" s="49">
        <f t="shared" ref="P13:P43" si="22">$O$4*(O13/$A$3)^(1/7)</f>
        <v>5.1207220710244979E-2</v>
      </c>
      <c r="Q13" s="54">
        <f t="shared" ref="Q13:Q43" si="23">O13</f>
        <v>31</v>
      </c>
      <c r="R13" s="3">
        <f t="shared" ref="R13:R43" si="24">$Q$4*(Q13/$A$3)^(1/7)</f>
        <v>0.40965776568195983</v>
      </c>
      <c r="S13" s="54">
        <f t="shared" ref="S13:S43" si="25">Q13</f>
        <v>31</v>
      </c>
      <c r="T13" s="3">
        <f t="shared" ref="T13:T43" si="26">$S$4*(S13/$A$3)^(1/7)</f>
        <v>0.76810831065367458</v>
      </c>
      <c r="U13" s="54">
        <f t="shared" ref="U13:U43" si="27">S13</f>
        <v>31</v>
      </c>
      <c r="V13" s="3">
        <f t="shared" ref="V13:V43" si="28">$U$4*(U13/$A$3)^(1/7)</f>
        <v>1.0241444142048994</v>
      </c>
      <c r="W13" s="54">
        <f t="shared" ref="W13:W43" si="29">U13</f>
        <v>31</v>
      </c>
      <c r="X13" s="3">
        <f t="shared" ref="X13:X43" si="30">$W$4*(W13/$A$3)^(1/7)</f>
        <v>0.97293719349465446</v>
      </c>
      <c r="Y13" s="54">
        <f t="shared" ref="Y13:Y43" si="31">W13</f>
        <v>31</v>
      </c>
      <c r="Z13" s="3">
        <f t="shared" ref="Z13:Z43" si="32">$Y$4*(Y13/$A$3)^(1/7)</f>
        <v>0.66569386923318463</v>
      </c>
    </row>
    <row r="14" spans="1:26">
      <c r="B14" s="59">
        <v>2</v>
      </c>
      <c r="C14" s="58">
        <f t="shared" ref="C14:C42" si="33">C13-$B$3</f>
        <v>30</v>
      </c>
      <c r="D14" s="49">
        <f t="shared" si="11"/>
        <v>0.10193582735942408</v>
      </c>
      <c r="E14" s="54">
        <f t="shared" si="12"/>
        <v>30</v>
      </c>
      <c r="F14" s="49">
        <f t="shared" si="13"/>
        <v>0.61161496415654448</v>
      </c>
      <c r="G14" s="54">
        <f t="shared" si="14"/>
        <v>30</v>
      </c>
      <c r="H14" s="49">
        <f t="shared" ref="H14:H43" si="34">$G$4*(G14/$A$3)^(1/7)</f>
        <v>1.0193582735942408</v>
      </c>
      <c r="I14" s="54">
        <f t="shared" si="15"/>
        <v>30</v>
      </c>
      <c r="J14" s="49">
        <f t="shared" si="16"/>
        <v>1.0703261872739529</v>
      </c>
      <c r="K14" s="54">
        <f t="shared" si="17"/>
        <v>30</v>
      </c>
      <c r="L14" s="49">
        <f t="shared" si="18"/>
        <v>0.91742244623481672</v>
      </c>
      <c r="M14" s="54">
        <f t="shared" si="19"/>
        <v>30</v>
      </c>
      <c r="N14" s="49">
        <f t="shared" si="20"/>
        <v>0.40774330943769632</v>
      </c>
      <c r="O14" s="54">
        <f t="shared" si="21"/>
        <v>30</v>
      </c>
      <c r="P14" s="49">
        <f t="shared" si="22"/>
        <v>5.096791367971204E-2</v>
      </c>
      <c r="Q14" s="54">
        <f t="shared" si="23"/>
        <v>30</v>
      </c>
      <c r="R14" s="3">
        <f t="shared" si="24"/>
        <v>0.40774330943769632</v>
      </c>
      <c r="S14" s="54">
        <f t="shared" si="25"/>
        <v>30</v>
      </c>
      <c r="T14" s="3">
        <f t="shared" si="26"/>
        <v>0.76451870519568055</v>
      </c>
      <c r="U14" s="54">
        <f t="shared" si="27"/>
        <v>30</v>
      </c>
      <c r="V14" s="3">
        <f t="shared" si="28"/>
        <v>1.0193582735942408</v>
      </c>
      <c r="W14" s="54">
        <f t="shared" si="29"/>
        <v>30</v>
      </c>
      <c r="X14" s="3">
        <f t="shared" si="30"/>
        <v>0.96839035991452871</v>
      </c>
      <c r="Y14" s="54">
        <f t="shared" si="31"/>
        <v>30</v>
      </c>
      <c r="Z14" s="3">
        <f t="shared" si="32"/>
        <v>0.66258287783625647</v>
      </c>
    </row>
    <row r="15" spans="1:26">
      <c r="B15" s="59">
        <v>3</v>
      </c>
      <c r="C15" s="58">
        <f t="shared" si="33"/>
        <v>29</v>
      </c>
      <c r="D15" s="49">
        <f t="shared" si="11"/>
        <v>0.1014433376597204</v>
      </c>
      <c r="E15" s="54">
        <f t="shared" si="12"/>
        <v>29</v>
      </c>
      <c r="F15" s="49">
        <f t="shared" si="13"/>
        <v>0.60866002595832236</v>
      </c>
      <c r="G15" s="54">
        <f t="shared" si="14"/>
        <v>29</v>
      </c>
      <c r="H15" s="49">
        <f t="shared" si="34"/>
        <v>1.014433376597204</v>
      </c>
      <c r="I15" s="54">
        <f t="shared" si="15"/>
        <v>29</v>
      </c>
      <c r="J15" s="49">
        <f t="shared" si="16"/>
        <v>1.0651550454270642</v>
      </c>
      <c r="K15" s="54">
        <f t="shared" si="17"/>
        <v>29</v>
      </c>
      <c r="L15" s="49">
        <f t="shared" si="18"/>
        <v>0.91299003893748354</v>
      </c>
      <c r="M15" s="54">
        <f t="shared" si="19"/>
        <v>29</v>
      </c>
      <c r="N15" s="49">
        <f t="shared" si="20"/>
        <v>0.40577335063888159</v>
      </c>
      <c r="O15" s="54">
        <f t="shared" si="21"/>
        <v>29</v>
      </c>
      <c r="P15" s="49">
        <f t="shared" si="22"/>
        <v>5.0721668829860199E-2</v>
      </c>
      <c r="Q15" s="54">
        <f t="shared" si="23"/>
        <v>29</v>
      </c>
      <c r="R15" s="3">
        <f t="shared" si="24"/>
        <v>0.40577335063888159</v>
      </c>
      <c r="S15" s="54">
        <f t="shared" si="25"/>
        <v>29</v>
      </c>
      <c r="T15" s="3">
        <f t="shared" si="26"/>
        <v>0.76082503244790289</v>
      </c>
      <c r="U15" s="54">
        <f t="shared" si="27"/>
        <v>29</v>
      </c>
      <c r="V15" s="3">
        <f t="shared" si="28"/>
        <v>1.014433376597204</v>
      </c>
      <c r="W15" s="54">
        <f t="shared" si="29"/>
        <v>29</v>
      </c>
      <c r="X15" s="3">
        <f t="shared" si="30"/>
        <v>0.96371170776734372</v>
      </c>
      <c r="Y15" s="54">
        <f t="shared" si="31"/>
        <v>29</v>
      </c>
      <c r="Z15" s="3">
        <f t="shared" si="32"/>
        <v>0.65938169478818254</v>
      </c>
    </row>
    <row r="16" spans="1:26">
      <c r="B16" s="59">
        <v>4</v>
      </c>
      <c r="C16" s="58">
        <f t="shared" si="33"/>
        <v>28</v>
      </c>
      <c r="D16" s="49">
        <f t="shared" si="11"/>
        <v>0.10093607011337916</v>
      </c>
      <c r="E16" s="54">
        <f t="shared" si="12"/>
        <v>28</v>
      </c>
      <c r="F16" s="49">
        <f t="shared" si="13"/>
        <v>0.60561642068027488</v>
      </c>
      <c r="G16" s="54">
        <f t="shared" si="14"/>
        <v>28</v>
      </c>
      <c r="H16" s="49">
        <f t="shared" si="34"/>
        <v>1.0093607011337915</v>
      </c>
      <c r="I16" s="54">
        <f t="shared" si="15"/>
        <v>28</v>
      </c>
      <c r="J16" s="49">
        <f t="shared" si="16"/>
        <v>1.0598287361904812</v>
      </c>
      <c r="K16" s="54">
        <f t="shared" si="17"/>
        <v>28</v>
      </c>
      <c r="L16" s="49">
        <f t="shared" si="18"/>
        <v>0.90842463102041238</v>
      </c>
      <c r="M16" s="54">
        <f t="shared" si="19"/>
        <v>28</v>
      </c>
      <c r="N16" s="49">
        <f t="shared" si="20"/>
        <v>0.40374428045351662</v>
      </c>
      <c r="O16" s="54">
        <f t="shared" si="21"/>
        <v>28</v>
      </c>
      <c r="P16" s="49">
        <f t="shared" si="22"/>
        <v>5.0468035056689578E-2</v>
      </c>
      <c r="Q16" s="54">
        <f t="shared" si="23"/>
        <v>28</v>
      </c>
      <c r="R16" s="3">
        <f t="shared" si="24"/>
        <v>0.40374428045351662</v>
      </c>
      <c r="S16" s="54">
        <f t="shared" si="25"/>
        <v>28</v>
      </c>
      <c r="T16" s="3">
        <f t="shared" si="26"/>
        <v>0.75702052585034363</v>
      </c>
      <c r="U16" s="54">
        <f t="shared" si="27"/>
        <v>28</v>
      </c>
      <c r="V16" s="3">
        <f t="shared" si="28"/>
        <v>1.0093607011337915</v>
      </c>
      <c r="W16" s="54">
        <f t="shared" si="29"/>
        <v>28</v>
      </c>
      <c r="X16" s="3">
        <f t="shared" si="30"/>
        <v>0.95889266607710189</v>
      </c>
      <c r="Y16" s="54">
        <f t="shared" si="31"/>
        <v>28</v>
      </c>
      <c r="Z16" s="3">
        <f t="shared" si="32"/>
        <v>0.6560844557369645</v>
      </c>
    </row>
    <row r="17" spans="2:26">
      <c r="B17" s="59">
        <v>5</v>
      </c>
      <c r="C17" s="58">
        <f t="shared" si="33"/>
        <v>27</v>
      </c>
      <c r="D17" s="49">
        <f t="shared" si="11"/>
        <v>0.10041302897631173</v>
      </c>
      <c r="E17" s="54">
        <f t="shared" si="12"/>
        <v>27</v>
      </c>
      <c r="F17" s="49">
        <f t="shared" si="13"/>
        <v>0.60247817385787028</v>
      </c>
      <c r="G17" s="54">
        <f t="shared" si="14"/>
        <v>27</v>
      </c>
      <c r="H17" s="49">
        <f t="shared" si="34"/>
        <v>1.0041302897631172</v>
      </c>
      <c r="I17" s="54">
        <f t="shared" si="15"/>
        <v>27</v>
      </c>
      <c r="J17" s="49">
        <f t="shared" si="16"/>
        <v>1.0543368042512733</v>
      </c>
      <c r="K17" s="54">
        <f t="shared" si="17"/>
        <v>27</v>
      </c>
      <c r="L17" s="49">
        <f t="shared" si="18"/>
        <v>0.90371726078680548</v>
      </c>
      <c r="M17" s="54">
        <f t="shared" si="19"/>
        <v>27</v>
      </c>
      <c r="N17" s="49">
        <f t="shared" si="20"/>
        <v>0.40165211590524691</v>
      </c>
      <c r="O17" s="54">
        <f t="shared" si="21"/>
        <v>27</v>
      </c>
      <c r="P17" s="49">
        <f t="shared" si="22"/>
        <v>5.0206514488155864E-2</v>
      </c>
      <c r="Q17" s="54">
        <f t="shared" si="23"/>
        <v>27</v>
      </c>
      <c r="R17" s="3">
        <f t="shared" si="24"/>
        <v>0.40165211590524691</v>
      </c>
      <c r="S17" s="54">
        <f t="shared" si="25"/>
        <v>27</v>
      </c>
      <c r="T17" s="3">
        <f t="shared" si="26"/>
        <v>0.75309771732233788</v>
      </c>
      <c r="U17" s="54">
        <f t="shared" si="27"/>
        <v>27</v>
      </c>
      <c r="V17" s="3">
        <f t="shared" si="28"/>
        <v>1.0041302897631172</v>
      </c>
      <c r="W17" s="54">
        <f t="shared" si="29"/>
        <v>27</v>
      </c>
      <c r="X17" s="3">
        <f t="shared" si="30"/>
        <v>0.95392377527496131</v>
      </c>
      <c r="Y17" s="54">
        <f t="shared" si="31"/>
        <v>27</v>
      </c>
      <c r="Z17" s="3">
        <f t="shared" si="32"/>
        <v>0.65268468834602622</v>
      </c>
    </row>
    <row r="18" spans="2:26">
      <c r="B18" s="59">
        <v>6</v>
      </c>
      <c r="C18" s="58">
        <f t="shared" si="33"/>
        <v>26</v>
      </c>
      <c r="D18" s="49">
        <f t="shared" si="11"/>
        <v>9.9873111382204033E-2</v>
      </c>
      <c r="E18" s="54">
        <f t="shared" si="12"/>
        <v>26</v>
      </c>
      <c r="F18" s="49">
        <f t="shared" si="13"/>
        <v>0.59923866829322414</v>
      </c>
      <c r="G18" s="54">
        <f t="shared" si="14"/>
        <v>26</v>
      </c>
      <c r="H18" s="49">
        <f t="shared" si="34"/>
        <v>0.99873111382204027</v>
      </c>
      <c r="I18" s="54">
        <f t="shared" si="15"/>
        <v>26</v>
      </c>
      <c r="J18" s="49">
        <f t="shared" si="16"/>
        <v>1.0486676695131425</v>
      </c>
      <c r="K18" s="54">
        <f t="shared" si="17"/>
        <v>26</v>
      </c>
      <c r="L18" s="49">
        <f t="shared" si="18"/>
        <v>0.89885800243983627</v>
      </c>
      <c r="M18" s="54">
        <f t="shared" si="19"/>
        <v>26</v>
      </c>
      <c r="N18" s="49">
        <f t="shared" si="20"/>
        <v>0.39949244552881613</v>
      </c>
      <c r="O18" s="54">
        <f t="shared" si="21"/>
        <v>26</v>
      </c>
      <c r="P18" s="49">
        <f t="shared" si="22"/>
        <v>4.9936555691102016E-2</v>
      </c>
      <c r="Q18" s="54">
        <f t="shared" si="23"/>
        <v>26</v>
      </c>
      <c r="R18" s="3">
        <f t="shared" si="24"/>
        <v>0.39949244552881613</v>
      </c>
      <c r="S18" s="54">
        <f t="shared" si="25"/>
        <v>26</v>
      </c>
      <c r="T18" s="3">
        <f t="shared" si="26"/>
        <v>0.74904833536653015</v>
      </c>
      <c r="U18" s="54">
        <f t="shared" si="27"/>
        <v>26</v>
      </c>
      <c r="V18" s="3">
        <f t="shared" si="28"/>
        <v>0.99873111382204027</v>
      </c>
      <c r="W18" s="54">
        <f t="shared" si="29"/>
        <v>26</v>
      </c>
      <c r="X18" s="3">
        <f t="shared" si="30"/>
        <v>0.94879455813093816</v>
      </c>
      <c r="Y18" s="54">
        <f t="shared" si="31"/>
        <v>26</v>
      </c>
      <c r="Z18" s="3">
        <f t="shared" si="32"/>
        <v>0.64917522398432614</v>
      </c>
    </row>
    <row r="19" spans="2:26">
      <c r="B19" s="59">
        <v>7</v>
      </c>
      <c r="C19" s="58">
        <f t="shared" si="33"/>
        <v>25</v>
      </c>
      <c r="D19" s="49">
        <f t="shared" si="11"/>
        <v>9.931509117375438E-2</v>
      </c>
      <c r="E19" s="54">
        <f t="shared" si="12"/>
        <v>25</v>
      </c>
      <c r="F19" s="49">
        <f t="shared" si="13"/>
        <v>0.5958905470425262</v>
      </c>
      <c r="G19" s="54">
        <f t="shared" si="14"/>
        <v>25</v>
      </c>
      <c r="H19" s="49">
        <f t="shared" si="34"/>
        <v>0.99315091173754377</v>
      </c>
      <c r="I19" s="54">
        <f t="shared" si="15"/>
        <v>25</v>
      </c>
      <c r="J19" s="49">
        <f t="shared" si="16"/>
        <v>1.0428084573244212</v>
      </c>
      <c r="K19" s="54">
        <f t="shared" si="17"/>
        <v>25</v>
      </c>
      <c r="L19" s="49">
        <f t="shared" si="18"/>
        <v>0.89383582056378941</v>
      </c>
      <c r="M19" s="54">
        <f t="shared" si="19"/>
        <v>25</v>
      </c>
      <c r="N19" s="49">
        <f t="shared" si="20"/>
        <v>0.39726036469501752</v>
      </c>
      <c r="O19" s="54">
        <f t="shared" si="21"/>
        <v>25</v>
      </c>
      <c r="P19" s="49">
        <f t="shared" si="22"/>
        <v>4.965754558687719E-2</v>
      </c>
      <c r="Q19" s="54">
        <f t="shared" si="23"/>
        <v>25</v>
      </c>
      <c r="R19" s="3">
        <f t="shared" si="24"/>
        <v>0.39726036469501752</v>
      </c>
      <c r="S19" s="54">
        <f t="shared" si="25"/>
        <v>25</v>
      </c>
      <c r="T19" s="3">
        <f t="shared" si="26"/>
        <v>0.74486318380315786</v>
      </c>
      <c r="U19" s="54">
        <f t="shared" si="27"/>
        <v>25</v>
      </c>
      <c r="V19" s="3">
        <f t="shared" si="28"/>
        <v>0.99315091173754377</v>
      </c>
      <c r="W19" s="54">
        <f t="shared" si="29"/>
        <v>25</v>
      </c>
      <c r="X19" s="3">
        <f t="shared" si="30"/>
        <v>0.94349336615066659</v>
      </c>
      <c r="Y19" s="54">
        <f t="shared" si="31"/>
        <v>25</v>
      </c>
      <c r="Z19" s="3">
        <f t="shared" si="32"/>
        <v>0.64554809262940349</v>
      </c>
    </row>
    <row r="20" spans="2:26">
      <c r="B20" s="59">
        <v>8</v>
      </c>
      <c r="C20" s="58">
        <f t="shared" si="33"/>
        <v>24</v>
      </c>
      <c r="D20" s="49">
        <f t="shared" si="11"/>
        <v>9.8737599535061726E-2</v>
      </c>
      <c r="E20" s="54">
        <f t="shared" si="12"/>
        <v>24</v>
      </c>
      <c r="F20" s="49">
        <f t="shared" si="13"/>
        <v>0.59242559721037036</v>
      </c>
      <c r="G20" s="54">
        <f t="shared" si="14"/>
        <v>24</v>
      </c>
      <c r="H20" s="49">
        <f t="shared" si="34"/>
        <v>0.98737599535061726</v>
      </c>
      <c r="I20" s="54">
        <f t="shared" si="15"/>
        <v>24</v>
      </c>
      <c r="J20" s="49">
        <f t="shared" si="16"/>
        <v>1.0367447951181483</v>
      </c>
      <c r="K20" s="54">
        <f t="shared" si="17"/>
        <v>24</v>
      </c>
      <c r="L20" s="49">
        <f t="shared" si="18"/>
        <v>0.88863839581555548</v>
      </c>
      <c r="M20" s="54">
        <f t="shared" si="19"/>
        <v>24</v>
      </c>
      <c r="N20" s="49">
        <f t="shared" si="20"/>
        <v>0.39495039814024691</v>
      </c>
      <c r="O20" s="54">
        <f t="shared" si="21"/>
        <v>24</v>
      </c>
      <c r="P20" s="49">
        <f t="shared" si="22"/>
        <v>4.9368799767530863E-2</v>
      </c>
      <c r="Q20" s="54">
        <f t="shared" si="23"/>
        <v>24</v>
      </c>
      <c r="R20" s="3">
        <f t="shared" si="24"/>
        <v>0.39495039814024691</v>
      </c>
      <c r="S20" s="54">
        <f t="shared" si="25"/>
        <v>24</v>
      </c>
      <c r="T20" s="3">
        <f t="shared" si="26"/>
        <v>0.74053199651296286</v>
      </c>
      <c r="U20" s="54">
        <f t="shared" si="27"/>
        <v>24</v>
      </c>
      <c r="V20" s="3">
        <f t="shared" si="28"/>
        <v>0.98737599535061726</v>
      </c>
      <c r="W20" s="54">
        <f t="shared" si="29"/>
        <v>24</v>
      </c>
      <c r="X20" s="3">
        <f t="shared" si="30"/>
        <v>0.93800719558308632</v>
      </c>
      <c r="Y20" s="54">
        <f t="shared" si="31"/>
        <v>24</v>
      </c>
      <c r="Z20" s="3">
        <f t="shared" si="32"/>
        <v>0.64179439697790119</v>
      </c>
    </row>
    <row r="21" spans="2:26">
      <c r="B21" s="59">
        <v>9</v>
      </c>
      <c r="C21" s="58">
        <f t="shared" si="33"/>
        <v>23</v>
      </c>
      <c r="D21" s="49">
        <f t="shared" si="11"/>
        <v>9.8139101629462308E-2</v>
      </c>
      <c r="E21" s="54">
        <f t="shared" si="12"/>
        <v>23</v>
      </c>
      <c r="F21" s="49">
        <f t="shared" si="13"/>
        <v>0.58883460977677382</v>
      </c>
      <c r="G21" s="54">
        <f t="shared" si="14"/>
        <v>23</v>
      </c>
      <c r="H21" s="49">
        <f t="shared" si="34"/>
        <v>0.981391016294623</v>
      </c>
      <c r="I21" s="54">
        <f t="shared" si="15"/>
        <v>23</v>
      </c>
      <c r="J21" s="49">
        <f t="shared" si="16"/>
        <v>1.0304605671093543</v>
      </c>
      <c r="K21" s="54">
        <f t="shared" si="17"/>
        <v>23</v>
      </c>
      <c r="L21" s="49">
        <f t="shared" si="18"/>
        <v>0.88325191466516073</v>
      </c>
      <c r="M21" s="54">
        <f t="shared" si="19"/>
        <v>23</v>
      </c>
      <c r="N21" s="49">
        <f t="shared" si="20"/>
        <v>0.39255640651784923</v>
      </c>
      <c r="O21" s="54">
        <f t="shared" si="21"/>
        <v>23</v>
      </c>
      <c r="P21" s="49">
        <f t="shared" si="22"/>
        <v>4.9069550814731154E-2</v>
      </c>
      <c r="Q21" s="54">
        <f t="shared" si="23"/>
        <v>23</v>
      </c>
      <c r="R21" s="3">
        <f t="shared" si="24"/>
        <v>0.39255640651784923</v>
      </c>
      <c r="S21" s="54">
        <f t="shared" si="25"/>
        <v>23</v>
      </c>
      <c r="T21" s="3">
        <f t="shared" si="26"/>
        <v>0.73604326222096728</v>
      </c>
      <c r="U21" s="54">
        <f t="shared" si="27"/>
        <v>23</v>
      </c>
      <c r="V21" s="3">
        <f t="shared" si="28"/>
        <v>0.981391016294623</v>
      </c>
      <c r="W21" s="54">
        <f t="shared" si="29"/>
        <v>23</v>
      </c>
      <c r="X21" s="3">
        <f t="shared" si="30"/>
        <v>0.93232146547989181</v>
      </c>
      <c r="Y21" s="54">
        <f t="shared" si="31"/>
        <v>23</v>
      </c>
      <c r="Z21" s="3">
        <f t="shared" si="32"/>
        <v>0.63790416059150501</v>
      </c>
    </row>
    <row r="22" spans="2:26">
      <c r="B22" s="59">
        <v>10</v>
      </c>
      <c r="C22" s="58">
        <f t="shared" si="33"/>
        <v>22</v>
      </c>
      <c r="D22" s="49">
        <f t="shared" si="11"/>
        <v>9.7517868205070662E-2</v>
      </c>
      <c r="E22" s="54">
        <f t="shared" si="12"/>
        <v>22</v>
      </c>
      <c r="F22" s="49">
        <f t="shared" si="13"/>
        <v>0.58510720923042392</v>
      </c>
      <c r="G22" s="54">
        <f t="shared" si="14"/>
        <v>22</v>
      </c>
      <c r="H22" s="49">
        <f t="shared" si="34"/>
        <v>0.97517868205070657</v>
      </c>
      <c r="I22" s="54">
        <f t="shared" si="15"/>
        <v>22</v>
      </c>
      <c r="J22" s="49">
        <f t="shared" si="16"/>
        <v>1.0239376161532421</v>
      </c>
      <c r="K22" s="54">
        <f t="shared" si="17"/>
        <v>22</v>
      </c>
      <c r="L22" s="49">
        <f t="shared" si="18"/>
        <v>0.87766081384563588</v>
      </c>
      <c r="M22" s="54">
        <f t="shared" si="19"/>
        <v>22</v>
      </c>
      <c r="N22" s="49">
        <f t="shared" si="20"/>
        <v>0.39007147282028265</v>
      </c>
      <c r="O22" s="54">
        <f t="shared" si="21"/>
        <v>22</v>
      </c>
      <c r="P22" s="49">
        <f t="shared" si="22"/>
        <v>4.8758934102535331E-2</v>
      </c>
      <c r="Q22" s="54">
        <f t="shared" si="23"/>
        <v>22</v>
      </c>
      <c r="R22" s="3">
        <f t="shared" si="24"/>
        <v>0.39007147282028265</v>
      </c>
      <c r="S22" s="54">
        <f t="shared" si="25"/>
        <v>22</v>
      </c>
      <c r="T22" s="3">
        <f t="shared" si="26"/>
        <v>0.7313840115380299</v>
      </c>
      <c r="U22" s="54">
        <f t="shared" si="27"/>
        <v>22</v>
      </c>
      <c r="V22" s="3">
        <f t="shared" si="28"/>
        <v>0.97517868205070657</v>
      </c>
      <c r="W22" s="54">
        <f t="shared" si="29"/>
        <v>22</v>
      </c>
      <c r="X22" s="3">
        <f t="shared" si="30"/>
        <v>0.92641974794817117</v>
      </c>
      <c r="Y22" s="54">
        <f t="shared" si="31"/>
        <v>22</v>
      </c>
      <c r="Z22" s="3">
        <f t="shared" si="32"/>
        <v>0.63386614333295932</v>
      </c>
    </row>
    <row r="23" spans="2:26">
      <c r="B23" s="59">
        <v>11</v>
      </c>
      <c r="C23" s="58">
        <f t="shared" si="33"/>
        <v>21</v>
      </c>
      <c r="D23" s="49">
        <f t="shared" si="11"/>
        <v>9.6871940799939188E-2</v>
      </c>
      <c r="E23" s="54">
        <f t="shared" si="12"/>
        <v>21</v>
      </c>
      <c r="F23" s="49">
        <f t="shared" si="13"/>
        <v>0.58123164479963507</v>
      </c>
      <c r="G23" s="54">
        <f t="shared" si="14"/>
        <v>21</v>
      </c>
      <c r="H23" s="49">
        <f t="shared" si="34"/>
        <v>0.96871940799939182</v>
      </c>
      <c r="I23" s="54">
        <f t="shared" si="15"/>
        <v>21</v>
      </c>
      <c r="J23" s="49">
        <f t="shared" si="16"/>
        <v>1.0171553783993617</v>
      </c>
      <c r="K23" s="54">
        <f t="shared" si="17"/>
        <v>21</v>
      </c>
      <c r="L23" s="49">
        <f t="shared" si="18"/>
        <v>0.87184746719945261</v>
      </c>
      <c r="M23" s="54">
        <f t="shared" si="19"/>
        <v>21</v>
      </c>
      <c r="N23" s="49">
        <f t="shared" si="20"/>
        <v>0.38748776319975675</v>
      </c>
      <c r="O23" s="54">
        <f t="shared" si="21"/>
        <v>21</v>
      </c>
      <c r="P23" s="49">
        <f t="shared" si="22"/>
        <v>4.8435970399969594E-2</v>
      </c>
      <c r="Q23" s="54">
        <f t="shared" si="23"/>
        <v>21</v>
      </c>
      <c r="R23" s="3">
        <f t="shared" si="24"/>
        <v>0.38748776319975675</v>
      </c>
      <c r="S23" s="54">
        <f t="shared" si="25"/>
        <v>21</v>
      </c>
      <c r="T23" s="3">
        <f t="shared" si="26"/>
        <v>0.7265395559995439</v>
      </c>
      <c r="U23" s="54">
        <f t="shared" si="27"/>
        <v>21</v>
      </c>
      <c r="V23" s="3">
        <f t="shared" si="28"/>
        <v>0.96871940799939182</v>
      </c>
      <c r="W23" s="54">
        <f t="shared" si="29"/>
        <v>21</v>
      </c>
      <c r="X23" s="3">
        <f t="shared" si="30"/>
        <v>0.92028343759942222</v>
      </c>
      <c r="Y23" s="54">
        <f t="shared" si="31"/>
        <v>21</v>
      </c>
      <c r="Z23" s="3">
        <f t="shared" si="32"/>
        <v>0.62966761519960468</v>
      </c>
    </row>
    <row r="24" spans="2:26">
      <c r="B24" s="59">
        <v>12</v>
      </c>
      <c r="C24" s="58">
        <f t="shared" si="33"/>
        <v>20</v>
      </c>
      <c r="D24" s="49">
        <f t="shared" si="11"/>
        <v>9.6199088722025428E-2</v>
      </c>
      <c r="E24" s="54">
        <f t="shared" si="12"/>
        <v>20</v>
      </c>
      <c r="F24" s="49">
        <f t="shared" si="13"/>
        <v>0.57719453233215245</v>
      </c>
      <c r="G24" s="54">
        <f t="shared" si="14"/>
        <v>20</v>
      </c>
      <c r="H24" s="49">
        <f t="shared" si="34"/>
        <v>0.96199088722025416</v>
      </c>
      <c r="I24" s="54">
        <f t="shared" si="15"/>
        <v>20</v>
      </c>
      <c r="J24" s="49">
        <f t="shared" si="16"/>
        <v>1.0100904315812671</v>
      </c>
      <c r="K24" s="54">
        <f t="shared" si="17"/>
        <v>20</v>
      </c>
      <c r="L24" s="49">
        <f t="shared" si="18"/>
        <v>0.86579179849822874</v>
      </c>
      <c r="M24" s="54">
        <f t="shared" si="19"/>
        <v>20</v>
      </c>
      <c r="N24" s="49">
        <f t="shared" si="20"/>
        <v>0.38479635488810171</v>
      </c>
      <c r="O24" s="54">
        <f t="shared" si="21"/>
        <v>20</v>
      </c>
      <c r="P24" s="49">
        <f t="shared" si="22"/>
        <v>4.8099544361012714E-2</v>
      </c>
      <c r="Q24" s="54">
        <f t="shared" si="23"/>
        <v>20</v>
      </c>
      <c r="R24" s="3">
        <f t="shared" si="24"/>
        <v>0.38479635488810171</v>
      </c>
      <c r="S24" s="54">
        <f t="shared" si="25"/>
        <v>20</v>
      </c>
      <c r="T24" s="3">
        <f t="shared" si="26"/>
        <v>0.7214931654151906</v>
      </c>
      <c r="U24" s="54">
        <f t="shared" si="27"/>
        <v>20</v>
      </c>
      <c r="V24" s="3">
        <f t="shared" si="28"/>
        <v>0.96199088722025416</v>
      </c>
      <c r="W24" s="54">
        <f t="shared" si="29"/>
        <v>20</v>
      </c>
      <c r="X24" s="3">
        <f t="shared" si="30"/>
        <v>0.91389134285924145</v>
      </c>
      <c r="Y24" s="54">
        <f t="shared" si="31"/>
        <v>20</v>
      </c>
      <c r="Z24" s="3">
        <f t="shared" si="32"/>
        <v>0.62529407669316517</v>
      </c>
    </row>
    <row r="25" spans="2:26">
      <c r="B25" s="59">
        <v>13</v>
      </c>
      <c r="C25" s="58">
        <f t="shared" si="33"/>
        <v>19</v>
      </c>
      <c r="D25" s="49">
        <f t="shared" si="11"/>
        <v>9.5496755338731587E-2</v>
      </c>
      <c r="E25" s="54">
        <f t="shared" si="12"/>
        <v>19</v>
      </c>
      <c r="F25" s="49">
        <f t="shared" si="13"/>
        <v>0.57298053203238952</v>
      </c>
      <c r="G25" s="54">
        <f t="shared" si="14"/>
        <v>19</v>
      </c>
      <c r="H25" s="49">
        <f t="shared" si="34"/>
        <v>0.95496755338731587</v>
      </c>
      <c r="I25" s="54">
        <f t="shared" si="15"/>
        <v>19</v>
      </c>
      <c r="J25" s="49">
        <f t="shared" si="16"/>
        <v>1.0027159310566818</v>
      </c>
      <c r="K25" s="54">
        <f t="shared" si="17"/>
        <v>19</v>
      </c>
      <c r="L25" s="49">
        <f t="shared" si="18"/>
        <v>0.85947079804858428</v>
      </c>
      <c r="M25" s="54">
        <f t="shared" si="19"/>
        <v>19</v>
      </c>
      <c r="N25" s="49">
        <f t="shared" si="20"/>
        <v>0.38198702135492635</v>
      </c>
      <c r="O25" s="54">
        <f t="shared" si="21"/>
        <v>19</v>
      </c>
      <c r="P25" s="49">
        <f t="shared" si="22"/>
        <v>4.7748377669365794E-2</v>
      </c>
      <c r="Q25" s="54">
        <f t="shared" si="23"/>
        <v>19</v>
      </c>
      <c r="R25" s="3">
        <f t="shared" si="24"/>
        <v>0.38198702135492635</v>
      </c>
      <c r="S25" s="54">
        <f t="shared" si="25"/>
        <v>19</v>
      </c>
      <c r="T25" s="3">
        <f t="shared" si="26"/>
        <v>0.7162256650404869</v>
      </c>
      <c r="U25" s="54">
        <f t="shared" si="27"/>
        <v>19</v>
      </c>
      <c r="V25" s="3">
        <f t="shared" si="28"/>
        <v>0.95496755338731587</v>
      </c>
      <c r="W25" s="54">
        <f t="shared" si="29"/>
        <v>19</v>
      </c>
      <c r="X25" s="3">
        <f t="shared" si="30"/>
        <v>0.90721917571795008</v>
      </c>
      <c r="Y25" s="54">
        <f t="shared" si="31"/>
        <v>19</v>
      </c>
      <c r="Z25" s="3">
        <f t="shared" si="32"/>
        <v>0.62072890970175532</v>
      </c>
    </row>
    <row r="26" spans="2:26">
      <c r="B26" s="59">
        <v>14</v>
      </c>
      <c r="C26" s="58">
        <f t="shared" si="33"/>
        <v>18</v>
      </c>
      <c r="D26" s="49">
        <f t="shared" si="11"/>
        <v>9.4761990298855181E-2</v>
      </c>
      <c r="E26" s="54">
        <f t="shared" si="12"/>
        <v>18</v>
      </c>
      <c r="F26" s="49">
        <f t="shared" si="13"/>
        <v>0.56857194179313109</v>
      </c>
      <c r="G26" s="54">
        <f t="shared" si="14"/>
        <v>18</v>
      </c>
      <c r="H26" s="49">
        <f t="shared" si="34"/>
        <v>0.94761990298855181</v>
      </c>
      <c r="I26" s="54">
        <f t="shared" si="15"/>
        <v>18</v>
      </c>
      <c r="J26" s="49">
        <f t="shared" si="16"/>
        <v>0.99500089813797954</v>
      </c>
      <c r="K26" s="54">
        <f t="shared" si="17"/>
        <v>18</v>
      </c>
      <c r="L26" s="49">
        <f t="shared" si="18"/>
        <v>0.85285791268969668</v>
      </c>
      <c r="M26" s="54">
        <f t="shared" si="19"/>
        <v>18</v>
      </c>
      <c r="N26" s="49">
        <f t="shared" si="20"/>
        <v>0.37904796119542072</v>
      </c>
      <c r="O26" s="54">
        <f t="shared" si="21"/>
        <v>18</v>
      </c>
      <c r="P26" s="49">
        <f t="shared" si="22"/>
        <v>4.738099514942759E-2</v>
      </c>
      <c r="Q26" s="54">
        <f t="shared" si="23"/>
        <v>18</v>
      </c>
      <c r="R26" s="3">
        <f t="shared" si="24"/>
        <v>0.37904796119542072</v>
      </c>
      <c r="S26" s="54">
        <f t="shared" si="25"/>
        <v>18</v>
      </c>
      <c r="T26" s="3">
        <f t="shared" si="26"/>
        <v>0.71071492724141383</v>
      </c>
      <c r="U26" s="54">
        <f t="shared" si="27"/>
        <v>18</v>
      </c>
      <c r="V26" s="3">
        <f t="shared" si="28"/>
        <v>0.94761990298855181</v>
      </c>
      <c r="W26" s="54">
        <f t="shared" si="29"/>
        <v>18</v>
      </c>
      <c r="X26" s="3">
        <f t="shared" si="30"/>
        <v>0.90023890783912419</v>
      </c>
      <c r="Y26" s="54">
        <f t="shared" si="31"/>
        <v>18</v>
      </c>
      <c r="Z26" s="3">
        <f t="shared" si="32"/>
        <v>0.6159529369425587</v>
      </c>
    </row>
    <row r="27" spans="2:26">
      <c r="B27" s="59">
        <v>15</v>
      </c>
      <c r="C27" s="58">
        <f t="shared" si="33"/>
        <v>17</v>
      </c>
      <c r="D27" s="49">
        <f t="shared" si="11"/>
        <v>9.3991362989166646E-2</v>
      </c>
      <c r="E27" s="54">
        <f t="shared" si="12"/>
        <v>17</v>
      </c>
      <c r="F27" s="49">
        <f t="shared" si="13"/>
        <v>0.56394817793499985</v>
      </c>
      <c r="G27" s="54">
        <f t="shared" si="14"/>
        <v>17</v>
      </c>
      <c r="H27" s="49">
        <f t="shared" si="34"/>
        <v>0.93991362989166638</v>
      </c>
      <c r="I27" s="54">
        <f t="shared" si="15"/>
        <v>17</v>
      </c>
      <c r="J27" s="49">
        <f t="shared" si="16"/>
        <v>0.98690931138624993</v>
      </c>
      <c r="K27" s="54">
        <f t="shared" si="17"/>
        <v>17</v>
      </c>
      <c r="L27" s="49">
        <f t="shared" si="18"/>
        <v>0.84592226690249983</v>
      </c>
      <c r="M27" s="54">
        <f t="shared" si="19"/>
        <v>17</v>
      </c>
      <c r="N27" s="49">
        <f t="shared" si="20"/>
        <v>0.37596545195666659</v>
      </c>
      <c r="O27" s="54">
        <f t="shared" si="21"/>
        <v>17</v>
      </c>
      <c r="P27" s="49">
        <f t="shared" si="22"/>
        <v>4.6995681494583323E-2</v>
      </c>
      <c r="Q27" s="54">
        <f t="shared" si="23"/>
        <v>17</v>
      </c>
      <c r="R27" s="3">
        <f t="shared" si="24"/>
        <v>0.37596545195666659</v>
      </c>
      <c r="S27" s="54">
        <f t="shared" si="25"/>
        <v>17</v>
      </c>
      <c r="T27" s="3">
        <f t="shared" si="26"/>
        <v>0.70493522241874984</v>
      </c>
      <c r="U27" s="54">
        <f t="shared" si="27"/>
        <v>17</v>
      </c>
      <c r="V27" s="3">
        <f t="shared" si="28"/>
        <v>0.93991362989166638</v>
      </c>
      <c r="W27" s="54">
        <f t="shared" si="29"/>
        <v>17</v>
      </c>
      <c r="X27" s="3">
        <f t="shared" si="30"/>
        <v>0.89291794839708305</v>
      </c>
      <c r="Y27" s="54">
        <f t="shared" si="31"/>
        <v>17</v>
      </c>
      <c r="Z27" s="3">
        <f t="shared" si="32"/>
        <v>0.61094385942958318</v>
      </c>
    </row>
    <row r="28" spans="2:26">
      <c r="B28" s="59">
        <v>16</v>
      </c>
      <c r="C28" s="58">
        <f t="shared" si="33"/>
        <v>16</v>
      </c>
      <c r="D28" s="49">
        <f t="shared" si="11"/>
        <v>9.3180850579470717E-2</v>
      </c>
      <c r="E28" s="54">
        <f t="shared" si="12"/>
        <v>16</v>
      </c>
      <c r="F28" s="49">
        <f t="shared" si="13"/>
        <v>0.55908510347682427</v>
      </c>
      <c r="G28" s="54">
        <f t="shared" si="14"/>
        <v>16</v>
      </c>
      <c r="H28" s="49">
        <f t="shared" si="34"/>
        <v>0.9318085057947072</v>
      </c>
      <c r="I28" s="54">
        <f t="shared" si="15"/>
        <v>16</v>
      </c>
      <c r="J28" s="49">
        <f t="shared" si="16"/>
        <v>0.97839893108444265</v>
      </c>
      <c r="K28" s="54">
        <f t="shared" si="17"/>
        <v>16</v>
      </c>
      <c r="L28" s="49">
        <f t="shared" si="18"/>
        <v>0.83862765521523652</v>
      </c>
      <c r="M28" s="54">
        <f t="shared" si="19"/>
        <v>16</v>
      </c>
      <c r="N28" s="49">
        <f t="shared" si="20"/>
        <v>0.37272340231788287</v>
      </c>
      <c r="O28" s="54">
        <f t="shared" si="21"/>
        <v>16</v>
      </c>
      <c r="P28" s="49">
        <f t="shared" si="22"/>
        <v>4.6590425289735359E-2</v>
      </c>
      <c r="Q28" s="54">
        <f t="shared" si="23"/>
        <v>16</v>
      </c>
      <c r="R28" s="3">
        <f t="shared" si="24"/>
        <v>0.37272340231788287</v>
      </c>
      <c r="S28" s="54">
        <f t="shared" si="25"/>
        <v>16</v>
      </c>
      <c r="T28" s="3">
        <f t="shared" si="26"/>
        <v>0.6988563793460304</v>
      </c>
      <c r="U28" s="54">
        <f t="shared" si="27"/>
        <v>16</v>
      </c>
      <c r="V28" s="3">
        <f t="shared" si="28"/>
        <v>0.9318085057947072</v>
      </c>
      <c r="W28" s="54">
        <f t="shared" si="29"/>
        <v>16</v>
      </c>
      <c r="X28" s="3">
        <f t="shared" si="30"/>
        <v>0.88521808050497175</v>
      </c>
      <c r="Y28" s="54">
        <f t="shared" si="31"/>
        <v>16</v>
      </c>
      <c r="Z28" s="3">
        <f t="shared" si="32"/>
        <v>0.60567552876655972</v>
      </c>
    </row>
    <row r="29" spans="2:26">
      <c r="B29" s="59">
        <v>17</v>
      </c>
      <c r="C29" s="58">
        <f t="shared" si="33"/>
        <v>15</v>
      </c>
      <c r="D29" s="49">
        <f t="shared" si="11"/>
        <v>9.2325691075750574E-2</v>
      </c>
      <c r="E29" s="54">
        <f t="shared" si="12"/>
        <v>15</v>
      </c>
      <c r="F29" s="49">
        <f t="shared" si="13"/>
        <v>0.55395414645450336</v>
      </c>
      <c r="G29" s="54">
        <f t="shared" si="14"/>
        <v>15</v>
      </c>
      <c r="H29" s="49">
        <f t="shared" si="34"/>
        <v>0.9232569107575056</v>
      </c>
      <c r="I29" s="54">
        <f t="shared" si="15"/>
        <v>15</v>
      </c>
      <c r="J29" s="49">
        <f t="shared" si="16"/>
        <v>0.96941975629538102</v>
      </c>
      <c r="K29" s="54">
        <f t="shared" si="17"/>
        <v>15</v>
      </c>
      <c r="L29" s="49">
        <f t="shared" si="18"/>
        <v>0.8309312196817551</v>
      </c>
      <c r="M29" s="54">
        <f t="shared" si="19"/>
        <v>15</v>
      </c>
      <c r="N29" s="49">
        <f t="shared" si="20"/>
        <v>0.3693027643030023</v>
      </c>
      <c r="O29" s="54">
        <f t="shared" si="21"/>
        <v>15</v>
      </c>
      <c r="P29" s="49">
        <f t="shared" si="22"/>
        <v>4.6162845537875287E-2</v>
      </c>
      <c r="Q29" s="54">
        <f t="shared" si="23"/>
        <v>15</v>
      </c>
      <c r="R29" s="3">
        <f t="shared" si="24"/>
        <v>0.3693027643030023</v>
      </c>
      <c r="S29" s="54">
        <f t="shared" si="25"/>
        <v>15</v>
      </c>
      <c r="T29" s="3">
        <f t="shared" si="26"/>
        <v>0.69244268306812917</v>
      </c>
      <c r="U29" s="54">
        <f t="shared" si="27"/>
        <v>15</v>
      </c>
      <c r="V29" s="3">
        <f t="shared" si="28"/>
        <v>0.9232569107575056</v>
      </c>
      <c r="W29" s="54">
        <f t="shared" si="29"/>
        <v>15</v>
      </c>
      <c r="X29" s="3">
        <f t="shared" si="30"/>
        <v>0.87709406521963029</v>
      </c>
      <c r="Y29" s="54">
        <f t="shared" si="31"/>
        <v>15</v>
      </c>
      <c r="Z29" s="3">
        <f t="shared" si="32"/>
        <v>0.60011699199237867</v>
      </c>
    </row>
    <row r="30" spans="2:26">
      <c r="B30" s="59">
        <v>18</v>
      </c>
      <c r="C30" s="58">
        <f t="shared" si="33"/>
        <v>14</v>
      </c>
      <c r="D30" s="49">
        <f t="shared" si="11"/>
        <v>9.1420187279488363E-2</v>
      </c>
      <c r="E30" s="54">
        <f t="shared" si="12"/>
        <v>14</v>
      </c>
      <c r="F30" s="49">
        <f t="shared" si="13"/>
        <v>0.54852112367693018</v>
      </c>
      <c r="G30" s="54">
        <f t="shared" si="14"/>
        <v>14</v>
      </c>
      <c r="H30" s="49">
        <f t="shared" si="34"/>
        <v>0.91420187279488363</v>
      </c>
      <c r="I30" s="54">
        <f t="shared" si="15"/>
        <v>14</v>
      </c>
      <c r="J30" s="49">
        <f t="shared" si="16"/>
        <v>0.95991196643462795</v>
      </c>
      <c r="K30" s="54">
        <f t="shared" si="17"/>
        <v>14</v>
      </c>
      <c r="L30" s="49">
        <f t="shared" si="18"/>
        <v>0.82278168551539521</v>
      </c>
      <c r="M30" s="54">
        <f t="shared" si="19"/>
        <v>14</v>
      </c>
      <c r="N30" s="49">
        <f t="shared" si="20"/>
        <v>0.36568074911795345</v>
      </c>
      <c r="O30" s="54">
        <f t="shared" si="21"/>
        <v>14</v>
      </c>
      <c r="P30" s="49">
        <f t="shared" si="22"/>
        <v>4.5710093639744181E-2</v>
      </c>
      <c r="Q30" s="54">
        <f t="shared" si="23"/>
        <v>14</v>
      </c>
      <c r="R30" s="3">
        <f t="shared" si="24"/>
        <v>0.36568074911795345</v>
      </c>
      <c r="S30" s="54">
        <f t="shared" si="25"/>
        <v>14</v>
      </c>
      <c r="T30" s="3">
        <f t="shared" si="26"/>
        <v>0.68565140459616269</v>
      </c>
      <c r="U30" s="54">
        <f t="shared" si="27"/>
        <v>14</v>
      </c>
      <c r="V30" s="3">
        <f t="shared" si="28"/>
        <v>0.91420187279488363</v>
      </c>
      <c r="W30" s="54">
        <f t="shared" si="29"/>
        <v>14</v>
      </c>
      <c r="X30" s="3">
        <f t="shared" si="30"/>
        <v>0.86849177915513942</v>
      </c>
      <c r="Y30" s="54">
        <f t="shared" si="31"/>
        <v>14</v>
      </c>
      <c r="Z30" s="3">
        <f t="shared" si="32"/>
        <v>0.59423121731667439</v>
      </c>
    </row>
    <row r="31" spans="2:26">
      <c r="B31" s="59">
        <v>19</v>
      </c>
      <c r="C31" s="58">
        <f t="shared" si="33"/>
        <v>13</v>
      </c>
      <c r="D31" s="49">
        <f t="shared" si="11"/>
        <v>9.0457440402527123E-2</v>
      </c>
      <c r="E31" s="54">
        <f t="shared" si="12"/>
        <v>13</v>
      </c>
      <c r="F31" s="49">
        <f t="shared" si="13"/>
        <v>0.54274464241516274</v>
      </c>
      <c r="G31" s="54">
        <f t="shared" si="14"/>
        <v>13</v>
      </c>
      <c r="H31" s="49">
        <f t="shared" si="34"/>
        <v>0.90457440402527123</v>
      </c>
      <c r="I31" s="54">
        <f t="shared" si="15"/>
        <v>13</v>
      </c>
      <c r="J31" s="49">
        <f t="shared" si="16"/>
        <v>0.9498031242265349</v>
      </c>
      <c r="K31" s="54">
        <f t="shared" si="17"/>
        <v>13</v>
      </c>
      <c r="L31" s="49">
        <f t="shared" si="18"/>
        <v>0.81411696362274411</v>
      </c>
      <c r="M31" s="54">
        <f t="shared" si="19"/>
        <v>13</v>
      </c>
      <c r="N31" s="49">
        <f t="shared" si="20"/>
        <v>0.36182976161010849</v>
      </c>
      <c r="O31" s="54">
        <f t="shared" si="21"/>
        <v>13</v>
      </c>
      <c r="P31" s="49">
        <f t="shared" si="22"/>
        <v>4.5228720201263561E-2</v>
      </c>
      <c r="Q31" s="54">
        <f t="shared" si="23"/>
        <v>13</v>
      </c>
      <c r="R31" s="3">
        <f t="shared" si="24"/>
        <v>0.36182976161010849</v>
      </c>
      <c r="S31" s="54">
        <f t="shared" si="25"/>
        <v>13</v>
      </c>
      <c r="T31" s="3">
        <f t="shared" si="26"/>
        <v>0.67843080301895342</v>
      </c>
      <c r="U31" s="54">
        <f t="shared" si="27"/>
        <v>13</v>
      </c>
      <c r="V31" s="3">
        <f t="shared" si="28"/>
        <v>0.90457440402527123</v>
      </c>
      <c r="W31" s="54">
        <f t="shared" si="29"/>
        <v>13</v>
      </c>
      <c r="X31" s="3">
        <f t="shared" si="30"/>
        <v>0.85934568382400756</v>
      </c>
      <c r="Y31" s="54">
        <f t="shared" si="31"/>
        <v>13</v>
      </c>
      <c r="Z31" s="3">
        <f t="shared" si="32"/>
        <v>0.5879733626164263</v>
      </c>
    </row>
    <row r="32" spans="2:26">
      <c r="B32" s="59">
        <v>20</v>
      </c>
      <c r="C32" s="58">
        <f t="shared" si="33"/>
        <v>12</v>
      </c>
      <c r="D32" s="49">
        <f t="shared" si="11"/>
        <v>8.9428980451518314E-2</v>
      </c>
      <c r="E32" s="54">
        <f t="shared" si="12"/>
        <v>12</v>
      </c>
      <c r="F32" s="49">
        <f t="shared" si="13"/>
        <v>0.53657388270910977</v>
      </c>
      <c r="G32" s="54">
        <f t="shared" si="14"/>
        <v>12</v>
      </c>
      <c r="H32" s="49">
        <f t="shared" si="34"/>
        <v>0.89428980451518303</v>
      </c>
      <c r="I32" s="54">
        <f t="shared" si="15"/>
        <v>12</v>
      </c>
      <c r="J32" s="49">
        <f t="shared" si="16"/>
        <v>0.93900429474094238</v>
      </c>
      <c r="K32" s="54">
        <f t="shared" si="17"/>
        <v>12</v>
      </c>
      <c r="L32" s="49">
        <f t="shared" si="18"/>
        <v>0.80486082406366477</v>
      </c>
      <c r="M32" s="54">
        <f t="shared" si="19"/>
        <v>12</v>
      </c>
      <c r="N32" s="49">
        <f t="shared" si="20"/>
        <v>0.35771592180607326</v>
      </c>
      <c r="O32" s="54">
        <f t="shared" si="21"/>
        <v>12</v>
      </c>
      <c r="P32" s="49">
        <f t="shared" si="22"/>
        <v>4.4714490225759157E-2</v>
      </c>
      <c r="Q32" s="54">
        <f t="shared" si="23"/>
        <v>12</v>
      </c>
      <c r="R32" s="3">
        <f t="shared" si="24"/>
        <v>0.35771592180607326</v>
      </c>
      <c r="S32" s="54">
        <f t="shared" si="25"/>
        <v>12</v>
      </c>
      <c r="T32" s="3">
        <f t="shared" si="26"/>
        <v>0.67071735338638727</v>
      </c>
      <c r="U32" s="54">
        <f t="shared" si="27"/>
        <v>12</v>
      </c>
      <c r="V32" s="3">
        <f t="shared" si="28"/>
        <v>0.89428980451518303</v>
      </c>
      <c r="W32" s="54">
        <f t="shared" si="29"/>
        <v>12</v>
      </c>
      <c r="X32" s="3">
        <f t="shared" si="30"/>
        <v>0.8495753142894239</v>
      </c>
      <c r="Y32" s="54">
        <f t="shared" si="31"/>
        <v>12</v>
      </c>
      <c r="Z32" s="3">
        <f t="shared" si="32"/>
        <v>0.58128837293486901</v>
      </c>
    </row>
    <row r="33" spans="2:26">
      <c r="B33" s="59">
        <v>21</v>
      </c>
      <c r="C33" s="58">
        <f t="shared" si="33"/>
        <v>11</v>
      </c>
      <c r="D33" s="49">
        <f t="shared" si="11"/>
        <v>8.8324240921901317E-2</v>
      </c>
      <c r="E33" s="54">
        <f t="shared" si="12"/>
        <v>11</v>
      </c>
      <c r="F33" s="49">
        <f t="shared" si="13"/>
        <v>0.52994544553140788</v>
      </c>
      <c r="G33" s="54">
        <f t="shared" si="14"/>
        <v>11</v>
      </c>
      <c r="H33" s="49">
        <f t="shared" si="34"/>
        <v>0.88324240921901309</v>
      </c>
      <c r="I33" s="54">
        <f t="shared" si="15"/>
        <v>11</v>
      </c>
      <c r="J33" s="49">
        <f t="shared" si="16"/>
        <v>0.9274045296799639</v>
      </c>
      <c r="K33" s="54">
        <f t="shared" si="17"/>
        <v>11</v>
      </c>
      <c r="L33" s="49">
        <f t="shared" si="18"/>
        <v>0.79491816829711182</v>
      </c>
      <c r="M33" s="54">
        <f t="shared" si="19"/>
        <v>11</v>
      </c>
      <c r="N33" s="49">
        <f t="shared" si="20"/>
        <v>0.35329696368760527</v>
      </c>
      <c r="O33" s="54">
        <f t="shared" si="21"/>
        <v>11</v>
      </c>
      <c r="P33" s="49">
        <f t="shared" si="22"/>
        <v>4.4162120460950659E-2</v>
      </c>
      <c r="Q33" s="54">
        <f t="shared" si="23"/>
        <v>11</v>
      </c>
      <c r="R33" s="3">
        <f t="shared" si="24"/>
        <v>0.35329696368760527</v>
      </c>
      <c r="S33" s="54">
        <f t="shared" si="25"/>
        <v>11</v>
      </c>
      <c r="T33" s="3">
        <f t="shared" si="26"/>
        <v>0.66243180691425985</v>
      </c>
      <c r="U33" s="54">
        <f t="shared" si="27"/>
        <v>11</v>
      </c>
      <c r="V33" s="3">
        <f t="shared" si="28"/>
        <v>0.88324240921901309</v>
      </c>
      <c r="W33" s="54">
        <f t="shared" si="29"/>
        <v>11</v>
      </c>
      <c r="X33" s="3">
        <f t="shared" si="30"/>
        <v>0.8390802887580624</v>
      </c>
      <c r="Y33" s="54">
        <f t="shared" si="31"/>
        <v>11</v>
      </c>
      <c r="Z33" s="3">
        <f t="shared" si="32"/>
        <v>0.57410756599235857</v>
      </c>
    </row>
    <row r="34" spans="2:26">
      <c r="B34" s="59">
        <v>22</v>
      </c>
      <c r="C34" s="58">
        <f t="shared" si="33"/>
        <v>10</v>
      </c>
      <c r="D34" s="49">
        <f t="shared" si="11"/>
        <v>8.7129791136161525E-2</v>
      </c>
      <c r="E34" s="54">
        <f t="shared" si="12"/>
        <v>10</v>
      </c>
      <c r="F34" s="49">
        <f t="shared" si="13"/>
        <v>0.52277874681696912</v>
      </c>
      <c r="G34" s="54">
        <f t="shared" si="14"/>
        <v>10</v>
      </c>
      <c r="H34" s="49">
        <f t="shared" si="34"/>
        <v>0.87129791136161516</v>
      </c>
      <c r="I34" s="54">
        <f t="shared" si="15"/>
        <v>10</v>
      </c>
      <c r="J34" s="49">
        <f t="shared" si="16"/>
        <v>0.91486280692969613</v>
      </c>
      <c r="K34" s="54">
        <f t="shared" si="17"/>
        <v>10</v>
      </c>
      <c r="L34" s="49">
        <f t="shared" si="18"/>
        <v>0.78416812022545368</v>
      </c>
      <c r="M34" s="54">
        <f t="shared" si="19"/>
        <v>10</v>
      </c>
      <c r="N34" s="49">
        <f t="shared" si="20"/>
        <v>0.3485191645446461</v>
      </c>
      <c r="O34" s="54">
        <f t="shared" si="21"/>
        <v>10</v>
      </c>
      <c r="P34" s="49">
        <f t="shared" si="22"/>
        <v>4.3564895568080762E-2</v>
      </c>
      <c r="Q34" s="54">
        <f t="shared" si="23"/>
        <v>10</v>
      </c>
      <c r="R34" s="3">
        <f t="shared" si="24"/>
        <v>0.3485191645446461</v>
      </c>
      <c r="S34" s="54">
        <f t="shared" si="25"/>
        <v>10</v>
      </c>
      <c r="T34" s="3">
        <f t="shared" si="26"/>
        <v>0.65347343352121146</v>
      </c>
      <c r="U34" s="54">
        <f t="shared" si="27"/>
        <v>10</v>
      </c>
      <c r="V34" s="3">
        <f t="shared" si="28"/>
        <v>0.87129791136161516</v>
      </c>
      <c r="W34" s="54">
        <f t="shared" si="29"/>
        <v>10</v>
      </c>
      <c r="X34" s="3">
        <f t="shared" si="30"/>
        <v>0.82773301579353442</v>
      </c>
      <c r="Y34" s="54">
        <f t="shared" si="31"/>
        <v>10</v>
      </c>
      <c r="Z34" s="3">
        <f t="shared" si="32"/>
        <v>0.56634364238504986</v>
      </c>
    </row>
    <row r="35" spans="2:26">
      <c r="B35" s="59">
        <v>23</v>
      </c>
      <c r="C35" s="58">
        <f t="shared" si="33"/>
        <v>9</v>
      </c>
      <c r="D35" s="49">
        <f t="shared" si="11"/>
        <v>8.5828177086419891E-2</v>
      </c>
      <c r="E35" s="54">
        <f t="shared" si="12"/>
        <v>9</v>
      </c>
      <c r="F35" s="49">
        <f t="shared" si="13"/>
        <v>0.51496906251851926</v>
      </c>
      <c r="G35" s="54">
        <f t="shared" si="14"/>
        <v>9</v>
      </c>
      <c r="H35" s="49">
        <f t="shared" si="34"/>
        <v>0.85828177086419888</v>
      </c>
      <c r="I35" s="54">
        <f t="shared" si="15"/>
        <v>9</v>
      </c>
      <c r="J35" s="49">
        <f t="shared" si="16"/>
        <v>0.90119585940740887</v>
      </c>
      <c r="K35" s="54">
        <f t="shared" si="17"/>
        <v>9</v>
      </c>
      <c r="L35" s="49">
        <f t="shared" si="18"/>
        <v>0.772453593777779</v>
      </c>
      <c r="M35" s="54">
        <f t="shared" si="19"/>
        <v>9</v>
      </c>
      <c r="N35" s="49">
        <f t="shared" si="20"/>
        <v>0.34331270834567956</v>
      </c>
      <c r="O35" s="54">
        <f t="shared" si="21"/>
        <v>9</v>
      </c>
      <c r="P35" s="49">
        <f t="shared" si="22"/>
        <v>4.2914088543209945E-2</v>
      </c>
      <c r="Q35" s="54">
        <f t="shared" si="23"/>
        <v>9</v>
      </c>
      <c r="R35" s="3">
        <f t="shared" si="24"/>
        <v>0.34331270834567956</v>
      </c>
      <c r="S35" s="54">
        <f t="shared" si="25"/>
        <v>9</v>
      </c>
      <c r="T35" s="3">
        <f t="shared" si="26"/>
        <v>0.64371132814814913</v>
      </c>
      <c r="U35" s="54">
        <f t="shared" si="27"/>
        <v>9</v>
      </c>
      <c r="V35" s="3">
        <f t="shared" si="28"/>
        <v>0.85828177086419888</v>
      </c>
      <c r="W35" s="54">
        <f t="shared" si="29"/>
        <v>9</v>
      </c>
      <c r="X35" s="3">
        <f t="shared" si="30"/>
        <v>0.81536768232098888</v>
      </c>
      <c r="Y35" s="54">
        <f t="shared" si="31"/>
        <v>9</v>
      </c>
      <c r="Z35" s="3">
        <f t="shared" si="32"/>
        <v>0.55788315106172925</v>
      </c>
    </row>
    <row r="36" spans="2:26">
      <c r="B36" s="59">
        <v>24</v>
      </c>
      <c r="C36" s="58">
        <f t="shared" si="33"/>
        <v>8</v>
      </c>
      <c r="D36" s="49">
        <f t="shared" si="11"/>
        <v>8.4396101426065795E-2</v>
      </c>
      <c r="E36" s="54">
        <f t="shared" si="12"/>
        <v>8</v>
      </c>
      <c r="F36" s="49">
        <f t="shared" si="13"/>
        <v>0.50637660855639466</v>
      </c>
      <c r="G36" s="54">
        <f t="shared" si="14"/>
        <v>8</v>
      </c>
      <c r="H36" s="49">
        <f t="shared" si="34"/>
        <v>0.84396101426065784</v>
      </c>
      <c r="I36" s="54">
        <f t="shared" si="15"/>
        <v>8</v>
      </c>
      <c r="J36" s="49">
        <f t="shared" si="16"/>
        <v>0.8861590649736909</v>
      </c>
      <c r="K36" s="54">
        <f t="shared" si="17"/>
        <v>8</v>
      </c>
      <c r="L36" s="49">
        <f t="shared" si="18"/>
        <v>0.75956491283459215</v>
      </c>
      <c r="M36" s="54">
        <f t="shared" si="19"/>
        <v>8</v>
      </c>
      <c r="N36" s="49">
        <f t="shared" si="20"/>
        <v>0.33758440570426318</v>
      </c>
      <c r="O36" s="54">
        <f t="shared" si="21"/>
        <v>8</v>
      </c>
      <c r="P36" s="49">
        <f t="shared" si="22"/>
        <v>4.2198050713032897E-2</v>
      </c>
      <c r="Q36" s="54">
        <f t="shared" si="23"/>
        <v>8</v>
      </c>
      <c r="R36" s="3">
        <f t="shared" si="24"/>
        <v>0.33758440570426318</v>
      </c>
      <c r="S36" s="54">
        <f t="shared" si="25"/>
        <v>8</v>
      </c>
      <c r="T36" s="3">
        <f t="shared" si="26"/>
        <v>0.63297076069549341</v>
      </c>
      <c r="U36" s="54">
        <f t="shared" si="27"/>
        <v>8</v>
      </c>
      <c r="V36" s="3">
        <f t="shared" si="28"/>
        <v>0.84396101426065784</v>
      </c>
      <c r="W36" s="54">
        <f t="shared" si="29"/>
        <v>8</v>
      </c>
      <c r="X36" s="3">
        <f t="shared" si="30"/>
        <v>0.801762963547625</v>
      </c>
      <c r="Y36" s="54">
        <f t="shared" si="31"/>
        <v>8</v>
      </c>
      <c r="Z36" s="3">
        <f>$Y$4*(Y36/$A$3)^(1/7)</f>
        <v>0.54857465926942761</v>
      </c>
    </row>
    <row r="37" spans="2:26">
      <c r="B37" s="59">
        <v>25</v>
      </c>
      <c r="C37" s="58">
        <f t="shared" si="33"/>
        <v>7</v>
      </c>
      <c r="D37" s="49">
        <f t="shared" si="11"/>
        <v>8.2801427010470802E-2</v>
      </c>
      <c r="E37" s="54">
        <f t="shared" si="12"/>
        <v>7</v>
      </c>
      <c r="F37" s="49">
        <f t="shared" si="13"/>
        <v>0.49680856206282475</v>
      </c>
      <c r="G37" s="54">
        <f t="shared" si="14"/>
        <v>7</v>
      </c>
      <c r="H37" s="49">
        <f t="shared" si="34"/>
        <v>0.82801427010470796</v>
      </c>
      <c r="I37" s="54">
        <f t="shared" si="15"/>
        <v>7</v>
      </c>
      <c r="J37" s="49">
        <f t="shared" si="16"/>
        <v>0.86941498360994351</v>
      </c>
      <c r="K37" s="54">
        <f t="shared" si="17"/>
        <v>7</v>
      </c>
      <c r="L37" s="49">
        <f t="shared" si="18"/>
        <v>0.74521284309423719</v>
      </c>
      <c r="M37" s="54">
        <f t="shared" si="19"/>
        <v>7</v>
      </c>
      <c r="N37" s="49">
        <f t="shared" si="20"/>
        <v>0.33120570804188321</v>
      </c>
      <c r="O37" s="54">
        <f t="shared" si="21"/>
        <v>7</v>
      </c>
      <c r="P37" s="49">
        <f t="shared" si="22"/>
        <v>4.1400713505235401E-2</v>
      </c>
      <c r="Q37" s="54">
        <f t="shared" si="23"/>
        <v>7</v>
      </c>
      <c r="R37" s="3">
        <f t="shared" si="24"/>
        <v>0.33120570804188321</v>
      </c>
      <c r="S37" s="54">
        <f t="shared" si="25"/>
        <v>7</v>
      </c>
      <c r="T37" s="3">
        <f t="shared" si="26"/>
        <v>0.62101070257853097</v>
      </c>
      <c r="U37" s="54">
        <f t="shared" si="27"/>
        <v>7</v>
      </c>
      <c r="V37" s="3">
        <f t="shared" si="28"/>
        <v>0.82801427010470796</v>
      </c>
      <c r="W37" s="54">
        <f t="shared" si="29"/>
        <v>7</v>
      </c>
      <c r="X37" s="3">
        <f t="shared" si="30"/>
        <v>0.78661355659947252</v>
      </c>
      <c r="Y37" s="54">
        <f t="shared" si="31"/>
        <v>7</v>
      </c>
      <c r="Z37" s="3">
        <f t="shared" si="32"/>
        <v>0.5382092755680602</v>
      </c>
    </row>
    <row r="38" spans="2:26">
      <c r="B38" s="59">
        <v>26</v>
      </c>
      <c r="C38" s="58">
        <f t="shared" si="33"/>
        <v>6</v>
      </c>
      <c r="D38" s="49">
        <f t="shared" si="11"/>
        <v>8.0997943865934438E-2</v>
      </c>
      <c r="E38" s="54">
        <f t="shared" si="12"/>
        <v>6</v>
      </c>
      <c r="F38" s="49">
        <f t="shared" si="13"/>
        <v>0.4859876631956066</v>
      </c>
      <c r="G38" s="54">
        <f t="shared" si="14"/>
        <v>6</v>
      </c>
      <c r="H38" s="49">
        <f t="shared" si="34"/>
        <v>0.80997943865934441</v>
      </c>
      <c r="I38" s="54">
        <f t="shared" si="15"/>
        <v>6</v>
      </c>
      <c r="J38" s="49">
        <f t="shared" si="16"/>
        <v>0.85047841059231177</v>
      </c>
      <c r="K38" s="54">
        <f t="shared" si="17"/>
        <v>6</v>
      </c>
      <c r="L38" s="49">
        <f t="shared" si="18"/>
        <v>0.72898149479341001</v>
      </c>
      <c r="M38" s="54">
        <f t="shared" si="19"/>
        <v>6</v>
      </c>
      <c r="N38" s="49">
        <f t="shared" si="20"/>
        <v>0.32399177546373775</v>
      </c>
      <c r="O38" s="54">
        <f t="shared" si="21"/>
        <v>6</v>
      </c>
      <c r="P38" s="49">
        <f t="shared" si="22"/>
        <v>4.0498971932967219E-2</v>
      </c>
      <c r="Q38" s="54">
        <f t="shared" si="23"/>
        <v>6</v>
      </c>
      <c r="R38" s="3">
        <f t="shared" si="24"/>
        <v>0.32399177546373775</v>
      </c>
      <c r="S38" s="54">
        <f t="shared" si="25"/>
        <v>6</v>
      </c>
      <c r="T38" s="3">
        <f t="shared" si="26"/>
        <v>0.60748457899450825</v>
      </c>
      <c r="U38" s="54">
        <f t="shared" si="27"/>
        <v>6</v>
      </c>
      <c r="V38" s="3">
        <f t="shared" si="28"/>
        <v>0.80997943865934441</v>
      </c>
      <c r="W38" s="54">
        <f t="shared" si="29"/>
        <v>6</v>
      </c>
      <c r="X38" s="3">
        <f t="shared" si="30"/>
        <v>0.76948046672637715</v>
      </c>
      <c r="Y38" s="54">
        <f t="shared" si="31"/>
        <v>6</v>
      </c>
      <c r="Z38" s="3">
        <f t="shared" si="32"/>
        <v>0.52648663512857385</v>
      </c>
    </row>
    <row r="39" spans="2:26">
      <c r="B39" s="59">
        <v>27</v>
      </c>
      <c r="C39" s="58">
        <f t="shared" si="33"/>
        <v>5</v>
      </c>
      <c r="D39" s="49">
        <f t="shared" si="11"/>
        <v>7.8915513694393064E-2</v>
      </c>
      <c r="E39" s="54">
        <f t="shared" si="12"/>
        <v>5</v>
      </c>
      <c r="F39" s="49">
        <f t="shared" si="13"/>
        <v>0.47349308216635838</v>
      </c>
      <c r="G39" s="54">
        <f t="shared" si="14"/>
        <v>5</v>
      </c>
      <c r="H39" s="49">
        <f t="shared" si="34"/>
        <v>0.78915513694393058</v>
      </c>
      <c r="I39" s="54">
        <f t="shared" si="15"/>
        <v>5</v>
      </c>
      <c r="J39" s="49">
        <f t="shared" si="16"/>
        <v>0.82861289379112724</v>
      </c>
      <c r="K39" s="54">
        <f t="shared" si="17"/>
        <v>5</v>
      </c>
      <c r="L39" s="49">
        <f t="shared" si="18"/>
        <v>0.7102396232495376</v>
      </c>
      <c r="M39" s="54">
        <f t="shared" si="19"/>
        <v>5</v>
      </c>
      <c r="N39" s="49">
        <f t="shared" si="20"/>
        <v>0.31566205477757225</v>
      </c>
      <c r="O39" s="54">
        <f t="shared" si="21"/>
        <v>5</v>
      </c>
      <c r="P39" s="49">
        <f t="shared" si="22"/>
        <v>3.9457756847196532E-2</v>
      </c>
      <c r="Q39" s="54">
        <f t="shared" si="23"/>
        <v>5</v>
      </c>
      <c r="R39" s="3">
        <f t="shared" si="24"/>
        <v>0.31566205477757225</v>
      </c>
      <c r="S39" s="54">
        <f t="shared" si="25"/>
        <v>5</v>
      </c>
      <c r="T39" s="3">
        <f t="shared" si="26"/>
        <v>0.59186635270794796</v>
      </c>
      <c r="U39" s="54">
        <f t="shared" si="27"/>
        <v>5</v>
      </c>
      <c r="V39" s="3">
        <f t="shared" si="28"/>
        <v>0.78915513694393058</v>
      </c>
      <c r="W39" s="54">
        <f t="shared" si="29"/>
        <v>5</v>
      </c>
      <c r="X39" s="3">
        <f t="shared" si="30"/>
        <v>0.74969738009673403</v>
      </c>
      <c r="Y39" s="54">
        <f t="shared" si="31"/>
        <v>5</v>
      </c>
      <c r="Z39" s="3">
        <f t="shared" si="32"/>
        <v>0.51295083901355498</v>
      </c>
    </row>
    <row r="40" spans="2:26">
      <c r="B40" s="59">
        <v>28</v>
      </c>
      <c r="C40" s="58">
        <f t="shared" si="33"/>
        <v>4</v>
      </c>
      <c r="D40" s="49">
        <f t="shared" si="11"/>
        <v>7.6439546233204619E-2</v>
      </c>
      <c r="E40" s="54">
        <f t="shared" si="12"/>
        <v>4</v>
      </c>
      <c r="F40" s="49">
        <f t="shared" si="13"/>
        <v>0.45863727739922772</v>
      </c>
      <c r="G40" s="54">
        <f t="shared" si="14"/>
        <v>4</v>
      </c>
      <c r="H40" s="49">
        <f t="shared" si="34"/>
        <v>0.76439546233204625</v>
      </c>
      <c r="I40" s="54">
        <f t="shared" si="15"/>
        <v>4</v>
      </c>
      <c r="J40" s="49">
        <f t="shared" si="16"/>
        <v>0.80261523544864866</v>
      </c>
      <c r="K40" s="54">
        <f t="shared" si="17"/>
        <v>4</v>
      </c>
      <c r="L40" s="49">
        <f t="shared" si="18"/>
        <v>0.68795591609884166</v>
      </c>
      <c r="M40" s="54">
        <f t="shared" si="19"/>
        <v>4</v>
      </c>
      <c r="N40" s="49">
        <f t="shared" si="20"/>
        <v>0.30575818493281848</v>
      </c>
      <c r="O40" s="54">
        <f t="shared" si="21"/>
        <v>4</v>
      </c>
      <c r="P40" s="49">
        <f t="shared" si="22"/>
        <v>3.821977311660231E-2</v>
      </c>
      <c r="Q40" s="54">
        <f t="shared" si="23"/>
        <v>4</v>
      </c>
      <c r="R40" s="3">
        <f t="shared" si="24"/>
        <v>0.30575818493281848</v>
      </c>
      <c r="S40" s="54">
        <f t="shared" si="25"/>
        <v>4</v>
      </c>
      <c r="T40" s="3">
        <f t="shared" si="26"/>
        <v>0.57329659674903466</v>
      </c>
      <c r="U40" s="54">
        <f t="shared" si="27"/>
        <v>4</v>
      </c>
      <c r="V40" s="3">
        <f t="shared" si="28"/>
        <v>0.76439546233204625</v>
      </c>
      <c r="W40" s="54">
        <f t="shared" si="29"/>
        <v>4</v>
      </c>
      <c r="X40" s="3">
        <f t="shared" si="30"/>
        <v>0.72617568921544384</v>
      </c>
      <c r="Y40" s="54">
        <f t="shared" si="31"/>
        <v>4</v>
      </c>
      <c r="Z40" s="3">
        <f t="shared" si="32"/>
        <v>0.49685705051583007</v>
      </c>
    </row>
    <row r="41" spans="2:26">
      <c r="B41" s="59">
        <v>29</v>
      </c>
      <c r="C41" s="58">
        <f t="shared" si="33"/>
        <v>3</v>
      </c>
      <c r="D41" s="49">
        <f t="shared" si="11"/>
        <v>7.3361754516096361E-2</v>
      </c>
      <c r="E41" s="54">
        <f t="shared" si="12"/>
        <v>3</v>
      </c>
      <c r="F41" s="49">
        <f t="shared" si="13"/>
        <v>0.44017052709657811</v>
      </c>
      <c r="G41" s="54">
        <f t="shared" si="14"/>
        <v>3</v>
      </c>
      <c r="H41" s="49">
        <f t="shared" si="34"/>
        <v>0.73361754516096356</v>
      </c>
      <c r="I41" s="54">
        <f t="shared" si="15"/>
        <v>3</v>
      </c>
      <c r="J41" s="49">
        <f t="shared" si="16"/>
        <v>0.77029842241901181</v>
      </c>
      <c r="K41" s="54">
        <f t="shared" si="17"/>
        <v>3</v>
      </c>
      <c r="L41" s="49">
        <f t="shared" si="18"/>
        <v>0.66025579064486717</v>
      </c>
      <c r="M41" s="54">
        <f t="shared" si="19"/>
        <v>3</v>
      </c>
      <c r="N41" s="49">
        <f t="shared" si="20"/>
        <v>0.29344701806438545</v>
      </c>
      <c r="O41" s="54">
        <f t="shared" si="21"/>
        <v>3</v>
      </c>
      <c r="P41" s="49">
        <f t="shared" si="22"/>
        <v>3.6680877258048181E-2</v>
      </c>
      <c r="Q41" s="54">
        <f t="shared" si="23"/>
        <v>3</v>
      </c>
      <c r="R41" s="3">
        <f t="shared" si="24"/>
        <v>0.29344701806438545</v>
      </c>
      <c r="S41" s="54">
        <f t="shared" si="25"/>
        <v>3</v>
      </c>
      <c r="T41" s="3">
        <f t="shared" si="26"/>
        <v>0.55021315887072264</v>
      </c>
      <c r="U41" s="54">
        <f t="shared" si="27"/>
        <v>3</v>
      </c>
      <c r="V41" s="3">
        <f t="shared" si="28"/>
        <v>0.73361754516096356</v>
      </c>
      <c r="W41" s="54">
        <f t="shared" si="29"/>
        <v>3</v>
      </c>
      <c r="X41" s="3">
        <f t="shared" si="30"/>
        <v>0.69693666790291531</v>
      </c>
      <c r="Y41" s="54">
        <f t="shared" si="31"/>
        <v>3</v>
      </c>
      <c r="Z41" s="3">
        <f t="shared" si="32"/>
        <v>0.47685140435462631</v>
      </c>
    </row>
    <row r="42" spans="2:26">
      <c r="B42" s="59">
        <v>30</v>
      </c>
      <c r="C42" s="58">
        <f t="shared" si="33"/>
        <v>2</v>
      </c>
      <c r="D42" s="49">
        <f t="shared" si="11"/>
        <v>6.9233105909008399E-2</v>
      </c>
      <c r="E42" s="54">
        <f t="shared" si="12"/>
        <v>2</v>
      </c>
      <c r="F42" s="49">
        <f t="shared" si="13"/>
        <v>0.41539863545405037</v>
      </c>
      <c r="G42" s="54">
        <f t="shared" si="14"/>
        <v>2</v>
      </c>
      <c r="H42" s="49">
        <f t="shared" si="34"/>
        <v>0.69233105909008397</v>
      </c>
      <c r="I42" s="54">
        <f t="shared" si="15"/>
        <v>2</v>
      </c>
      <c r="J42" s="49">
        <f t="shared" si="16"/>
        <v>0.72694761204458824</v>
      </c>
      <c r="K42" s="54">
        <f t="shared" si="17"/>
        <v>2</v>
      </c>
      <c r="L42" s="49">
        <f t="shared" si="18"/>
        <v>0.62309795318107564</v>
      </c>
      <c r="M42" s="54">
        <f t="shared" si="19"/>
        <v>2</v>
      </c>
      <c r="N42" s="49">
        <f t="shared" si="20"/>
        <v>0.2769324236360336</v>
      </c>
      <c r="O42" s="54">
        <f t="shared" si="21"/>
        <v>2</v>
      </c>
      <c r="P42" s="49">
        <f t="shared" si="22"/>
        <v>3.46165529545042E-2</v>
      </c>
      <c r="Q42" s="54">
        <f t="shared" si="23"/>
        <v>2</v>
      </c>
      <c r="R42" s="3">
        <f t="shared" si="24"/>
        <v>0.2769324236360336</v>
      </c>
      <c r="S42" s="54">
        <f t="shared" si="25"/>
        <v>2</v>
      </c>
      <c r="T42" s="3">
        <f t="shared" si="26"/>
        <v>0.51924829431756303</v>
      </c>
      <c r="U42" s="54">
        <f t="shared" si="27"/>
        <v>2</v>
      </c>
      <c r="V42" s="3">
        <f t="shared" si="28"/>
        <v>0.69233105909008397</v>
      </c>
      <c r="W42" s="54">
        <f t="shared" si="29"/>
        <v>2</v>
      </c>
      <c r="X42" s="3">
        <f t="shared" si="30"/>
        <v>0.65771450613557969</v>
      </c>
      <c r="Y42" s="54">
        <f t="shared" si="31"/>
        <v>2</v>
      </c>
      <c r="Z42" s="3">
        <f t="shared" si="32"/>
        <v>0.45001518840855459</v>
      </c>
    </row>
    <row r="43" spans="2:26">
      <c r="B43" s="59">
        <v>31</v>
      </c>
      <c r="C43" s="58">
        <f t="shared" ref="C43" si="35">C42-$B$13</f>
        <v>1</v>
      </c>
      <c r="D43" s="49">
        <f t="shared" si="11"/>
        <v>6.2706062372278215E-2</v>
      </c>
      <c r="E43" s="54">
        <f t="shared" si="12"/>
        <v>1</v>
      </c>
      <c r="F43" s="49">
        <f t="shared" si="13"/>
        <v>0.37623637423366924</v>
      </c>
      <c r="G43" s="54">
        <f t="shared" si="14"/>
        <v>1</v>
      </c>
      <c r="H43" s="49">
        <f t="shared" si="34"/>
        <v>0.62706062372278215</v>
      </c>
      <c r="I43" s="54">
        <f t="shared" si="15"/>
        <v>1</v>
      </c>
      <c r="J43" s="49">
        <f t="shared" si="16"/>
        <v>0.65841365490892134</v>
      </c>
      <c r="K43" s="54">
        <f t="shared" si="17"/>
        <v>1</v>
      </c>
      <c r="L43" s="49">
        <f t="shared" si="18"/>
        <v>0.56435456135050388</v>
      </c>
      <c r="M43" s="54">
        <f t="shared" si="19"/>
        <v>1</v>
      </c>
      <c r="N43" s="49">
        <f t="shared" si="20"/>
        <v>0.25082424948911286</v>
      </c>
      <c r="O43" s="54">
        <f t="shared" si="21"/>
        <v>1</v>
      </c>
      <c r="P43" s="49">
        <f t="shared" si="22"/>
        <v>3.1353031186139108E-2</v>
      </c>
      <c r="Q43" s="54">
        <f t="shared" si="23"/>
        <v>1</v>
      </c>
      <c r="R43" s="3">
        <f t="shared" si="24"/>
        <v>0.25082424948911286</v>
      </c>
      <c r="S43" s="54">
        <f t="shared" si="25"/>
        <v>1</v>
      </c>
      <c r="T43" s="3">
        <f t="shared" si="26"/>
        <v>0.47029546779208659</v>
      </c>
      <c r="U43" s="54">
        <f t="shared" si="27"/>
        <v>1</v>
      </c>
      <c r="V43" s="3">
        <f t="shared" si="28"/>
        <v>0.62706062372278215</v>
      </c>
      <c r="W43" s="54">
        <f t="shared" si="29"/>
        <v>1</v>
      </c>
      <c r="X43" s="3">
        <f t="shared" si="30"/>
        <v>0.59570759253664296</v>
      </c>
      <c r="Y43" s="54">
        <f t="shared" si="31"/>
        <v>1</v>
      </c>
      <c r="Z43" s="3">
        <f t="shared" si="32"/>
        <v>0.40758940541980837</v>
      </c>
    </row>
  </sheetData>
  <mergeCells count="36">
    <mergeCell ref="E3:F3"/>
    <mergeCell ref="G3:H3"/>
    <mergeCell ref="C4:D4"/>
    <mergeCell ref="E4:F4"/>
    <mergeCell ref="G4:H4"/>
    <mergeCell ref="C2:D2"/>
    <mergeCell ref="E2:F2"/>
    <mergeCell ref="C3:D3"/>
    <mergeCell ref="M4:N4"/>
    <mergeCell ref="O4:P4"/>
    <mergeCell ref="G2:H2"/>
    <mergeCell ref="I2:J2"/>
    <mergeCell ref="K2:L2"/>
    <mergeCell ref="M2:N2"/>
    <mergeCell ref="O2:P2"/>
    <mergeCell ref="I4:J4"/>
    <mergeCell ref="K4:L4"/>
    <mergeCell ref="K3:L3"/>
    <mergeCell ref="M3:N3"/>
    <mergeCell ref="O3:P3"/>
    <mergeCell ref="I3:J3"/>
    <mergeCell ref="Y4:Z4"/>
    <mergeCell ref="Q3:R3"/>
    <mergeCell ref="S3:T3"/>
    <mergeCell ref="U3:V3"/>
    <mergeCell ref="W3:X3"/>
    <mergeCell ref="Y3:Z3"/>
    <mergeCell ref="Q4:R4"/>
    <mergeCell ref="S4:T4"/>
    <mergeCell ref="U4:V4"/>
    <mergeCell ref="W4:X4"/>
    <mergeCell ref="U2:V2"/>
    <mergeCell ref="W2:X2"/>
    <mergeCell ref="Y2:Z2"/>
    <mergeCell ref="Q2:R2"/>
    <mergeCell ref="S2:T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3"/>
  <sheetViews>
    <sheetView zoomScale="75" zoomScaleNormal="75" workbookViewId="0">
      <selection activeCell="F18" sqref="F18"/>
    </sheetView>
  </sheetViews>
  <sheetFormatPr baseColWidth="10" defaultColWidth="9.140625" defaultRowHeight="15"/>
  <cols>
    <col min="1" max="1" width="12.28515625" customWidth="1"/>
    <col min="2" max="2" width="4.85546875" customWidth="1"/>
    <col min="3" max="14" width="14" customWidth="1"/>
    <col min="15" max="26" width="14.140625" customWidth="1"/>
  </cols>
  <sheetData>
    <row r="1" spans="1:26" ht="15.75" thickBot="1">
      <c r="C1" t="s">
        <v>57</v>
      </c>
    </row>
    <row r="2" spans="1:26" ht="15.75" thickBot="1">
      <c r="A2" t="s">
        <v>3</v>
      </c>
      <c r="C2" s="134" t="s">
        <v>10</v>
      </c>
      <c r="D2" s="135"/>
      <c r="E2" s="134" t="s">
        <v>9</v>
      </c>
      <c r="F2" s="135"/>
      <c r="G2" s="134" t="s">
        <v>8</v>
      </c>
      <c r="H2" s="135"/>
      <c r="I2" s="134" t="s">
        <v>7</v>
      </c>
      <c r="J2" s="135"/>
      <c r="K2" s="134" t="s">
        <v>6</v>
      </c>
      <c r="L2" s="135"/>
      <c r="M2" s="134" t="s">
        <v>5</v>
      </c>
      <c r="N2" s="135"/>
      <c r="O2" s="134" t="s">
        <v>12</v>
      </c>
      <c r="P2" s="135"/>
      <c r="Q2" s="134" t="s">
        <v>11</v>
      </c>
      <c r="R2" s="135"/>
      <c r="S2" s="134" t="s">
        <v>13</v>
      </c>
      <c r="T2" s="135"/>
      <c r="U2" s="134" t="s">
        <v>14</v>
      </c>
      <c r="V2" s="135"/>
      <c r="W2" s="134" t="s">
        <v>15</v>
      </c>
      <c r="X2" s="135"/>
      <c r="Y2" s="134" t="s">
        <v>16</v>
      </c>
      <c r="Z2" s="135"/>
    </row>
    <row r="3" spans="1:26">
      <c r="A3">
        <f>Neaps!A3</f>
        <v>32</v>
      </c>
      <c r="C3" s="138" t="s">
        <v>0</v>
      </c>
      <c r="D3" s="139"/>
      <c r="E3" s="138" t="s">
        <v>0</v>
      </c>
      <c r="F3" s="139"/>
      <c r="G3" s="138" t="s">
        <v>0</v>
      </c>
      <c r="H3" s="139"/>
      <c r="I3" s="138" t="s">
        <v>0</v>
      </c>
      <c r="J3" s="139"/>
      <c r="K3" s="138" t="s">
        <v>0</v>
      </c>
      <c r="L3" s="139"/>
      <c r="M3" s="138" t="s">
        <v>0</v>
      </c>
      <c r="N3" s="139"/>
      <c r="O3" s="138" t="s">
        <v>0</v>
      </c>
      <c r="P3" s="139"/>
      <c r="Q3" s="138" t="s">
        <v>0</v>
      </c>
      <c r="R3" s="139"/>
      <c r="S3" s="138" t="s">
        <v>0</v>
      </c>
      <c r="T3" s="139"/>
      <c r="U3" s="138" t="s">
        <v>0</v>
      </c>
      <c r="V3" s="139"/>
      <c r="W3" s="138" t="s">
        <v>0</v>
      </c>
      <c r="X3" s="139"/>
      <c r="Y3" s="138" t="s">
        <v>0</v>
      </c>
      <c r="Z3" s="139"/>
    </row>
    <row r="4" spans="1:26">
      <c r="C4" s="136">
        <f>Inputs!I6</f>
        <v>0.15431999999999998</v>
      </c>
      <c r="D4" s="137"/>
      <c r="E4" s="136">
        <f>Inputs!I7</f>
        <v>1.0287999999999999</v>
      </c>
      <c r="F4" s="137"/>
      <c r="G4" s="136">
        <f>Inputs!I8</f>
        <v>1.6975199999999997</v>
      </c>
      <c r="H4" s="137"/>
      <c r="I4" s="136">
        <f>Inputs!I9</f>
        <v>1.7489599999999998</v>
      </c>
      <c r="J4" s="137"/>
      <c r="K4" s="136">
        <f>Inputs!I10</f>
        <v>1.5431999999999999</v>
      </c>
      <c r="L4" s="137"/>
      <c r="M4" s="136">
        <f>Inputs!I11</f>
        <v>0.66871999999999998</v>
      </c>
      <c r="N4" s="137"/>
      <c r="O4" s="136">
        <f>Inputs!I12</f>
        <v>0.10288</v>
      </c>
      <c r="P4" s="137"/>
      <c r="Q4" s="136">
        <f>Inputs!I13</f>
        <v>0.72015999999999991</v>
      </c>
      <c r="R4" s="137"/>
      <c r="S4" s="136">
        <f>Inputs!I14</f>
        <v>1.2345599999999999</v>
      </c>
      <c r="T4" s="137"/>
      <c r="U4" s="136">
        <f>Inputs!I15</f>
        <v>1.6975199999999997</v>
      </c>
      <c r="V4" s="137"/>
      <c r="W4" s="136">
        <f>Inputs!I16</f>
        <v>1.5946400000000001</v>
      </c>
      <c r="X4" s="137"/>
      <c r="Y4" s="136">
        <f>Inputs!I17</f>
        <v>1.13168</v>
      </c>
      <c r="Z4" s="137"/>
    </row>
    <row r="5" spans="1:26">
      <c r="C5" s="2" t="s">
        <v>1</v>
      </c>
      <c r="D5" s="1" t="s">
        <v>2</v>
      </c>
      <c r="E5" s="2" t="s">
        <v>1</v>
      </c>
      <c r="F5" s="1" t="s">
        <v>2</v>
      </c>
      <c r="G5" s="2" t="s">
        <v>1</v>
      </c>
      <c r="H5" s="1" t="s">
        <v>2</v>
      </c>
      <c r="I5" s="2" t="s">
        <v>1</v>
      </c>
      <c r="J5" s="1" t="s">
        <v>2</v>
      </c>
      <c r="K5" s="2" t="s">
        <v>1</v>
      </c>
      <c r="L5" s="1" t="s">
        <v>2</v>
      </c>
      <c r="M5" s="2" t="s">
        <v>1</v>
      </c>
      <c r="N5" s="1" t="s">
        <v>2</v>
      </c>
      <c r="O5" s="2" t="s">
        <v>1</v>
      </c>
      <c r="P5" s="1" t="s">
        <v>2</v>
      </c>
      <c r="Q5" s="2" t="s">
        <v>1</v>
      </c>
      <c r="R5" s="1" t="s">
        <v>2</v>
      </c>
      <c r="S5" s="2" t="s">
        <v>1</v>
      </c>
      <c r="T5" s="1" t="s">
        <v>2</v>
      </c>
      <c r="U5" s="2" t="s">
        <v>1</v>
      </c>
      <c r="V5" s="1" t="s">
        <v>2</v>
      </c>
      <c r="W5" s="2" t="s">
        <v>1</v>
      </c>
      <c r="X5" s="1" t="s">
        <v>2</v>
      </c>
      <c r="Y5" s="2" t="s">
        <v>1</v>
      </c>
      <c r="Z5" s="1" t="s">
        <v>2</v>
      </c>
    </row>
    <row r="6" spans="1:26">
      <c r="C6" s="5"/>
      <c r="D6" s="7"/>
      <c r="E6" s="5"/>
      <c r="F6" s="3">
        <f t="shared" ref="F6:F11" si="0">$E$4*(E6/$A$3)^(1/7)</f>
        <v>0</v>
      </c>
      <c r="G6" s="6"/>
      <c r="H6" s="3">
        <f t="shared" ref="H6:H11" si="1">$G$4*(G6/$A$3)^(1/7)</f>
        <v>0</v>
      </c>
      <c r="I6" s="6"/>
      <c r="J6" s="3">
        <f t="shared" ref="J6:J11" si="2">$I$4*(I6/$A$3)^(1/7)</f>
        <v>0</v>
      </c>
      <c r="K6" s="6"/>
      <c r="L6" s="3">
        <f t="shared" ref="L6:L11" si="3">$K$4*(K6/$A$3)^(1/7)</f>
        <v>0</v>
      </c>
      <c r="M6" s="6"/>
      <c r="N6" s="3">
        <f t="shared" ref="N6:N11" si="4">$M$4*(M6/$A$3)^(1/7)</f>
        <v>0</v>
      </c>
      <c r="O6" s="5">
        <f>2.27+$A$3</f>
        <v>34.270000000000003</v>
      </c>
      <c r="P6" s="3">
        <f t="shared" ref="P6:P11" si="5">$O$4*(O6/$A$3)^(1/7)</f>
        <v>0.10389220734362987</v>
      </c>
      <c r="Q6" s="5"/>
      <c r="R6" s="3">
        <f t="shared" ref="R6:R11" si="6">$Q$4*(Q6/$A$3)^(1/7)</f>
        <v>0</v>
      </c>
      <c r="S6" s="6"/>
      <c r="T6" s="3">
        <f t="shared" ref="T6:T11" si="7">$S$4*(S6/$A$3)^(1/7)</f>
        <v>0</v>
      </c>
      <c r="U6" s="6"/>
      <c r="V6" s="3">
        <f t="shared" ref="V6:V11" si="8">$U$4*(U6/$A$3)^(1/7)</f>
        <v>0</v>
      </c>
      <c r="W6" s="6"/>
      <c r="X6" s="3">
        <f t="shared" ref="X6:X11" si="9">$W$4*(W6/$A$3)^(1/7)</f>
        <v>0</v>
      </c>
      <c r="Y6" s="6"/>
      <c r="Z6" s="3">
        <f t="shared" ref="Z6:Z11" si="10">$Y$4*(Y6/$A$3)^(1/7)</f>
        <v>0</v>
      </c>
    </row>
    <row r="7" spans="1:26">
      <c r="C7" s="5"/>
      <c r="D7" s="7"/>
      <c r="E7" s="5"/>
      <c r="F7" s="3">
        <f t="shared" si="0"/>
        <v>0</v>
      </c>
      <c r="G7" s="6"/>
      <c r="H7" s="3">
        <f t="shared" si="1"/>
        <v>0</v>
      </c>
      <c r="I7" s="6"/>
      <c r="J7" s="3">
        <f t="shared" si="2"/>
        <v>0</v>
      </c>
      <c r="K7" s="6"/>
      <c r="L7" s="3">
        <f t="shared" si="3"/>
        <v>0</v>
      </c>
      <c r="M7" s="6">
        <f>2.11+$A$3</f>
        <v>34.11</v>
      </c>
      <c r="N7" s="3">
        <f t="shared" si="4"/>
        <v>0.67484803789383996</v>
      </c>
      <c r="O7" s="5">
        <f>Q7</f>
        <v>34.130000000000003</v>
      </c>
      <c r="P7" s="3">
        <f t="shared" si="5"/>
        <v>0.10383146934338376</v>
      </c>
      <c r="Q7" s="5">
        <f>2.13+$A$3</f>
        <v>34.130000000000003</v>
      </c>
      <c r="R7" s="3">
        <f t="shared" si="6"/>
        <v>0.72682028540368626</v>
      </c>
      <c r="S7" s="6"/>
      <c r="T7" s="3">
        <f t="shared" si="7"/>
        <v>0</v>
      </c>
      <c r="U7" s="6"/>
      <c r="V7" s="3">
        <f t="shared" si="8"/>
        <v>0</v>
      </c>
      <c r="W7" s="6"/>
      <c r="X7" s="3">
        <f t="shared" si="9"/>
        <v>0</v>
      </c>
      <c r="Y7" s="6"/>
      <c r="Z7" s="3">
        <f t="shared" si="10"/>
        <v>0</v>
      </c>
    </row>
    <row r="8" spans="1:26">
      <c r="C8" s="5"/>
      <c r="D8" s="7"/>
      <c r="E8" s="5"/>
      <c r="F8" s="3">
        <f t="shared" si="0"/>
        <v>0</v>
      </c>
      <c r="G8" s="6"/>
      <c r="H8" s="3">
        <f t="shared" si="1"/>
        <v>0</v>
      </c>
      <c r="I8" s="6"/>
      <c r="J8" s="3">
        <f t="shared" si="2"/>
        <v>0</v>
      </c>
      <c r="K8" s="6">
        <f>1.7+$A$3</f>
        <v>33.700000000000003</v>
      </c>
      <c r="L8" s="3">
        <f t="shared" si="3"/>
        <v>1.5546535831275996</v>
      </c>
      <c r="M8" s="6">
        <f>K8</f>
        <v>33.700000000000003</v>
      </c>
      <c r="N8" s="3">
        <f t="shared" si="4"/>
        <v>0.67368321935529318</v>
      </c>
      <c r="O8" s="5">
        <f>Q8</f>
        <v>33.72</v>
      </c>
      <c r="P8" s="3">
        <f t="shared" si="5"/>
        <v>0.10365235705129244</v>
      </c>
      <c r="Q8" s="5">
        <f>S8</f>
        <v>33.72</v>
      </c>
      <c r="R8" s="3">
        <f t="shared" si="6"/>
        <v>0.72556649935904705</v>
      </c>
      <c r="S8" s="6">
        <f>1.72+$A$3</f>
        <v>33.72</v>
      </c>
      <c r="T8" s="3">
        <f t="shared" si="7"/>
        <v>1.2438282846155093</v>
      </c>
      <c r="U8" s="6"/>
      <c r="V8" s="3">
        <f t="shared" si="8"/>
        <v>0</v>
      </c>
      <c r="W8" s="6"/>
      <c r="X8" s="3">
        <f t="shared" si="9"/>
        <v>0</v>
      </c>
      <c r="Y8" s="6"/>
      <c r="Z8" s="3">
        <f t="shared" si="10"/>
        <v>0</v>
      </c>
    </row>
    <row r="9" spans="1:26">
      <c r="C9" s="5"/>
      <c r="D9" s="7"/>
      <c r="E9" s="5"/>
      <c r="F9" s="3">
        <f t="shared" si="0"/>
        <v>0</v>
      </c>
      <c r="G9" s="6"/>
      <c r="H9" s="3">
        <f t="shared" si="1"/>
        <v>0</v>
      </c>
      <c r="I9" s="6">
        <f>1.16+A3</f>
        <v>33.159999999999997</v>
      </c>
      <c r="J9" s="3">
        <f t="shared" si="2"/>
        <v>1.7578794835797054</v>
      </c>
      <c r="K9" s="6">
        <f>I9</f>
        <v>33.159999999999997</v>
      </c>
      <c r="L9" s="3">
        <f t="shared" si="3"/>
        <v>1.5510701325703284</v>
      </c>
      <c r="M9" s="6">
        <f>K9</f>
        <v>33.159999999999997</v>
      </c>
      <c r="N9" s="3">
        <f t="shared" si="4"/>
        <v>0.67213039078047565</v>
      </c>
      <c r="O9" s="5">
        <f>Q9</f>
        <v>33.15</v>
      </c>
      <c r="P9" s="3">
        <f t="shared" si="5"/>
        <v>0.10340022013494955</v>
      </c>
      <c r="Q9" s="5">
        <f>S9</f>
        <v>33.15</v>
      </c>
      <c r="R9" s="3">
        <f t="shared" si="6"/>
        <v>0.72380154094464677</v>
      </c>
      <c r="S9" s="6">
        <f>U9</f>
        <v>33.15</v>
      </c>
      <c r="T9" s="3">
        <f t="shared" si="7"/>
        <v>1.2408026416193945</v>
      </c>
      <c r="U9" s="6">
        <f>1.15+$A$3</f>
        <v>33.15</v>
      </c>
      <c r="V9" s="3">
        <f t="shared" si="8"/>
        <v>1.7061036322266674</v>
      </c>
      <c r="W9" s="6"/>
      <c r="X9" s="3">
        <f t="shared" si="9"/>
        <v>0</v>
      </c>
      <c r="Y9" s="6"/>
      <c r="Z9" s="3">
        <f t="shared" si="10"/>
        <v>0</v>
      </c>
    </row>
    <row r="10" spans="1:26">
      <c r="C10" s="5"/>
      <c r="D10" s="7"/>
      <c r="E10" s="5"/>
      <c r="F10" s="3">
        <f t="shared" si="0"/>
        <v>0</v>
      </c>
      <c r="G10" s="6">
        <f>0.55++$A$3</f>
        <v>32.549999999999997</v>
      </c>
      <c r="H10" s="3">
        <f t="shared" si="1"/>
        <v>1.7016576386466868</v>
      </c>
      <c r="I10" s="6">
        <f>G10</f>
        <v>32.549999999999997</v>
      </c>
      <c r="J10" s="3">
        <f t="shared" si="2"/>
        <v>1.7532230216359805</v>
      </c>
      <c r="K10" s="6">
        <f>I10</f>
        <v>32.549999999999997</v>
      </c>
      <c r="L10" s="3">
        <f t="shared" si="3"/>
        <v>1.5469614896788064</v>
      </c>
      <c r="M10" s="6">
        <f>K10</f>
        <v>32.549999999999997</v>
      </c>
      <c r="N10" s="3">
        <f t="shared" si="4"/>
        <v>0.67034997886081615</v>
      </c>
      <c r="O10" s="5">
        <f>Q10</f>
        <v>32.549999999999997</v>
      </c>
      <c r="P10" s="3">
        <f t="shared" si="5"/>
        <v>0.1031307659785871</v>
      </c>
      <c r="Q10" s="5">
        <f>S10</f>
        <v>32.549999999999997</v>
      </c>
      <c r="R10" s="3">
        <f t="shared" si="6"/>
        <v>0.72191536185010963</v>
      </c>
      <c r="S10" s="6">
        <f>U10</f>
        <v>32.549999999999997</v>
      </c>
      <c r="T10" s="3">
        <f t="shared" si="7"/>
        <v>1.2375691917430451</v>
      </c>
      <c r="U10" s="6">
        <f>W10</f>
        <v>32.549999999999997</v>
      </c>
      <c r="V10" s="3">
        <f t="shared" si="8"/>
        <v>1.7016576386466868</v>
      </c>
      <c r="W10" s="6">
        <f>0.55+$A$3</f>
        <v>32.549999999999997</v>
      </c>
      <c r="X10" s="3">
        <f t="shared" si="9"/>
        <v>1.5985268726681001</v>
      </c>
      <c r="Y10" s="6"/>
      <c r="Z10" s="3">
        <f t="shared" si="10"/>
        <v>0</v>
      </c>
    </row>
    <row r="11" spans="1:26">
      <c r="C11" s="4"/>
      <c r="D11" s="3"/>
      <c r="E11" s="4">
        <f>0.06+$A$3</f>
        <v>32.06</v>
      </c>
      <c r="F11" s="3">
        <f t="shared" si="0"/>
        <v>1.0290753502439312</v>
      </c>
      <c r="G11" s="4">
        <f>E11</f>
        <v>32.06</v>
      </c>
      <c r="H11" s="3">
        <f t="shared" si="1"/>
        <v>1.6979743279024864</v>
      </c>
      <c r="I11" s="4">
        <f>G11</f>
        <v>32.06</v>
      </c>
      <c r="J11" s="3">
        <f t="shared" si="2"/>
        <v>1.749428095414683</v>
      </c>
      <c r="K11" s="4">
        <f>I11</f>
        <v>32.06</v>
      </c>
      <c r="L11" s="3">
        <f t="shared" si="3"/>
        <v>1.5436130253658968</v>
      </c>
      <c r="M11" s="4">
        <f>K11</f>
        <v>32.06</v>
      </c>
      <c r="N11" s="3">
        <f t="shared" si="4"/>
        <v>0.66889897765855533</v>
      </c>
      <c r="O11" s="4">
        <f>Q11</f>
        <v>32.119999999999997</v>
      </c>
      <c r="P11" s="3">
        <f t="shared" si="5"/>
        <v>0.10293502591425857</v>
      </c>
      <c r="Q11" s="4">
        <f>S11</f>
        <v>32.119999999999997</v>
      </c>
      <c r="R11" s="3">
        <f t="shared" si="6"/>
        <v>0.72054518139980994</v>
      </c>
      <c r="S11" s="6">
        <f>U11</f>
        <v>32.119999999999997</v>
      </c>
      <c r="T11" s="3">
        <f t="shared" si="7"/>
        <v>1.2352203109711029</v>
      </c>
      <c r="U11" s="6">
        <f>W11</f>
        <v>32.119999999999997</v>
      </c>
      <c r="V11" s="3">
        <f t="shared" si="8"/>
        <v>1.6984279275852663</v>
      </c>
      <c r="W11" s="6">
        <f>Y11</f>
        <v>32.119999999999997</v>
      </c>
      <c r="X11" s="3">
        <f t="shared" si="9"/>
        <v>1.595492901671008</v>
      </c>
      <c r="Y11" s="6">
        <f>0.12+$A$3</f>
        <v>32.119999999999997</v>
      </c>
      <c r="Z11" s="3">
        <f t="shared" si="10"/>
        <v>1.1322852850568443</v>
      </c>
    </row>
    <row r="12" spans="1:26">
      <c r="A12" s="8" t="s">
        <v>3</v>
      </c>
      <c r="B12" s="8"/>
      <c r="C12" s="9">
        <f>Neaps!C12</f>
        <v>32</v>
      </c>
      <c r="D12" s="10">
        <f>$C$4*(C12/$A$3)^(1/7)</f>
        <v>0.15431999999999998</v>
      </c>
      <c r="E12" s="9">
        <f>C12</f>
        <v>32</v>
      </c>
      <c r="F12" s="10">
        <f>$E$4*(E12/$A$3)^(1/7)</f>
        <v>1.0287999999999999</v>
      </c>
      <c r="G12" s="9">
        <f>Neaps!C12</f>
        <v>32</v>
      </c>
      <c r="H12" s="10">
        <f>$G$4*(G12/$A$3)^(1/7)</f>
        <v>1.6975199999999997</v>
      </c>
      <c r="I12" s="54">
        <f>Neaps!C12</f>
        <v>32</v>
      </c>
      <c r="J12" s="10">
        <f>$I$4*(I12/$A$3)^(1/7)</f>
        <v>1.7489599999999998</v>
      </c>
      <c r="K12" s="9">
        <f>Neaps!C12</f>
        <v>32</v>
      </c>
      <c r="L12" s="10">
        <f>$K$4*(K12/$A$3)^(1/7)</f>
        <v>1.5431999999999999</v>
      </c>
      <c r="M12" s="9">
        <f>Neaps!C12</f>
        <v>32</v>
      </c>
      <c r="N12" s="10">
        <f>$M$4*(M12/$A$3)^(1/7)</f>
        <v>0.66871999999999998</v>
      </c>
      <c r="O12" s="9">
        <f>Neaps!C12</f>
        <v>32</v>
      </c>
      <c r="P12" s="10">
        <f>$O$4*(O12/$A$3)^(1/7)</f>
        <v>0.10288</v>
      </c>
      <c r="Q12" s="9">
        <f>Neaps!C12</f>
        <v>32</v>
      </c>
      <c r="R12" s="10">
        <f>$Q$4*(Q12/$A$3)^(1/7)</f>
        <v>0.72015999999999991</v>
      </c>
      <c r="S12" s="9">
        <f>Neaps!C12</f>
        <v>32</v>
      </c>
      <c r="T12" s="10">
        <f>$S$4*(S12/$A$3)^(1/7)</f>
        <v>1.2345599999999999</v>
      </c>
      <c r="U12" s="9">
        <f>Neaps!C12</f>
        <v>32</v>
      </c>
      <c r="V12" s="10">
        <f>$U$4*(U12/$A$3)^(1/7)</f>
        <v>1.6975199999999997</v>
      </c>
      <c r="W12" s="9">
        <f>Neaps!C12</f>
        <v>32</v>
      </c>
      <c r="X12" s="10">
        <f>$W$4*(W12/$A$3)^(1/7)</f>
        <v>1.5946400000000001</v>
      </c>
      <c r="Y12" s="9">
        <f>Neaps!C12</f>
        <v>32</v>
      </c>
      <c r="Z12" s="10">
        <f>$Y$4*(Y12/$A$3)^(1/7)</f>
        <v>1.13168</v>
      </c>
    </row>
    <row r="13" spans="1:26">
      <c r="C13" s="54">
        <f>Neaps!C13</f>
        <v>31</v>
      </c>
      <c r="D13" s="3">
        <f t="shared" ref="D13:D43" si="11">$C$4*(C13/$A$3)^(1/7)</f>
        <v>0.15362166213073492</v>
      </c>
      <c r="E13" s="54">
        <f t="shared" ref="E13:E43" si="12">C13</f>
        <v>31</v>
      </c>
      <c r="F13" s="3">
        <f t="shared" ref="F13:F43" si="13">$E$4*(E13/$A$3)^(1/7)</f>
        <v>1.0241444142048994</v>
      </c>
      <c r="G13" s="54">
        <f>Neaps!C13</f>
        <v>31</v>
      </c>
      <c r="H13" s="3">
        <f t="shared" ref="H13:H43" si="14">$G$4*(G13/$A$3)^(1/7)</f>
        <v>1.6898382834380838</v>
      </c>
      <c r="I13" s="54">
        <f>Neaps!C13</f>
        <v>31</v>
      </c>
      <c r="J13" s="3">
        <f t="shared" ref="J13:J43" si="15">$I$4*(I13/$A$3)^(1/7)</f>
        <v>1.741045504148329</v>
      </c>
      <c r="K13" s="54">
        <f>Neaps!C13</f>
        <v>31</v>
      </c>
      <c r="L13" s="3">
        <f t="shared" ref="L13:L43" si="16">$K$4*(K13/$A$3)^(1/7)</f>
        <v>1.5362166213073492</v>
      </c>
      <c r="M13" s="54">
        <f>Neaps!C13</f>
        <v>31</v>
      </c>
      <c r="N13" s="3">
        <f t="shared" ref="N13:N43" si="17">$M$4*(M13/$A$3)^(1/7)</f>
        <v>0.66569386923318463</v>
      </c>
      <c r="O13" s="54">
        <f>Neaps!C13</f>
        <v>31</v>
      </c>
      <c r="P13" s="3">
        <f t="shared" ref="P13:P43" si="18">$O$4*(O13/$A$3)^(1/7)</f>
        <v>0.10241444142048996</v>
      </c>
      <c r="Q13" s="54">
        <f>Neaps!C13</f>
        <v>31</v>
      </c>
      <c r="R13" s="3">
        <f t="shared" ref="R13:R43" si="19">$Q$4*(Q13/$A$3)^(1/7)</f>
        <v>0.7169010899434296</v>
      </c>
      <c r="S13" s="54">
        <f>Neaps!C13</f>
        <v>31</v>
      </c>
      <c r="T13" s="3">
        <f t="shared" ref="T13:T43" si="20">$S$4*(S13/$A$3)^(1/7)</f>
        <v>1.2289732970458793</v>
      </c>
      <c r="U13" s="54">
        <f>Neaps!C13</f>
        <v>31</v>
      </c>
      <c r="V13" s="3">
        <f t="shared" ref="V13:V43" si="21">$U$4*(U13/$A$3)^(1/7)</f>
        <v>1.6898382834380838</v>
      </c>
      <c r="W13" s="54">
        <f>Neaps!C13</f>
        <v>31</v>
      </c>
      <c r="X13" s="3">
        <f t="shared" ref="X13:X43" si="22">$W$4*(W13/$A$3)^(1/7)</f>
        <v>1.5874238420175943</v>
      </c>
      <c r="Y13" s="54">
        <f>Neaps!C13</f>
        <v>31</v>
      </c>
      <c r="Z13" s="3">
        <f t="shared" ref="Z13:Z43" si="23">$Y$4*(Y13/$A$3)^(1/7)</f>
        <v>1.1265588556253896</v>
      </c>
    </row>
    <row r="14" spans="1:26">
      <c r="C14" s="54">
        <f>Neaps!C14</f>
        <v>30</v>
      </c>
      <c r="D14" s="3">
        <f t="shared" si="11"/>
        <v>0.15290374103913612</v>
      </c>
      <c r="E14" s="54">
        <f t="shared" si="12"/>
        <v>30</v>
      </c>
      <c r="F14" s="3">
        <f t="shared" si="13"/>
        <v>1.0193582735942408</v>
      </c>
      <c r="G14" s="54">
        <f>Neaps!C14</f>
        <v>30</v>
      </c>
      <c r="H14" s="3">
        <f t="shared" si="14"/>
        <v>1.6819411514304969</v>
      </c>
      <c r="I14" s="54">
        <f>Neaps!C14</f>
        <v>30</v>
      </c>
      <c r="J14" s="3">
        <f t="shared" si="15"/>
        <v>1.7329090651102093</v>
      </c>
      <c r="K14" s="54">
        <f>Neaps!C14</f>
        <v>30</v>
      </c>
      <c r="L14" s="3">
        <f t="shared" si="16"/>
        <v>1.5290374103913611</v>
      </c>
      <c r="M14" s="54">
        <f>Neaps!C14</f>
        <v>30</v>
      </c>
      <c r="N14" s="3">
        <f t="shared" si="17"/>
        <v>0.66258287783625647</v>
      </c>
      <c r="O14" s="54">
        <f>Neaps!C14</f>
        <v>30</v>
      </c>
      <c r="P14" s="3">
        <f t="shared" si="18"/>
        <v>0.10193582735942408</v>
      </c>
      <c r="Q14" s="54">
        <f>Neaps!C14</f>
        <v>30</v>
      </c>
      <c r="R14" s="3">
        <f t="shared" si="19"/>
        <v>0.71355079151596845</v>
      </c>
      <c r="S14" s="54">
        <f>Neaps!C14</f>
        <v>30</v>
      </c>
      <c r="T14" s="3">
        <f t="shared" si="20"/>
        <v>1.223229928313089</v>
      </c>
      <c r="U14" s="54">
        <f>Neaps!C14</f>
        <v>30</v>
      </c>
      <c r="V14" s="3">
        <f t="shared" si="21"/>
        <v>1.6819411514304969</v>
      </c>
      <c r="W14" s="54">
        <f>Neaps!C14</f>
        <v>30</v>
      </c>
      <c r="X14" s="3">
        <f t="shared" si="22"/>
        <v>1.5800053240710734</v>
      </c>
      <c r="Y14" s="54">
        <f>Neaps!C14</f>
        <v>30</v>
      </c>
      <c r="Z14" s="3">
        <f t="shared" si="23"/>
        <v>1.121294100953665</v>
      </c>
    </row>
    <row r="15" spans="1:26">
      <c r="C15" s="54">
        <f>Neaps!C15</f>
        <v>29</v>
      </c>
      <c r="D15" s="3">
        <f t="shared" si="11"/>
        <v>0.15216500648958059</v>
      </c>
      <c r="E15" s="54">
        <f t="shared" si="12"/>
        <v>29</v>
      </c>
      <c r="F15" s="3">
        <f t="shared" si="13"/>
        <v>1.014433376597204</v>
      </c>
      <c r="G15" s="54">
        <f>Neaps!C15</f>
        <v>29</v>
      </c>
      <c r="H15" s="3">
        <f t="shared" si="14"/>
        <v>1.6738150713853863</v>
      </c>
      <c r="I15" s="54">
        <f>Neaps!C15</f>
        <v>29</v>
      </c>
      <c r="J15" s="3">
        <f t="shared" si="15"/>
        <v>1.7245367402152465</v>
      </c>
      <c r="K15" s="54">
        <f>Neaps!C15</f>
        <v>29</v>
      </c>
      <c r="L15" s="3">
        <f t="shared" si="16"/>
        <v>1.5216500648958058</v>
      </c>
      <c r="M15" s="54">
        <f>Neaps!C15</f>
        <v>29</v>
      </c>
      <c r="N15" s="3">
        <f t="shared" si="17"/>
        <v>0.65938169478818254</v>
      </c>
      <c r="O15" s="54">
        <f>Neaps!C15</f>
        <v>29</v>
      </c>
      <c r="P15" s="3">
        <f t="shared" si="18"/>
        <v>0.1014433376597204</v>
      </c>
      <c r="Q15" s="54">
        <f>Neaps!C15</f>
        <v>29</v>
      </c>
      <c r="R15" s="3">
        <f t="shared" si="19"/>
        <v>0.71010336361804272</v>
      </c>
      <c r="S15" s="54">
        <f>Neaps!C15</f>
        <v>29</v>
      </c>
      <c r="T15" s="3">
        <f t="shared" si="20"/>
        <v>1.2173200519166447</v>
      </c>
      <c r="U15" s="54">
        <f>Neaps!C15</f>
        <v>29</v>
      </c>
      <c r="V15" s="3">
        <f t="shared" si="21"/>
        <v>1.6738150713853863</v>
      </c>
      <c r="W15" s="54">
        <f>Neaps!C15</f>
        <v>29</v>
      </c>
      <c r="X15" s="3">
        <f t="shared" si="22"/>
        <v>1.5723717337256662</v>
      </c>
      <c r="Y15" s="54">
        <f>Neaps!C15</f>
        <v>29</v>
      </c>
      <c r="Z15" s="3">
        <f t="shared" si="23"/>
        <v>1.1158767142569244</v>
      </c>
    </row>
    <row r="16" spans="1:26">
      <c r="C16" s="54">
        <f>Neaps!C16</f>
        <v>28</v>
      </c>
      <c r="D16" s="3">
        <f t="shared" si="11"/>
        <v>0.15140410517006872</v>
      </c>
      <c r="E16" s="54">
        <f t="shared" si="12"/>
        <v>28</v>
      </c>
      <c r="F16" s="3">
        <f t="shared" si="13"/>
        <v>1.0093607011337915</v>
      </c>
      <c r="G16" s="54">
        <f>Neaps!C16</f>
        <v>28</v>
      </c>
      <c r="H16" s="3">
        <f t="shared" si="14"/>
        <v>1.6654451568707558</v>
      </c>
      <c r="I16" s="54">
        <f>Neaps!C16</f>
        <v>28</v>
      </c>
      <c r="J16" s="3">
        <f t="shared" si="15"/>
        <v>1.7159131919274455</v>
      </c>
      <c r="K16" s="54">
        <f>Neaps!C16</f>
        <v>28</v>
      </c>
      <c r="L16" s="3">
        <f t="shared" si="16"/>
        <v>1.5140410517006873</v>
      </c>
      <c r="M16" s="54">
        <f>Neaps!C16</f>
        <v>28</v>
      </c>
      <c r="N16" s="3">
        <f t="shared" si="17"/>
        <v>0.6560844557369645</v>
      </c>
      <c r="O16" s="54">
        <f>Neaps!C16</f>
        <v>28</v>
      </c>
      <c r="P16" s="3">
        <f t="shared" si="18"/>
        <v>0.10093607011337916</v>
      </c>
      <c r="Q16" s="54">
        <f>Neaps!C16</f>
        <v>28</v>
      </c>
      <c r="R16" s="3">
        <f t="shared" si="19"/>
        <v>0.70655249079365401</v>
      </c>
      <c r="S16" s="54">
        <f>Neaps!C16</f>
        <v>28</v>
      </c>
      <c r="T16" s="3">
        <f t="shared" si="20"/>
        <v>1.2112328413605498</v>
      </c>
      <c r="U16" s="54">
        <f>Neaps!C16</f>
        <v>28</v>
      </c>
      <c r="V16" s="3">
        <f t="shared" si="21"/>
        <v>1.6654451568707558</v>
      </c>
      <c r="W16" s="54">
        <f>Neaps!C16</f>
        <v>28</v>
      </c>
      <c r="X16" s="3">
        <f t="shared" si="22"/>
        <v>1.564509086757377</v>
      </c>
      <c r="Y16" s="54">
        <f>Neaps!C16</f>
        <v>28</v>
      </c>
      <c r="Z16" s="3">
        <f t="shared" si="23"/>
        <v>1.1102967712471707</v>
      </c>
    </row>
    <row r="17" spans="1:26">
      <c r="C17" s="54">
        <f>Neaps!C17</f>
        <v>27</v>
      </c>
      <c r="D17" s="3">
        <f t="shared" si="11"/>
        <v>0.15061954346446757</v>
      </c>
      <c r="E17" s="54">
        <f t="shared" si="12"/>
        <v>27</v>
      </c>
      <c r="F17" s="3">
        <f t="shared" si="13"/>
        <v>1.0041302897631172</v>
      </c>
      <c r="G17" s="54">
        <f>Neaps!C17</f>
        <v>27</v>
      </c>
      <c r="H17" s="3">
        <f t="shared" si="14"/>
        <v>1.6568149781091432</v>
      </c>
      <c r="I17" s="54">
        <f>Neaps!C17</f>
        <v>27</v>
      </c>
      <c r="J17" s="3">
        <f t="shared" si="15"/>
        <v>1.7070214925972993</v>
      </c>
      <c r="K17" s="54">
        <f>Neaps!C17</f>
        <v>27</v>
      </c>
      <c r="L17" s="3">
        <f t="shared" si="16"/>
        <v>1.5061954346446758</v>
      </c>
      <c r="M17" s="54">
        <f>Neaps!C17</f>
        <v>27</v>
      </c>
      <c r="N17" s="3">
        <f t="shared" si="17"/>
        <v>0.65268468834602622</v>
      </c>
      <c r="O17" s="54">
        <f>Neaps!C17</f>
        <v>27</v>
      </c>
      <c r="P17" s="3">
        <f t="shared" si="18"/>
        <v>0.10041302897631173</v>
      </c>
      <c r="Q17" s="54">
        <f>Neaps!C17</f>
        <v>27</v>
      </c>
      <c r="R17" s="3">
        <f t="shared" si="19"/>
        <v>0.70289120283418205</v>
      </c>
      <c r="S17" s="54">
        <f>Neaps!C17</f>
        <v>27</v>
      </c>
      <c r="T17" s="3">
        <f t="shared" si="20"/>
        <v>1.2049563477157406</v>
      </c>
      <c r="U17" s="54">
        <f>Neaps!C17</f>
        <v>27</v>
      </c>
      <c r="V17" s="3">
        <f t="shared" si="21"/>
        <v>1.6568149781091432</v>
      </c>
      <c r="W17" s="54">
        <f>Neaps!C17</f>
        <v>27</v>
      </c>
      <c r="X17" s="3">
        <f t="shared" si="22"/>
        <v>1.5564019491328318</v>
      </c>
      <c r="Y17" s="54">
        <f>Neaps!C17</f>
        <v>27</v>
      </c>
      <c r="Z17" s="3">
        <f t="shared" si="23"/>
        <v>1.1045433187394289</v>
      </c>
    </row>
    <row r="18" spans="1:26">
      <c r="A18">
        <v>0.95799999999999996</v>
      </c>
      <c r="C18" s="54">
        <f>Neaps!C18</f>
        <v>26</v>
      </c>
      <c r="D18" s="3">
        <f t="shared" si="11"/>
        <v>0.14980966707330604</v>
      </c>
      <c r="E18" s="54">
        <f t="shared" si="12"/>
        <v>26</v>
      </c>
      <c r="F18" s="3">
        <f t="shared" si="13"/>
        <v>0.99873111382204027</v>
      </c>
      <c r="G18" s="54">
        <f>Neaps!C18</f>
        <v>26</v>
      </c>
      <c r="H18" s="3">
        <f t="shared" si="14"/>
        <v>1.6479063378063661</v>
      </c>
      <c r="I18" s="54">
        <f>Neaps!C18</f>
        <v>26</v>
      </c>
      <c r="J18" s="3">
        <f t="shared" si="15"/>
        <v>1.6978428934974683</v>
      </c>
      <c r="K18" s="54">
        <f>Neaps!C18</f>
        <v>26</v>
      </c>
      <c r="L18" s="3">
        <f t="shared" si="16"/>
        <v>1.4980966707330603</v>
      </c>
      <c r="M18" s="54">
        <f>Neaps!C18</f>
        <v>26</v>
      </c>
      <c r="N18" s="3">
        <f t="shared" si="17"/>
        <v>0.64917522398432614</v>
      </c>
      <c r="O18" s="54">
        <f>Neaps!C18</f>
        <v>26</v>
      </c>
      <c r="P18" s="3">
        <f t="shared" si="18"/>
        <v>9.9873111382204033E-2</v>
      </c>
      <c r="Q18" s="54">
        <f>Neaps!C18</f>
        <v>26</v>
      </c>
      <c r="R18" s="3">
        <f t="shared" si="19"/>
        <v>0.69911177967542815</v>
      </c>
      <c r="S18" s="54">
        <f>Neaps!C18</f>
        <v>26</v>
      </c>
      <c r="T18" s="3">
        <f t="shared" si="20"/>
        <v>1.1984773365864483</v>
      </c>
      <c r="U18" s="54">
        <f>Neaps!C18</f>
        <v>26</v>
      </c>
      <c r="V18" s="3">
        <f t="shared" si="21"/>
        <v>1.6479063378063661</v>
      </c>
      <c r="W18" s="54">
        <f>Neaps!C18</f>
        <v>26</v>
      </c>
      <c r="X18" s="3">
        <f t="shared" si="22"/>
        <v>1.5480332264241625</v>
      </c>
      <c r="Y18" s="54">
        <f>Neaps!C18</f>
        <v>26</v>
      </c>
      <c r="Z18" s="3">
        <f t="shared" si="23"/>
        <v>1.0986042252042443</v>
      </c>
    </row>
    <row r="19" spans="1:26">
      <c r="C19" s="54">
        <f>Neaps!C19</f>
        <v>25</v>
      </c>
      <c r="D19" s="3">
        <f t="shared" si="11"/>
        <v>0.14897263676063155</v>
      </c>
      <c r="E19" s="54">
        <f t="shared" si="12"/>
        <v>25</v>
      </c>
      <c r="F19" s="3">
        <f t="shared" si="13"/>
        <v>0.99315091173754377</v>
      </c>
      <c r="G19" s="54">
        <f>Neaps!C19</f>
        <v>25</v>
      </c>
      <c r="H19" s="3">
        <f t="shared" si="14"/>
        <v>1.6386990043669472</v>
      </c>
      <c r="I19" s="54">
        <f>Neaps!C19</f>
        <v>25</v>
      </c>
      <c r="J19" s="3">
        <f t="shared" si="15"/>
        <v>1.6883565499538244</v>
      </c>
      <c r="K19" s="54">
        <f>Neaps!C19</f>
        <v>25</v>
      </c>
      <c r="L19" s="3">
        <f t="shared" si="16"/>
        <v>1.4897263676063157</v>
      </c>
      <c r="M19" s="54">
        <f>Neaps!C19</f>
        <v>25</v>
      </c>
      <c r="N19" s="3">
        <f t="shared" si="17"/>
        <v>0.64554809262940349</v>
      </c>
      <c r="O19" s="54">
        <f>Neaps!C19</f>
        <v>25</v>
      </c>
      <c r="P19" s="3">
        <f t="shared" si="18"/>
        <v>9.931509117375438E-2</v>
      </c>
      <c r="Q19" s="54">
        <f>Neaps!C19</f>
        <v>25</v>
      </c>
      <c r="R19" s="3">
        <f t="shared" si="19"/>
        <v>0.69520563821628056</v>
      </c>
      <c r="S19" s="54">
        <f>Neaps!C19</f>
        <v>25</v>
      </c>
      <c r="T19" s="3">
        <f t="shared" si="20"/>
        <v>1.1917810940850524</v>
      </c>
      <c r="U19" s="54">
        <f>Neaps!C19</f>
        <v>25</v>
      </c>
      <c r="V19" s="3">
        <f t="shared" si="21"/>
        <v>1.6386990043669472</v>
      </c>
      <c r="W19" s="54">
        <f>Neaps!C19</f>
        <v>25</v>
      </c>
      <c r="X19" s="3">
        <f t="shared" si="22"/>
        <v>1.539383913193193</v>
      </c>
      <c r="Y19" s="54">
        <f>Neaps!C19</f>
        <v>25</v>
      </c>
      <c r="Z19" s="3">
        <f t="shared" si="23"/>
        <v>1.0924660029112983</v>
      </c>
    </row>
    <row r="20" spans="1:26">
      <c r="C20" s="54">
        <f>Neaps!C20</f>
        <v>24</v>
      </c>
      <c r="D20" s="3">
        <f t="shared" si="11"/>
        <v>0.14810639930259259</v>
      </c>
      <c r="E20" s="54">
        <f t="shared" si="12"/>
        <v>24</v>
      </c>
      <c r="F20" s="3">
        <f t="shared" si="13"/>
        <v>0.98737599535061726</v>
      </c>
      <c r="G20" s="54">
        <f>Neaps!C20</f>
        <v>24</v>
      </c>
      <c r="H20" s="3">
        <f t="shared" si="14"/>
        <v>1.6291703923285181</v>
      </c>
      <c r="I20" s="54">
        <f>Neaps!C20</f>
        <v>24</v>
      </c>
      <c r="J20" s="3">
        <f t="shared" si="15"/>
        <v>1.6785391920960493</v>
      </c>
      <c r="K20" s="54">
        <f>Neaps!C20</f>
        <v>24</v>
      </c>
      <c r="L20" s="3">
        <f t="shared" si="16"/>
        <v>1.4810639930259257</v>
      </c>
      <c r="M20" s="54">
        <f>Neaps!C20</f>
        <v>24</v>
      </c>
      <c r="N20" s="3">
        <f t="shared" si="17"/>
        <v>0.64179439697790119</v>
      </c>
      <c r="O20" s="54">
        <f>Neaps!C20</f>
        <v>24</v>
      </c>
      <c r="P20" s="3">
        <f t="shared" si="18"/>
        <v>9.8737599535061726E-2</v>
      </c>
      <c r="Q20" s="54">
        <f>Neaps!C20</f>
        <v>24</v>
      </c>
      <c r="R20" s="3">
        <f t="shared" si="19"/>
        <v>0.69116319674543203</v>
      </c>
      <c r="S20" s="54">
        <f>Neaps!C20</f>
        <v>24</v>
      </c>
      <c r="T20" s="3">
        <f t="shared" si="20"/>
        <v>1.1848511944207407</v>
      </c>
      <c r="U20" s="54">
        <f>Neaps!C20</f>
        <v>24</v>
      </c>
      <c r="V20" s="3">
        <f t="shared" si="21"/>
        <v>1.6291703923285181</v>
      </c>
      <c r="W20" s="54">
        <f>Neaps!C20</f>
        <v>24</v>
      </c>
      <c r="X20" s="3">
        <f t="shared" si="22"/>
        <v>1.5304327927934569</v>
      </c>
      <c r="Y20" s="54">
        <f>Neaps!C20</f>
        <v>24</v>
      </c>
      <c r="Z20" s="3">
        <f t="shared" si="23"/>
        <v>1.086113594885679</v>
      </c>
    </row>
    <row r="21" spans="1:26">
      <c r="C21" s="54">
        <f>Neaps!C21</f>
        <v>23</v>
      </c>
      <c r="D21" s="3">
        <f t="shared" si="11"/>
        <v>0.14720865244419346</v>
      </c>
      <c r="E21" s="54">
        <f t="shared" si="12"/>
        <v>23</v>
      </c>
      <c r="F21" s="3">
        <f t="shared" si="13"/>
        <v>0.981391016294623</v>
      </c>
      <c r="G21" s="54">
        <f>Neaps!C21</f>
        <v>23</v>
      </c>
      <c r="H21" s="3">
        <f t="shared" si="14"/>
        <v>1.6192951768861279</v>
      </c>
      <c r="I21" s="54">
        <f>Neaps!C21</f>
        <v>23</v>
      </c>
      <c r="J21" s="3">
        <f t="shared" si="15"/>
        <v>1.6683647277008591</v>
      </c>
      <c r="K21" s="54">
        <f>Neaps!C21</f>
        <v>23</v>
      </c>
      <c r="L21" s="3">
        <f t="shared" si="16"/>
        <v>1.4720865244419346</v>
      </c>
      <c r="M21" s="54">
        <f>Neaps!C21</f>
        <v>23</v>
      </c>
      <c r="N21" s="3">
        <f t="shared" si="17"/>
        <v>0.63790416059150501</v>
      </c>
      <c r="O21" s="54">
        <f>Neaps!C21</f>
        <v>23</v>
      </c>
      <c r="P21" s="3">
        <f t="shared" si="18"/>
        <v>9.8139101629462308E-2</v>
      </c>
      <c r="Q21" s="54">
        <f>Neaps!C21</f>
        <v>23</v>
      </c>
      <c r="R21" s="3">
        <f t="shared" si="19"/>
        <v>0.68697371140623609</v>
      </c>
      <c r="S21" s="54">
        <f>Neaps!C21</f>
        <v>23</v>
      </c>
      <c r="T21" s="3">
        <f t="shared" si="20"/>
        <v>1.1776692195535476</v>
      </c>
      <c r="U21" s="54">
        <f>Neaps!C21</f>
        <v>23</v>
      </c>
      <c r="V21" s="3">
        <f t="shared" si="21"/>
        <v>1.6192951768861279</v>
      </c>
      <c r="W21" s="54">
        <f>Neaps!C21</f>
        <v>23</v>
      </c>
      <c r="X21" s="3">
        <f t="shared" si="22"/>
        <v>1.5211560752566657</v>
      </c>
      <c r="Y21" s="54">
        <f>Neaps!C21</f>
        <v>23</v>
      </c>
      <c r="Z21" s="3">
        <f t="shared" si="23"/>
        <v>1.0795301179240855</v>
      </c>
    </row>
    <row r="22" spans="1:26">
      <c r="C22" s="54">
        <f>Neaps!C22</f>
        <v>22</v>
      </c>
      <c r="D22" s="3">
        <f t="shared" si="11"/>
        <v>0.14627680230760598</v>
      </c>
      <c r="E22" s="54">
        <f t="shared" si="12"/>
        <v>22</v>
      </c>
      <c r="F22" s="3">
        <f t="shared" si="13"/>
        <v>0.97517868205070657</v>
      </c>
      <c r="G22" s="54">
        <f>Neaps!C22</f>
        <v>22</v>
      </c>
      <c r="H22" s="3">
        <f t="shared" si="14"/>
        <v>1.6090448253836656</v>
      </c>
      <c r="I22" s="54">
        <f>Neaps!C22</f>
        <v>22</v>
      </c>
      <c r="J22" s="3">
        <f t="shared" si="15"/>
        <v>1.6578037594862012</v>
      </c>
      <c r="K22" s="54">
        <f>Neaps!C22</f>
        <v>22</v>
      </c>
      <c r="L22" s="3">
        <f t="shared" si="16"/>
        <v>1.4627680230760598</v>
      </c>
      <c r="M22" s="54">
        <f>Neaps!C22</f>
        <v>22</v>
      </c>
      <c r="N22" s="3">
        <f t="shared" si="17"/>
        <v>0.63386614333295932</v>
      </c>
      <c r="O22" s="54">
        <f>Neaps!C22</f>
        <v>22</v>
      </c>
      <c r="P22" s="3">
        <f t="shared" si="18"/>
        <v>9.7517868205070662E-2</v>
      </c>
      <c r="Q22" s="54">
        <f>Neaps!C22</f>
        <v>22</v>
      </c>
      <c r="R22" s="3">
        <f t="shared" si="19"/>
        <v>0.6826250774354945</v>
      </c>
      <c r="S22" s="54">
        <f>Neaps!C22</f>
        <v>22</v>
      </c>
      <c r="T22" s="3">
        <f t="shared" si="20"/>
        <v>1.1702144184608478</v>
      </c>
      <c r="U22" s="54">
        <f>Neaps!C22</f>
        <v>22</v>
      </c>
      <c r="V22" s="3">
        <f t="shared" si="21"/>
        <v>1.6090448253836656</v>
      </c>
      <c r="W22" s="54">
        <f>Neaps!C22</f>
        <v>22</v>
      </c>
      <c r="X22" s="3">
        <f t="shared" si="22"/>
        <v>1.5115269571785952</v>
      </c>
      <c r="Y22" s="54">
        <f>Neaps!C22</f>
        <v>22</v>
      </c>
      <c r="Z22" s="3">
        <f t="shared" si="23"/>
        <v>1.0726965502557773</v>
      </c>
    </row>
    <row r="23" spans="1:26">
      <c r="A23" t="s">
        <v>4</v>
      </c>
      <c r="C23" s="54">
        <f>Neaps!C23</f>
        <v>21</v>
      </c>
      <c r="D23" s="3">
        <f t="shared" si="11"/>
        <v>0.14530791119990877</v>
      </c>
      <c r="E23" s="54">
        <f t="shared" si="12"/>
        <v>21</v>
      </c>
      <c r="F23" s="3">
        <f t="shared" si="13"/>
        <v>0.96871940799939182</v>
      </c>
      <c r="G23" s="54">
        <f>Neaps!C23</f>
        <v>21</v>
      </c>
      <c r="H23" s="3">
        <f t="shared" si="14"/>
        <v>1.5983870231989963</v>
      </c>
      <c r="I23" s="54">
        <f>Neaps!C23</f>
        <v>21</v>
      </c>
      <c r="J23" s="3">
        <f t="shared" si="15"/>
        <v>1.646822993598966</v>
      </c>
      <c r="K23" s="54">
        <f>Neaps!C23</f>
        <v>21</v>
      </c>
      <c r="L23" s="3">
        <f t="shared" si="16"/>
        <v>1.4530791119990878</v>
      </c>
      <c r="M23" s="54">
        <f>Neaps!C23</f>
        <v>21</v>
      </c>
      <c r="N23" s="3">
        <f t="shared" si="17"/>
        <v>0.62966761519960468</v>
      </c>
      <c r="O23" s="54">
        <f>Neaps!C23</f>
        <v>21</v>
      </c>
      <c r="P23" s="3">
        <f t="shared" si="18"/>
        <v>9.6871940799939188E-2</v>
      </c>
      <c r="Q23" s="54">
        <f>Neaps!C23</f>
        <v>21</v>
      </c>
      <c r="R23" s="3">
        <f t="shared" si="19"/>
        <v>0.67810358559957418</v>
      </c>
      <c r="S23" s="54">
        <f>Neaps!C23</f>
        <v>21</v>
      </c>
      <c r="T23" s="3">
        <f t="shared" si="20"/>
        <v>1.1624632895992701</v>
      </c>
      <c r="U23" s="54">
        <f>Neaps!C23</f>
        <v>21</v>
      </c>
      <c r="V23" s="3">
        <f t="shared" si="21"/>
        <v>1.5983870231989963</v>
      </c>
      <c r="W23" s="54">
        <f>Neaps!C23</f>
        <v>21</v>
      </c>
      <c r="X23" s="3">
        <f t="shared" si="22"/>
        <v>1.5015150823990575</v>
      </c>
      <c r="Y23" s="54">
        <f>Neaps!C23</f>
        <v>21</v>
      </c>
      <c r="Z23" s="3">
        <f t="shared" si="23"/>
        <v>1.0655913487993312</v>
      </c>
    </row>
    <row r="24" spans="1:26">
      <c r="C24" s="54">
        <f>Neaps!C24</f>
        <v>20</v>
      </c>
      <c r="D24" s="3">
        <f t="shared" si="11"/>
        <v>0.14429863308303811</v>
      </c>
      <c r="E24" s="54">
        <f t="shared" si="12"/>
        <v>20</v>
      </c>
      <c r="F24" s="3">
        <f t="shared" si="13"/>
        <v>0.96199088722025416</v>
      </c>
      <c r="G24" s="54">
        <f>Neaps!C24</f>
        <v>20</v>
      </c>
      <c r="H24" s="3">
        <f t="shared" si="14"/>
        <v>1.5872849639134192</v>
      </c>
      <c r="I24" s="54">
        <f>Neaps!C24</f>
        <v>20</v>
      </c>
      <c r="J24" s="3">
        <f t="shared" si="15"/>
        <v>1.635384508274432</v>
      </c>
      <c r="K24" s="54">
        <f>Neaps!C24</f>
        <v>20</v>
      </c>
      <c r="L24" s="3">
        <f t="shared" si="16"/>
        <v>1.4429863308303812</v>
      </c>
      <c r="M24" s="54">
        <f>Neaps!C24</f>
        <v>20</v>
      </c>
      <c r="N24" s="3">
        <f t="shared" si="17"/>
        <v>0.62529407669316517</v>
      </c>
      <c r="O24" s="54">
        <f>Neaps!C24</f>
        <v>20</v>
      </c>
      <c r="P24" s="3">
        <f t="shared" si="18"/>
        <v>9.6199088722025428E-2</v>
      </c>
      <c r="Q24" s="54">
        <f>Neaps!C24</f>
        <v>20</v>
      </c>
      <c r="R24" s="3">
        <f t="shared" si="19"/>
        <v>0.67339362105417788</v>
      </c>
      <c r="S24" s="54">
        <f>Neaps!C24</f>
        <v>20</v>
      </c>
      <c r="T24" s="3">
        <f t="shared" si="20"/>
        <v>1.1543890646643049</v>
      </c>
      <c r="U24" s="54">
        <f>Neaps!C24</f>
        <v>20</v>
      </c>
      <c r="V24" s="3">
        <f t="shared" si="21"/>
        <v>1.5872849639134192</v>
      </c>
      <c r="W24" s="54">
        <f>Neaps!C24</f>
        <v>20</v>
      </c>
      <c r="X24" s="3">
        <f t="shared" si="22"/>
        <v>1.491085875191394</v>
      </c>
      <c r="Y24" s="54">
        <f>Neaps!C24</f>
        <v>20</v>
      </c>
      <c r="Z24" s="3">
        <f t="shared" si="23"/>
        <v>1.0581899759422797</v>
      </c>
    </row>
    <row r="25" spans="1:26">
      <c r="C25" s="54">
        <f>Neaps!C25</f>
        <v>19</v>
      </c>
      <c r="D25" s="3">
        <f t="shared" si="11"/>
        <v>0.14324513300809738</v>
      </c>
      <c r="E25" s="54">
        <f t="shared" si="12"/>
        <v>19</v>
      </c>
      <c r="F25" s="3">
        <f t="shared" si="13"/>
        <v>0.95496755338731587</v>
      </c>
      <c r="G25" s="54">
        <f>Neaps!C25</f>
        <v>19</v>
      </c>
      <c r="H25" s="3">
        <f t="shared" si="14"/>
        <v>1.5756964630890711</v>
      </c>
      <c r="I25" s="54">
        <f>Neaps!C25</f>
        <v>19</v>
      </c>
      <c r="J25" s="3">
        <f t="shared" si="15"/>
        <v>1.623444840758437</v>
      </c>
      <c r="K25" s="54">
        <f>Neaps!C25</f>
        <v>19</v>
      </c>
      <c r="L25" s="3">
        <f t="shared" si="16"/>
        <v>1.4324513300809738</v>
      </c>
      <c r="M25" s="54">
        <f>Neaps!C25</f>
        <v>19</v>
      </c>
      <c r="N25" s="3">
        <f t="shared" si="17"/>
        <v>0.62072890970175532</v>
      </c>
      <c r="O25" s="54">
        <f>Neaps!C25</f>
        <v>19</v>
      </c>
      <c r="P25" s="3">
        <f t="shared" si="18"/>
        <v>9.5496755338731587E-2</v>
      </c>
      <c r="Q25" s="54">
        <f>Neaps!C25</f>
        <v>19</v>
      </c>
      <c r="R25" s="3">
        <f t="shared" si="19"/>
        <v>0.66847728737112111</v>
      </c>
      <c r="S25" s="54">
        <f>Neaps!C25</f>
        <v>19</v>
      </c>
      <c r="T25" s="3">
        <f t="shared" si="20"/>
        <v>1.145961064064779</v>
      </c>
      <c r="U25" s="54">
        <f>Neaps!C25</f>
        <v>19</v>
      </c>
      <c r="V25" s="3">
        <f t="shared" si="21"/>
        <v>1.5756964630890711</v>
      </c>
      <c r="W25" s="54">
        <f>Neaps!C25</f>
        <v>19</v>
      </c>
      <c r="X25" s="3">
        <f t="shared" si="22"/>
        <v>1.4801997077503397</v>
      </c>
      <c r="Y25" s="54">
        <f>Neaps!C25</f>
        <v>19</v>
      </c>
      <c r="Z25" s="3">
        <f t="shared" si="23"/>
        <v>1.0504643087260475</v>
      </c>
    </row>
    <row r="26" spans="1:26">
      <c r="C26" s="54">
        <f>Neaps!C26</f>
        <v>18</v>
      </c>
      <c r="D26" s="3">
        <f t="shared" si="11"/>
        <v>0.14214298544828277</v>
      </c>
      <c r="E26" s="54">
        <f t="shared" si="12"/>
        <v>18</v>
      </c>
      <c r="F26" s="3">
        <f t="shared" si="13"/>
        <v>0.94761990298855181</v>
      </c>
      <c r="G26" s="54">
        <f>Neaps!C26</f>
        <v>18</v>
      </c>
      <c r="H26" s="3">
        <f t="shared" si="14"/>
        <v>1.5635728399311104</v>
      </c>
      <c r="I26" s="54">
        <f>Neaps!C26</f>
        <v>18</v>
      </c>
      <c r="J26" s="3">
        <f t="shared" si="15"/>
        <v>1.6109538350805381</v>
      </c>
      <c r="K26" s="54">
        <f>Neaps!C26</f>
        <v>18</v>
      </c>
      <c r="L26" s="3">
        <f t="shared" si="16"/>
        <v>1.4214298544828277</v>
      </c>
      <c r="M26" s="54">
        <f>Neaps!C26</f>
        <v>18</v>
      </c>
      <c r="N26" s="3">
        <f t="shared" si="17"/>
        <v>0.6159529369425587</v>
      </c>
      <c r="O26" s="54">
        <f>Neaps!C26</f>
        <v>18</v>
      </c>
      <c r="P26" s="3">
        <f t="shared" si="18"/>
        <v>9.4761990298855181E-2</v>
      </c>
      <c r="Q26" s="54">
        <f>Neaps!C26</f>
        <v>18</v>
      </c>
      <c r="R26" s="3">
        <f t="shared" si="19"/>
        <v>0.66333393209198621</v>
      </c>
      <c r="S26" s="54">
        <f>Neaps!C26</f>
        <v>18</v>
      </c>
      <c r="T26" s="3">
        <f t="shared" si="20"/>
        <v>1.1371438835862622</v>
      </c>
      <c r="U26" s="54">
        <f>Neaps!C26</f>
        <v>18</v>
      </c>
      <c r="V26" s="3">
        <f t="shared" si="21"/>
        <v>1.5635728399311104</v>
      </c>
      <c r="W26" s="54">
        <f>Neaps!C26</f>
        <v>18</v>
      </c>
      <c r="X26" s="3">
        <f t="shared" si="22"/>
        <v>1.4688108496322554</v>
      </c>
      <c r="Y26" s="54">
        <f>Neaps!C26</f>
        <v>18</v>
      </c>
      <c r="Z26" s="3">
        <f t="shared" si="23"/>
        <v>1.0423818932874072</v>
      </c>
    </row>
    <row r="27" spans="1:26">
      <c r="C27" s="54">
        <f>Neaps!C27</f>
        <v>17</v>
      </c>
      <c r="D27" s="3">
        <f t="shared" si="11"/>
        <v>0.14098704448374996</v>
      </c>
      <c r="E27" s="54">
        <f t="shared" si="12"/>
        <v>17</v>
      </c>
      <c r="F27" s="3">
        <f t="shared" si="13"/>
        <v>0.93991362989166638</v>
      </c>
      <c r="G27" s="54">
        <f>Neaps!C27</f>
        <v>17</v>
      </c>
      <c r="H27" s="3">
        <f t="shared" si="14"/>
        <v>1.5508574893212494</v>
      </c>
      <c r="I27" s="54">
        <f>Neaps!C27</f>
        <v>17</v>
      </c>
      <c r="J27" s="3">
        <f t="shared" si="15"/>
        <v>1.5978531708158328</v>
      </c>
      <c r="K27" s="54">
        <f>Neaps!C27</f>
        <v>17</v>
      </c>
      <c r="L27" s="3">
        <f t="shared" si="16"/>
        <v>1.4098704448374997</v>
      </c>
      <c r="M27" s="54">
        <f>Neaps!C27</f>
        <v>17</v>
      </c>
      <c r="N27" s="3">
        <f t="shared" si="17"/>
        <v>0.61094385942958318</v>
      </c>
      <c r="O27" s="54">
        <f>Neaps!C27</f>
        <v>17</v>
      </c>
      <c r="P27" s="3">
        <f t="shared" si="18"/>
        <v>9.3991362989166646E-2</v>
      </c>
      <c r="Q27" s="54">
        <f>Neaps!C27</f>
        <v>17</v>
      </c>
      <c r="R27" s="3">
        <f t="shared" si="19"/>
        <v>0.6579395409241664</v>
      </c>
      <c r="S27" s="54">
        <f>Neaps!C27</f>
        <v>17</v>
      </c>
      <c r="T27" s="3">
        <f t="shared" si="20"/>
        <v>1.1278963558699997</v>
      </c>
      <c r="U27" s="54">
        <f>Neaps!C27</f>
        <v>17</v>
      </c>
      <c r="V27" s="3">
        <f t="shared" si="21"/>
        <v>1.5508574893212494</v>
      </c>
      <c r="W27" s="54">
        <f>Neaps!C27</f>
        <v>17</v>
      </c>
      <c r="X27" s="3">
        <f t="shared" si="22"/>
        <v>1.456866126332083</v>
      </c>
      <c r="Y27" s="54">
        <f>Neaps!C27</f>
        <v>17</v>
      </c>
      <c r="Z27" s="3">
        <f t="shared" si="23"/>
        <v>1.033904992880833</v>
      </c>
    </row>
    <row r="28" spans="1:26">
      <c r="A28">
        <v>0.84399999999999997</v>
      </c>
      <c r="C28" s="54">
        <f>Neaps!C28</f>
        <v>16</v>
      </c>
      <c r="D28" s="3">
        <f t="shared" si="11"/>
        <v>0.13977127586920607</v>
      </c>
      <c r="E28" s="54">
        <f t="shared" si="12"/>
        <v>16</v>
      </c>
      <c r="F28" s="3">
        <f t="shared" si="13"/>
        <v>0.9318085057947072</v>
      </c>
      <c r="G28" s="54">
        <f>Neaps!C28</f>
        <v>16</v>
      </c>
      <c r="H28" s="3">
        <f t="shared" si="14"/>
        <v>1.5374840345612666</v>
      </c>
      <c r="I28" s="54">
        <f>Neaps!C28</f>
        <v>16</v>
      </c>
      <c r="J28" s="3">
        <f t="shared" si="15"/>
        <v>1.5840744598510021</v>
      </c>
      <c r="K28" s="54">
        <f>Neaps!C28</f>
        <v>16</v>
      </c>
      <c r="L28" s="3">
        <f t="shared" si="16"/>
        <v>1.3977127586920608</v>
      </c>
      <c r="M28" s="54">
        <f>Neaps!C28</f>
        <v>16</v>
      </c>
      <c r="N28" s="3">
        <f t="shared" si="17"/>
        <v>0.60567552876655972</v>
      </c>
      <c r="O28" s="54">
        <f>Neaps!C28</f>
        <v>16</v>
      </c>
      <c r="P28" s="3">
        <f t="shared" si="18"/>
        <v>9.3180850579470717E-2</v>
      </c>
      <c r="Q28" s="54">
        <f>Neaps!C28</f>
        <v>16</v>
      </c>
      <c r="R28" s="3">
        <f t="shared" si="19"/>
        <v>0.65226595405629495</v>
      </c>
      <c r="S28" s="54">
        <f>Neaps!C28</f>
        <v>16</v>
      </c>
      <c r="T28" s="3">
        <f t="shared" si="20"/>
        <v>1.1181702069536485</v>
      </c>
      <c r="U28" s="54">
        <f>Neaps!C28</f>
        <v>16</v>
      </c>
      <c r="V28" s="3">
        <f t="shared" si="21"/>
        <v>1.5374840345612666</v>
      </c>
      <c r="W28" s="54">
        <f>Neaps!C28</f>
        <v>16</v>
      </c>
      <c r="X28" s="3">
        <f t="shared" si="22"/>
        <v>1.4443031839817964</v>
      </c>
      <c r="Y28" s="54">
        <f>Neaps!C28</f>
        <v>16</v>
      </c>
      <c r="Z28" s="3">
        <f t="shared" si="23"/>
        <v>1.0249893563741779</v>
      </c>
    </row>
    <row r="29" spans="1:26">
      <c r="C29" s="54">
        <f>Neaps!C29</f>
        <v>15</v>
      </c>
      <c r="D29" s="3">
        <f t="shared" si="11"/>
        <v>0.13848853661362584</v>
      </c>
      <c r="E29" s="54">
        <f t="shared" si="12"/>
        <v>15</v>
      </c>
      <c r="F29" s="3">
        <f t="shared" si="13"/>
        <v>0.9232569107575056</v>
      </c>
      <c r="G29" s="54">
        <f>Neaps!C29</f>
        <v>15</v>
      </c>
      <c r="H29" s="3">
        <f t="shared" si="14"/>
        <v>1.523373902749884</v>
      </c>
      <c r="I29" s="54">
        <f>Neaps!C29</f>
        <v>15</v>
      </c>
      <c r="J29" s="3">
        <f t="shared" si="15"/>
        <v>1.5695367482877596</v>
      </c>
      <c r="K29" s="54">
        <f>Neaps!C29</f>
        <v>15</v>
      </c>
      <c r="L29" s="3">
        <f t="shared" si="16"/>
        <v>1.3848853661362583</v>
      </c>
      <c r="M29" s="54">
        <f>Neaps!C29</f>
        <v>15</v>
      </c>
      <c r="N29" s="3">
        <f t="shared" si="17"/>
        <v>0.60011699199237867</v>
      </c>
      <c r="O29" s="54">
        <f>Neaps!C29</f>
        <v>15</v>
      </c>
      <c r="P29" s="3">
        <f t="shared" si="18"/>
        <v>9.2325691075750574E-2</v>
      </c>
      <c r="Q29" s="54">
        <f>Neaps!C29</f>
        <v>15</v>
      </c>
      <c r="R29" s="3">
        <f t="shared" si="19"/>
        <v>0.64627983753025386</v>
      </c>
      <c r="S29" s="54">
        <f>Neaps!C29</f>
        <v>15</v>
      </c>
      <c r="T29" s="3">
        <f t="shared" si="20"/>
        <v>1.1079082929090067</v>
      </c>
      <c r="U29" s="54">
        <f>Neaps!C29</f>
        <v>15</v>
      </c>
      <c r="V29" s="3">
        <f t="shared" si="21"/>
        <v>1.523373902749884</v>
      </c>
      <c r="W29" s="54">
        <f>Neaps!C29</f>
        <v>15</v>
      </c>
      <c r="X29" s="3">
        <f t="shared" si="22"/>
        <v>1.4310482116741339</v>
      </c>
      <c r="Y29" s="54">
        <f>Neaps!C29</f>
        <v>15</v>
      </c>
      <c r="Z29" s="3">
        <f t="shared" si="23"/>
        <v>1.0155826018332563</v>
      </c>
    </row>
    <row r="30" spans="1:26">
      <c r="C30" s="54">
        <f>Neaps!C30</f>
        <v>14</v>
      </c>
      <c r="D30" s="3">
        <f t="shared" si="11"/>
        <v>0.13713028091923254</v>
      </c>
      <c r="E30" s="54">
        <f t="shared" si="12"/>
        <v>14</v>
      </c>
      <c r="F30" s="3">
        <f t="shared" si="13"/>
        <v>0.91420187279488363</v>
      </c>
      <c r="G30" s="54">
        <f>Neaps!C30</f>
        <v>14</v>
      </c>
      <c r="H30" s="3">
        <f t="shared" si="14"/>
        <v>1.5084330901115577</v>
      </c>
      <c r="I30" s="54">
        <f>Neaps!C30</f>
        <v>14</v>
      </c>
      <c r="J30" s="3">
        <f t="shared" si="15"/>
        <v>1.554143183751302</v>
      </c>
      <c r="K30" s="54">
        <f>Neaps!C30</f>
        <v>14</v>
      </c>
      <c r="L30" s="3">
        <f t="shared" si="16"/>
        <v>1.3713028091923254</v>
      </c>
      <c r="M30" s="54">
        <f>Neaps!C30</f>
        <v>14</v>
      </c>
      <c r="N30" s="3">
        <f t="shared" si="17"/>
        <v>0.59423121731667439</v>
      </c>
      <c r="O30" s="54">
        <f>Neaps!C30</f>
        <v>14</v>
      </c>
      <c r="P30" s="3">
        <f t="shared" si="18"/>
        <v>9.1420187279488363E-2</v>
      </c>
      <c r="Q30" s="54">
        <f>Neaps!C30</f>
        <v>14</v>
      </c>
      <c r="R30" s="3">
        <f t="shared" si="19"/>
        <v>0.63994131095641849</v>
      </c>
      <c r="S30" s="54">
        <f>Neaps!C30</f>
        <v>14</v>
      </c>
      <c r="T30" s="3">
        <f t="shared" si="20"/>
        <v>1.0970422473538604</v>
      </c>
      <c r="U30" s="54">
        <f>Neaps!C30</f>
        <v>14</v>
      </c>
      <c r="V30" s="3">
        <f t="shared" si="21"/>
        <v>1.5084330901115577</v>
      </c>
      <c r="W30" s="54">
        <f>Neaps!C30</f>
        <v>14</v>
      </c>
      <c r="X30" s="3">
        <f t="shared" si="22"/>
        <v>1.4170129028320697</v>
      </c>
      <c r="Y30" s="54">
        <f>Neaps!C30</f>
        <v>14</v>
      </c>
      <c r="Z30" s="3">
        <f t="shared" si="23"/>
        <v>1.0056220600743719</v>
      </c>
    </row>
    <row r="31" spans="1:26">
      <c r="C31" s="54">
        <f>Neaps!C31</f>
        <v>13</v>
      </c>
      <c r="D31" s="3">
        <f t="shared" si="11"/>
        <v>0.13568616060379068</v>
      </c>
      <c r="E31" s="54">
        <f t="shared" si="12"/>
        <v>13</v>
      </c>
      <c r="F31" s="3">
        <f t="shared" si="13"/>
        <v>0.90457440402527123</v>
      </c>
      <c r="G31" s="54">
        <f>Neaps!C31</f>
        <v>13</v>
      </c>
      <c r="H31" s="3">
        <f t="shared" si="14"/>
        <v>1.4925477666416973</v>
      </c>
      <c r="I31" s="54">
        <f>Neaps!C31</f>
        <v>13</v>
      </c>
      <c r="J31" s="3">
        <f t="shared" si="15"/>
        <v>1.5377764868429609</v>
      </c>
      <c r="K31" s="54">
        <f>Neaps!C31</f>
        <v>13</v>
      </c>
      <c r="L31" s="3">
        <f t="shared" si="16"/>
        <v>1.3568616060379068</v>
      </c>
      <c r="M31" s="54">
        <f>Neaps!C31</f>
        <v>13</v>
      </c>
      <c r="N31" s="3">
        <f t="shared" si="17"/>
        <v>0.5879733626164263</v>
      </c>
      <c r="O31" s="54">
        <f>Neaps!C31</f>
        <v>13</v>
      </c>
      <c r="P31" s="3">
        <f t="shared" si="18"/>
        <v>9.0457440402527123E-2</v>
      </c>
      <c r="Q31" s="54">
        <f>Neaps!C31</f>
        <v>13</v>
      </c>
      <c r="R31" s="3">
        <f t="shared" si="19"/>
        <v>0.63320208281768975</v>
      </c>
      <c r="S31" s="54">
        <f>Neaps!C31</f>
        <v>13</v>
      </c>
      <c r="T31" s="3">
        <f t="shared" si="20"/>
        <v>1.0854892848303255</v>
      </c>
      <c r="U31" s="54">
        <f>Neaps!C31</f>
        <v>13</v>
      </c>
      <c r="V31" s="3">
        <f t="shared" si="21"/>
        <v>1.4925477666416973</v>
      </c>
      <c r="W31" s="54">
        <f>Neaps!C31</f>
        <v>13</v>
      </c>
      <c r="X31" s="3">
        <f t="shared" si="22"/>
        <v>1.4020903262391704</v>
      </c>
      <c r="Y31" s="54">
        <f>Neaps!C31</f>
        <v>13</v>
      </c>
      <c r="Z31" s="3">
        <f t="shared" si="23"/>
        <v>0.99503184442779835</v>
      </c>
    </row>
    <row r="32" spans="1:26">
      <c r="C32" s="54">
        <f>Neaps!C32</f>
        <v>12</v>
      </c>
      <c r="D32" s="3">
        <f t="shared" si="11"/>
        <v>0.13414347067727744</v>
      </c>
      <c r="E32" s="54">
        <f t="shared" si="12"/>
        <v>12</v>
      </c>
      <c r="F32" s="3">
        <f t="shared" si="13"/>
        <v>0.89428980451518303</v>
      </c>
      <c r="G32" s="54">
        <f>Neaps!C32</f>
        <v>12</v>
      </c>
      <c r="H32" s="3">
        <f t="shared" si="14"/>
        <v>1.4755781774500518</v>
      </c>
      <c r="I32" s="54">
        <f>Neaps!C32</f>
        <v>12</v>
      </c>
      <c r="J32" s="3">
        <f t="shared" si="15"/>
        <v>1.5202926676758113</v>
      </c>
      <c r="K32" s="54">
        <f>Neaps!C32</f>
        <v>12</v>
      </c>
      <c r="L32" s="3">
        <f t="shared" si="16"/>
        <v>1.3414347067727745</v>
      </c>
      <c r="M32" s="54">
        <f>Neaps!C32</f>
        <v>12</v>
      </c>
      <c r="N32" s="3">
        <f t="shared" si="17"/>
        <v>0.58128837293486901</v>
      </c>
      <c r="O32" s="54">
        <f>Neaps!C32</f>
        <v>12</v>
      </c>
      <c r="P32" s="3">
        <f t="shared" si="18"/>
        <v>8.9428980451518314E-2</v>
      </c>
      <c r="Q32" s="54">
        <f>Neaps!C32</f>
        <v>12</v>
      </c>
      <c r="R32" s="3">
        <f t="shared" si="19"/>
        <v>0.62600286316062814</v>
      </c>
      <c r="S32" s="54">
        <f>Neaps!C32</f>
        <v>12</v>
      </c>
      <c r="T32" s="3">
        <f t="shared" si="20"/>
        <v>1.0731477654182195</v>
      </c>
      <c r="U32" s="54">
        <f>Neaps!C32</f>
        <v>12</v>
      </c>
      <c r="V32" s="3">
        <f t="shared" si="21"/>
        <v>1.4755781774500518</v>
      </c>
      <c r="W32" s="54">
        <f>Neaps!C32</f>
        <v>12</v>
      </c>
      <c r="X32" s="3">
        <f t="shared" si="22"/>
        <v>1.3861491969985338</v>
      </c>
      <c r="Y32" s="54">
        <f>Neaps!C32</f>
        <v>12</v>
      </c>
      <c r="Z32" s="3">
        <f t="shared" si="23"/>
        <v>0.98371878496670151</v>
      </c>
    </row>
    <row r="33" spans="3:26">
      <c r="C33" s="54">
        <f>Neaps!C33</f>
        <v>11</v>
      </c>
      <c r="D33" s="3">
        <f t="shared" si="11"/>
        <v>0.13248636138285197</v>
      </c>
      <c r="E33" s="54">
        <f t="shared" si="12"/>
        <v>11</v>
      </c>
      <c r="F33" s="3">
        <f t="shared" si="13"/>
        <v>0.88324240921901309</v>
      </c>
      <c r="G33" s="54">
        <f>Neaps!C33</f>
        <v>11</v>
      </c>
      <c r="H33" s="3">
        <f t="shared" si="14"/>
        <v>1.4573499752113714</v>
      </c>
      <c r="I33" s="54">
        <f>Neaps!C33</f>
        <v>11</v>
      </c>
      <c r="J33" s="3">
        <f t="shared" si="15"/>
        <v>1.5015120956723222</v>
      </c>
      <c r="K33" s="54">
        <f>Neaps!C33</f>
        <v>11</v>
      </c>
      <c r="L33" s="3">
        <f t="shared" si="16"/>
        <v>1.3248636138285197</v>
      </c>
      <c r="M33" s="54">
        <f>Neaps!C33</f>
        <v>11</v>
      </c>
      <c r="N33" s="3">
        <f t="shared" si="17"/>
        <v>0.57410756599235857</v>
      </c>
      <c r="O33" s="54">
        <f>Neaps!C33</f>
        <v>11</v>
      </c>
      <c r="P33" s="3">
        <f t="shared" si="18"/>
        <v>8.8324240921901317E-2</v>
      </c>
      <c r="Q33" s="54">
        <f>Neaps!C33</f>
        <v>11</v>
      </c>
      <c r="R33" s="3">
        <f t="shared" si="19"/>
        <v>0.61826968645330915</v>
      </c>
      <c r="S33" s="54">
        <f>Neaps!C33</f>
        <v>11</v>
      </c>
      <c r="T33" s="3">
        <f t="shared" si="20"/>
        <v>1.0598908910628158</v>
      </c>
      <c r="U33" s="54">
        <f>Neaps!C33</f>
        <v>11</v>
      </c>
      <c r="V33" s="3">
        <f t="shared" si="21"/>
        <v>1.4573499752113714</v>
      </c>
      <c r="W33" s="54">
        <f>Neaps!C33</f>
        <v>11</v>
      </c>
      <c r="X33" s="3">
        <f t="shared" si="22"/>
        <v>1.3690257342894705</v>
      </c>
      <c r="Y33" s="54">
        <f>Neaps!C33</f>
        <v>11</v>
      </c>
      <c r="Z33" s="3">
        <f t="shared" si="23"/>
        <v>0.97156665014091448</v>
      </c>
    </row>
    <row r="34" spans="3:26">
      <c r="C34" s="54">
        <f>Neaps!C34</f>
        <v>10</v>
      </c>
      <c r="D34" s="3">
        <f t="shared" si="11"/>
        <v>0.13069468670424228</v>
      </c>
      <c r="E34" s="54">
        <f t="shared" si="12"/>
        <v>10</v>
      </c>
      <c r="F34" s="3">
        <f t="shared" si="13"/>
        <v>0.87129791136161516</v>
      </c>
      <c r="G34" s="54">
        <f>Neaps!C34</f>
        <v>10</v>
      </c>
      <c r="H34" s="3">
        <f t="shared" si="14"/>
        <v>1.4376415537466649</v>
      </c>
      <c r="I34" s="54">
        <f>Neaps!C34</f>
        <v>10</v>
      </c>
      <c r="J34" s="3">
        <f t="shared" si="15"/>
        <v>1.4812064493147459</v>
      </c>
      <c r="K34" s="54">
        <f>Neaps!C34</f>
        <v>10</v>
      </c>
      <c r="L34" s="3">
        <f t="shared" si="16"/>
        <v>1.3069468670424229</v>
      </c>
      <c r="M34" s="54">
        <f>Neaps!C34</f>
        <v>10</v>
      </c>
      <c r="N34" s="3">
        <f t="shared" si="17"/>
        <v>0.56634364238504986</v>
      </c>
      <c r="O34" s="54">
        <f>Neaps!C34</f>
        <v>10</v>
      </c>
      <c r="P34" s="3">
        <f t="shared" si="18"/>
        <v>8.7129791136161525E-2</v>
      </c>
      <c r="Q34" s="54">
        <f>Neaps!C34</f>
        <v>10</v>
      </c>
      <c r="R34" s="3">
        <f t="shared" si="19"/>
        <v>0.6099085379531306</v>
      </c>
      <c r="S34" s="54">
        <f>Neaps!C34</f>
        <v>10</v>
      </c>
      <c r="T34" s="3">
        <f t="shared" si="20"/>
        <v>1.0455574936339382</v>
      </c>
      <c r="U34" s="54">
        <f>Neaps!C34</f>
        <v>10</v>
      </c>
      <c r="V34" s="3">
        <f t="shared" si="21"/>
        <v>1.4376415537466649</v>
      </c>
      <c r="W34" s="54">
        <f>Neaps!C34</f>
        <v>10</v>
      </c>
      <c r="X34" s="3">
        <f t="shared" si="22"/>
        <v>1.3505117626105037</v>
      </c>
      <c r="Y34" s="54">
        <f>Neaps!C34</f>
        <v>10</v>
      </c>
      <c r="Z34" s="3">
        <f t="shared" si="23"/>
        <v>0.95842770249777676</v>
      </c>
    </row>
    <row r="35" spans="3:26">
      <c r="C35" s="54">
        <f>Neaps!C35</f>
        <v>9</v>
      </c>
      <c r="D35" s="3">
        <f t="shared" si="11"/>
        <v>0.12874226562962982</v>
      </c>
      <c r="E35" s="54">
        <f t="shared" si="12"/>
        <v>9</v>
      </c>
      <c r="F35" s="3">
        <f t="shared" si="13"/>
        <v>0.85828177086419888</v>
      </c>
      <c r="G35" s="54">
        <f>Neaps!C35</f>
        <v>9</v>
      </c>
      <c r="H35" s="3">
        <f t="shared" si="14"/>
        <v>1.416164921925928</v>
      </c>
      <c r="I35" s="54">
        <f>Neaps!C35</f>
        <v>9</v>
      </c>
      <c r="J35" s="3">
        <f t="shared" si="15"/>
        <v>1.459079010469138</v>
      </c>
      <c r="K35" s="54">
        <f>Neaps!C35</f>
        <v>9</v>
      </c>
      <c r="L35" s="3">
        <f t="shared" si="16"/>
        <v>1.2874226562962983</v>
      </c>
      <c r="M35" s="54">
        <f>Neaps!C35</f>
        <v>9</v>
      </c>
      <c r="N35" s="3">
        <f t="shared" si="17"/>
        <v>0.55788315106172925</v>
      </c>
      <c r="O35" s="54">
        <f>Neaps!C35</f>
        <v>9</v>
      </c>
      <c r="P35" s="3">
        <f t="shared" si="18"/>
        <v>8.5828177086419891E-2</v>
      </c>
      <c r="Q35" s="54">
        <f>Neaps!C35</f>
        <v>9</v>
      </c>
      <c r="R35" s="3">
        <f t="shared" si="19"/>
        <v>0.60079723960493914</v>
      </c>
      <c r="S35" s="54">
        <f>Neaps!C35</f>
        <v>9</v>
      </c>
      <c r="T35" s="3">
        <f t="shared" si="20"/>
        <v>1.0299381250370385</v>
      </c>
      <c r="U35" s="54">
        <f>Neaps!C35</f>
        <v>9</v>
      </c>
      <c r="V35" s="3">
        <f t="shared" si="21"/>
        <v>1.416164921925928</v>
      </c>
      <c r="W35" s="54">
        <f>Neaps!C35</f>
        <v>9</v>
      </c>
      <c r="X35" s="3">
        <f t="shared" si="22"/>
        <v>1.3303367448395083</v>
      </c>
      <c r="Y35" s="54">
        <f>Neaps!C35</f>
        <v>9</v>
      </c>
      <c r="Z35" s="3">
        <f t="shared" si="23"/>
        <v>0.94410994795061876</v>
      </c>
    </row>
    <row r="36" spans="3:26">
      <c r="C36" s="54">
        <f>Neaps!C36</f>
        <v>8</v>
      </c>
      <c r="D36" s="3">
        <f t="shared" si="11"/>
        <v>0.12659415213909866</v>
      </c>
      <c r="E36" s="54">
        <f t="shared" si="12"/>
        <v>8</v>
      </c>
      <c r="F36" s="3">
        <f t="shared" si="13"/>
        <v>0.84396101426065784</v>
      </c>
      <c r="G36" s="54">
        <f>Neaps!C36</f>
        <v>8</v>
      </c>
      <c r="H36" s="3">
        <f t="shared" si="14"/>
        <v>1.3925356735300853</v>
      </c>
      <c r="I36" s="54">
        <f>Neaps!C36</f>
        <v>8</v>
      </c>
      <c r="J36" s="3">
        <f t="shared" si="15"/>
        <v>1.4347337242431184</v>
      </c>
      <c r="K36" s="54">
        <f>Neaps!C36</f>
        <v>8</v>
      </c>
      <c r="L36" s="3">
        <f t="shared" si="16"/>
        <v>1.2659415213909868</v>
      </c>
      <c r="M36" s="54">
        <f>Neaps!C36</f>
        <v>8</v>
      </c>
      <c r="N36" s="3">
        <f t="shared" si="17"/>
        <v>0.54857465926942761</v>
      </c>
      <c r="O36" s="54">
        <f>Neaps!C36</f>
        <v>8</v>
      </c>
      <c r="P36" s="3">
        <f t="shared" si="18"/>
        <v>8.4396101426065795E-2</v>
      </c>
      <c r="Q36" s="54">
        <f>Neaps!C36</f>
        <v>8</v>
      </c>
      <c r="R36" s="3">
        <f t="shared" si="19"/>
        <v>0.59077270998246045</v>
      </c>
      <c r="S36" s="54">
        <f>Neaps!C36</f>
        <v>8</v>
      </c>
      <c r="T36" s="3">
        <f t="shared" si="20"/>
        <v>1.0127532171127893</v>
      </c>
      <c r="U36" s="54">
        <f>Neaps!C36</f>
        <v>8</v>
      </c>
      <c r="V36" s="3">
        <f t="shared" si="21"/>
        <v>1.3925356735300853</v>
      </c>
      <c r="W36" s="54">
        <f>Neaps!C36</f>
        <v>8</v>
      </c>
      <c r="X36" s="3">
        <f t="shared" si="22"/>
        <v>1.3081395721040199</v>
      </c>
      <c r="Y36" s="54">
        <f>Neaps!C36</f>
        <v>8</v>
      </c>
      <c r="Z36" s="3">
        <f>$Y$4*(Y36/$A$3)^(1/7)</f>
        <v>0.92835711568672374</v>
      </c>
    </row>
    <row r="37" spans="3:26">
      <c r="C37" s="54">
        <f>Neaps!C37</f>
        <v>7</v>
      </c>
      <c r="D37" s="3">
        <f t="shared" si="11"/>
        <v>0.12420214051570619</v>
      </c>
      <c r="E37" s="54">
        <f t="shared" si="12"/>
        <v>7</v>
      </c>
      <c r="F37" s="3">
        <f t="shared" si="13"/>
        <v>0.82801427010470796</v>
      </c>
      <c r="G37" s="54">
        <f>Neaps!C37</f>
        <v>7</v>
      </c>
      <c r="H37" s="3">
        <f t="shared" si="14"/>
        <v>1.366223545672768</v>
      </c>
      <c r="I37" s="54">
        <f>Neaps!C37</f>
        <v>7</v>
      </c>
      <c r="J37" s="3">
        <f t="shared" si="15"/>
        <v>1.4076242591780035</v>
      </c>
      <c r="K37" s="54">
        <f>Neaps!C37</f>
        <v>7</v>
      </c>
      <c r="L37" s="3">
        <f t="shared" si="16"/>
        <v>1.2420214051570619</v>
      </c>
      <c r="M37" s="54">
        <f>Neaps!C37</f>
        <v>7</v>
      </c>
      <c r="N37" s="3">
        <f t="shared" si="17"/>
        <v>0.5382092755680602</v>
      </c>
      <c r="O37" s="54">
        <f>Neaps!C37</f>
        <v>7</v>
      </c>
      <c r="P37" s="3">
        <f t="shared" si="18"/>
        <v>8.2801427010470802E-2</v>
      </c>
      <c r="Q37" s="54">
        <f>Neaps!C37</f>
        <v>7</v>
      </c>
      <c r="R37" s="3">
        <f t="shared" si="19"/>
        <v>0.57960998907329553</v>
      </c>
      <c r="S37" s="54">
        <f>Neaps!C37</f>
        <v>7</v>
      </c>
      <c r="T37" s="3">
        <f t="shared" si="20"/>
        <v>0.99361712412564951</v>
      </c>
      <c r="U37" s="54">
        <f>Neaps!C37</f>
        <v>7</v>
      </c>
      <c r="V37" s="3">
        <f t="shared" si="21"/>
        <v>1.366223545672768</v>
      </c>
      <c r="W37" s="54">
        <f>Neaps!C37</f>
        <v>7</v>
      </c>
      <c r="X37" s="3">
        <f t="shared" si="22"/>
        <v>1.2834221186622974</v>
      </c>
      <c r="Y37" s="54">
        <f>Neaps!C37</f>
        <v>7</v>
      </c>
      <c r="Z37" s="3">
        <f t="shared" si="23"/>
        <v>0.91081569711517885</v>
      </c>
    </row>
    <row r="38" spans="3:26">
      <c r="C38" s="54">
        <f>Neaps!C38</f>
        <v>6</v>
      </c>
      <c r="D38" s="3">
        <f t="shared" si="11"/>
        <v>0.12149691579890165</v>
      </c>
      <c r="E38" s="54">
        <f t="shared" si="12"/>
        <v>6</v>
      </c>
      <c r="F38" s="3">
        <f t="shared" si="13"/>
        <v>0.80997943865934441</v>
      </c>
      <c r="G38" s="54">
        <f>Neaps!C38</f>
        <v>6</v>
      </c>
      <c r="H38" s="3">
        <f t="shared" si="14"/>
        <v>1.3364660737879182</v>
      </c>
      <c r="I38" s="54">
        <f>Neaps!C38</f>
        <v>6</v>
      </c>
      <c r="J38" s="3">
        <f t="shared" si="15"/>
        <v>1.3769650457208855</v>
      </c>
      <c r="K38" s="54">
        <f>Neaps!C38</f>
        <v>6</v>
      </c>
      <c r="L38" s="3">
        <f t="shared" si="16"/>
        <v>1.2149691579890165</v>
      </c>
      <c r="M38" s="54">
        <f>Neaps!C38</f>
        <v>6</v>
      </c>
      <c r="N38" s="3">
        <f t="shared" si="17"/>
        <v>0.52648663512857385</v>
      </c>
      <c r="O38" s="54">
        <f>Neaps!C38</f>
        <v>6</v>
      </c>
      <c r="P38" s="3">
        <f t="shared" si="18"/>
        <v>8.0997943865934438E-2</v>
      </c>
      <c r="Q38" s="54">
        <f>Neaps!C38</f>
        <v>6</v>
      </c>
      <c r="R38" s="3">
        <f t="shared" si="19"/>
        <v>0.566985607061541</v>
      </c>
      <c r="S38" s="54">
        <f>Neaps!C38</f>
        <v>6</v>
      </c>
      <c r="T38" s="3">
        <f t="shared" si="20"/>
        <v>0.9719753263912132</v>
      </c>
      <c r="U38" s="54">
        <f>Neaps!C38</f>
        <v>6</v>
      </c>
      <c r="V38" s="3">
        <f t="shared" si="21"/>
        <v>1.3364660737879182</v>
      </c>
      <c r="W38" s="54">
        <f>Neaps!C38</f>
        <v>6</v>
      </c>
      <c r="X38" s="3">
        <f t="shared" si="22"/>
        <v>1.2554681299219839</v>
      </c>
      <c r="Y38" s="54">
        <f>Neaps!C38</f>
        <v>6</v>
      </c>
      <c r="Z38" s="3">
        <f t="shared" si="23"/>
        <v>0.89097738252527892</v>
      </c>
    </row>
    <row r="39" spans="3:26">
      <c r="C39" s="54">
        <f>Neaps!C39</f>
        <v>5</v>
      </c>
      <c r="D39" s="3">
        <f t="shared" si="11"/>
        <v>0.1183732705415896</v>
      </c>
      <c r="E39" s="54">
        <f t="shared" si="12"/>
        <v>5</v>
      </c>
      <c r="F39" s="3">
        <f t="shared" si="13"/>
        <v>0.78915513694393058</v>
      </c>
      <c r="G39" s="54">
        <f>Neaps!C39</f>
        <v>5</v>
      </c>
      <c r="H39" s="3">
        <f t="shared" si="14"/>
        <v>1.3021059759574853</v>
      </c>
      <c r="I39" s="54">
        <f>Neaps!C39</f>
        <v>5</v>
      </c>
      <c r="J39" s="3">
        <f t="shared" si="15"/>
        <v>1.3415637328046821</v>
      </c>
      <c r="K39" s="54">
        <f>Neaps!C39</f>
        <v>5</v>
      </c>
      <c r="L39" s="3">
        <f t="shared" si="16"/>
        <v>1.1837327054158959</v>
      </c>
      <c r="M39" s="54">
        <f>Neaps!C39</f>
        <v>5</v>
      </c>
      <c r="N39" s="3">
        <f t="shared" si="17"/>
        <v>0.51295083901355498</v>
      </c>
      <c r="O39" s="54">
        <f>Neaps!C39</f>
        <v>5</v>
      </c>
      <c r="P39" s="3">
        <f t="shared" si="18"/>
        <v>7.8915513694393064E-2</v>
      </c>
      <c r="Q39" s="54">
        <f>Neaps!C39</f>
        <v>5</v>
      </c>
      <c r="R39" s="3">
        <f t="shared" si="19"/>
        <v>0.55240859586075142</v>
      </c>
      <c r="S39" s="54">
        <f>Neaps!C39</f>
        <v>5</v>
      </c>
      <c r="T39" s="3">
        <f t="shared" si="20"/>
        <v>0.94698616433271676</v>
      </c>
      <c r="U39" s="54">
        <f>Neaps!C39</f>
        <v>5</v>
      </c>
      <c r="V39" s="3">
        <f t="shared" si="21"/>
        <v>1.3021059759574853</v>
      </c>
      <c r="W39" s="54">
        <f>Neaps!C39</f>
        <v>5</v>
      </c>
      <c r="X39" s="3">
        <f t="shared" si="22"/>
        <v>1.2231904622630927</v>
      </c>
      <c r="Y39" s="54">
        <f>Neaps!C39</f>
        <v>5</v>
      </c>
      <c r="Z39" s="3">
        <f t="shared" si="23"/>
        <v>0.86807065063832378</v>
      </c>
    </row>
    <row r="40" spans="3:26">
      <c r="C40" s="54">
        <f>Neaps!C40</f>
        <v>4</v>
      </c>
      <c r="D40" s="3">
        <f t="shared" si="11"/>
        <v>0.11465931934980693</v>
      </c>
      <c r="E40" s="54">
        <f t="shared" si="12"/>
        <v>4</v>
      </c>
      <c r="F40" s="3">
        <f t="shared" si="13"/>
        <v>0.76439546233204625</v>
      </c>
      <c r="G40" s="54">
        <f>Neaps!C40</f>
        <v>4</v>
      </c>
      <c r="H40" s="3">
        <f t="shared" si="14"/>
        <v>1.2612525128478762</v>
      </c>
      <c r="I40" s="54">
        <f>Neaps!C40</f>
        <v>4</v>
      </c>
      <c r="J40" s="3">
        <f t="shared" si="15"/>
        <v>1.2994722859644785</v>
      </c>
      <c r="K40" s="54">
        <f>Neaps!C40</f>
        <v>4</v>
      </c>
      <c r="L40" s="3">
        <f t="shared" si="16"/>
        <v>1.1465931934980693</v>
      </c>
      <c r="M40" s="54">
        <f>Neaps!C40</f>
        <v>4</v>
      </c>
      <c r="N40" s="3">
        <f t="shared" si="17"/>
        <v>0.49685705051583007</v>
      </c>
      <c r="O40" s="54">
        <f>Neaps!C40</f>
        <v>4</v>
      </c>
      <c r="P40" s="3">
        <f t="shared" si="18"/>
        <v>7.6439546233204619E-2</v>
      </c>
      <c r="Q40" s="54">
        <f>Neaps!C40</f>
        <v>4</v>
      </c>
      <c r="R40" s="3">
        <f t="shared" si="19"/>
        <v>0.53507682363243236</v>
      </c>
      <c r="S40" s="54">
        <f>Neaps!C40</f>
        <v>4</v>
      </c>
      <c r="T40" s="3">
        <f t="shared" si="20"/>
        <v>0.91727455479845543</v>
      </c>
      <c r="U40" s="54">
        <f>Neaps!C40</f>
        <v>4</v>
      </c>
      <c r="V40" s="3">
        <f t="shared" si="21"/>
        <v>1.2612525128478762</v>
      </c>
      <c r="W40" s="54">
        <f>Neaps!C40</f>
        <v>4</v>
      </c>
      <c r="X40" s="3">
        <f t="shared" si="22"/>
        <v>1.1848129666146718</v>
      </c>
      <c r="Y40" s="54">
        <f>Neaps!C40</f>
        <v>4</v>
      </c>
      <c r="Z40" s="3">
        <f t="shared" si="23"/>
        <v>0.84083500856525095</v>
      </c>
    </row>
    <row r="41" spans="3:26">
      <c r="C41" s="54">
        <f>Neaps!C41</f>
        <v>3</v>
      </c>
      <c r="D41" s="3">
        <f t="shared" si="11"/>
        <v>0.11004263177414453</v>
      </c>
      <c r="E41" s="54">
        <f t="shared" si="12"/>
        <v>3</v>
      </c>
      <c r="F41" s="3">
        <f t="shared" si="13"/>
        <v>0.73361754516096356</v>
      </c>
      <c r="G41" s="54">
        <f>Neaps!C41</f>
        <v>3</v>
      </c>
      <c r="H41" s="3">
        <f t="shared" si="14"/>
        <v>1.2104689495155898</v>
      </c>
      <c r="I41" s="54">
        <f>Neaps!C41</f>
        <v>3</v>
      </c>
      <c r="J41" s="3">
        <f t="shared" si="15"/>
        <v>1.2471498267736381</v>
      </c>
      <c r="K41" s="54">
        <f>Neaps!C41</f>
        <v>3</v>
      </c>
      <c r="L41" s="3">
        <f t="shared" si="16"/>
        <v>1.1004263177414453</v>
      </c>
      <c r="M41" s="54">
        <f>Neaps!C41</f>
        <v>3</v>
      </c>
      <c r="N41" s="3">
        <f t="shared" si="17"/>
        <v>0.47685140435462631</v>
      </c>
      <c r="O41" s="54">
        <f>Neaps!C41</f>
        <v>3</v>
      </c>
      <c r="P41" s="3">
        <f t="shared" si="18"/>
        <v>7.3361754516096361E-2</v>
      </c>
      <c r="Q41" s="54">
        <f>Neaps!C41</f>
        <v>3</v>
      </c>
      <c r="R41" s="3">
        <f t="shared" si="19"/>
        <v>0.5135322816126745</v>
      </c>
      <c r="S41" s="54">
        <f>Neaps!C41</f>
        <v>3</v>
      </c>
      <c r="T41" s="3">
        <f t="shared" si="20"/>
        <v>0.88034105419315622</v>
      </c>
      <c r="U41" s="54">
        <f>Neaps!C41</f>
        <v>3</v>
      </c>
      <c r="V41" s="3">
        <f t="shared" si="21"/>
        <v>1.2104689495155898</v>
      </c>
      <c r="W41" s="54">
        <f>Neaps!C41</f>
        <v>3</v>
      </c>
      <c r="X41" s="3">
        <f t="shared" si="22"/>
        <v>1.1371071949994935</v>
      </c>
      <c r="Y41" s="54">
        <f>Neaps!C41</f>
        <v>3</v>
      </c>
      <c r="Z41" s="3">
        <f t="shared" si="23"/>
        <v>0.80697929967705995</v>
      </c>
    </row>
    <row r="42" spans="3:26">
      <c r="C42" s="54">
        <f>Neaps!C42</f>
        <v>2</v>
      </c>
      <c r="D42" s="3">
        <f t="shared" si="11"/>
        <v>0.10384965886351259</v>
      </c>
      <c r="E42" s="54">
        <f t="shared" si="12"/>
        <v>2</v>
      </c>
      <c r="F42" s="3">
        <f t="shared" si="13"/>
        <v>0.69233105909008397</v>
      </c>
      <c r="G42" s="54">
        <f>Neaps!C42</f>
        <v>2</v>
      </c>
      <c r="H42" s="3">
        <f t="shared" si="14"/>
        <v>1.1423462474986383</v>
      </c>
      <c r="I42" s="54">
        <f>Neaps!C42</f>
        <v>2</v>
      </c>
      <c r="J42" s="3">
        <f t="shared" si="15"/>
        <v>1.1769628004531427</v>
      </c>
      <c r="K42" s="54">
        <f>Neaps!C42</f>
        <v>2</v>
      </c>
      <c r="L42" s="3">
        <f t="shared" si="16"/>
        <v>1.0384965886351261</v>
      </c>
      <c r="M42" s="54">
        <f>Neaps!C42</f>
        <v>2</v>
      </c>
      <c r="N42" s="3">
        <f t="shared" si="17"/>
        <v>0.45001518840855459</v>
      </c>
      <c r="O42" s="54">
        <f>Neaps!C42</f>
        <v>2</v>
      </c>
      <c r="P42" s="3">
        <f t="shared" si="18"/>
        <v>6.9233105909008399E-2</v>
      </c>
      <c r="Q42" s="54">
        <f>Neaps!C42</f>
        <v>2</v>
      </c>
      <c r="R42" s="3">
        <f t="shared" si="19"/>
        <v>0.48463174136305875</v>
      </c>
      <c r="S42" s="54">
        <f>Neaps!C42</f>
        <v>2</v>
      </c>
      <c r="T42" s="3">
        <f t="shared" si="20"/>
        <v>0.83079727090810074</v>
      </c>
      <c r="U42" s="54">
        <f>Neaps!C42</f>
        <v>2</v>
      </c>
      <c r="V42" s="3">
        <f t="shared" si="21"/>
        <v>1.1423462474986383</v>
      </c>
      <c r="W42" s="54">
        <f>Neaps!C42</f>
        <v>2</v>
      </c>
      <c r="X42" s="3">
        <f t="shared" si="22"/>
        <v>1.0731131415896302</v>
      </c>
      <c r="Y42" s="54">
        <f>Neaps!C42</f>
        <v>2</v>
      </c>
      <c r="Z42" s="3">
        <f t="shared" si="23"/>
        <v>0.76156416499909241</v>
      </c>
    </row>
    <row r="43" spans="3:26">
      <c r="C43" s="54">
        <f>Neaps!C43</f>
        <v>1</v>
      </c>
      <c r="D43" s="3">
        <f t="shared" si="11"/>
        <v>9.4059093558417309E-2</v>
      </c>
      <c r="E43" s="54">
        <f t="shared" si="12"/>
        <v>1</v>
      </c>
      <c r="F43" s="3">
        <f t="shared" si="13"/>
        <v>0.62706062372278215</v>
      </c>
      <c r="G43" s="54">
        <f>Neaps!C43</f>
        <v>1</v>
      </c>
      <c r="H43" s="3">
        <f t="shared" si="14"/>
        <v>1.0346500291425904</v>
      </c>
      <c r="I43" s="54">
        <f>Neaps!C43</f>
        <v>1</v>
      </c>
      <c r="J43" s="3">
        <f t="shared" si="15"/>
        <v>1.0660030603287296</v>
      </c>
      <c r="K43" s="54">
        <f>Neaps!C43</f>
        <v>1</v>
      </c>
      <c r="L43" s="3">
        <f t="shared" si="16"/>
        <v>0.94059093558417317</v>
      </c>
      <c r="M43" s="54">
        <f>Neaps!C43</f>
        <v>1</v>
      </c>
      <c r="N43" s="3">
        <f t="shared" si="17"/>
        <v>0.40758940541980837</v>
      </c>
      <c r="O43" s="54">
        <f>Neaps!C43</f>
        <v>1</v>
      </c>
      <c r="P43" s="3">
        <f t="shared" si="18"/>
        <v>6.2706062372278215E-2</v>
      </c>
      <c r="Q43" s="54">
        <f>Neaps!C43</f>
        <v>1</v>
      </c>
      <c r="R43" s="3">
        <f t="shared" si="19"/>
        <v>0.43894243660594745</v>
      </c>
      <c r="S43" s="54">
        <f>Neaps!C43</f>
        <v>1</v>
      </c>
      <c r="T43" s="3">
        <f t="shared" si="20"/>
        <v>0.75247274846733847</v>
      </c>
      <c r="U43" s="54">
        <f>Neaps!C43</f>
        <v>1</v>
      </c>
      <c r="V43" s="3">
        <f t="shared" si="21"/>
        <v>1.0346500291425904</v>
      </c>
      <c r="W43" s="54">
        <f>Neaps!C43</f>
        <v>1</v>
      </c>
      <c r="X43" s="3">
        <f t="shared" si="22"/>
        <v>0.97194396677031236</v>
      </c>
      <c r="Y43" s="54">
        <f>Neaps!C43</f>
        <v>1</v>
      </c>
      <c r="Z43" s="3">
        <f t="shared" si="23"/>
        <v>0.68976668609506031</v>
      </c>
    </row>
  </sheetData>
  <mergeCells count="36">
    <mergeCell ref="K2:L2"/>
    <mergeCell ref="M2:N2"/>
    <mergeCell ref="O2:P2"/>
    <mergeCell ref="I3:J3"/>
    <mergeCell ref="C2:D2"/>
    <mergeCell ref="E2:F2"/>
    <mergeCell ref="C3:D3"/>
    <mergeCell ref="E3:F3"/>
    <mergeCell ref="G3:H3"/>
    <mergeCell ref="G2:H2"/>
    <mergeCell ref="I2:J2"/>
    <mergeCell ref="M4:N4"/>
    <mergeCell ref="O4:P4"/>
    <mergeCell ref="Q4:R4"/>
    <mergeCell ref="K3:L3"/>
    <mergeCell ref="M3:N3"/>
    <mergeCell ref="O3:P3"/>
    <mergeCell ref="Q3:R3"/>
    <mergeCell ref="C4:D4"/>
    <mergeCell ref="E4:F4"/>
    <mergeCell ref="G4:H4"/>
    <mergeCell ref="I4:J4"/>
    <mergeCell ref="K4:L4"/>
    <mergeCell ref="S4:T4"/>
    <mergeCell ref="U4:V4"/>
    <mergeCell ref="W4:X4"/>
    <mergeCell ref="Y4:Z4"/>
    <mergeCell ref="W3:X3"/>
    <mergeCell ref="Y3:Z3"/>
    <mergeCell ref="S3:T3"/>
    <mergeCell ref="U3:V3"/>
    <mergeCell ref="Y2:Z2"/>
    <mergeCell ref="W2:X2"/>
    <mergeCell ref="U2:V2"/>
    <mergeCell ref="S2:T2"/>
    <mergeCell ref="Q2:R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6"/>
  <sheetViews>
    <sheetView workbookViewId="0">
      <selection activeCell="C33" sqref="C33"/>
    </sheetView>
  </sheetViews>
  <sheetFormatPr baseColWidth="10" defaultColWidth="9.140625" defaultRowHeight="15"/>
  <cols>
    <col min="1" max="1" width="13.140625" customWidth="1"/>
    <col min="2" max="2" width="10" bestFit="1" customWidth="1"/>
    <col min="3" max="3" width="18.7109375" customWidth="1"/>
  </cols>
  <sheetData>
    <row r="1" spans="1:3" ht="15.75" thickBot="1">
      <c r="A1" t="s">
        <v>17</v>
      </c>
    </row>
    <row r="2" spans="1:3">
      <c r="A2" s="13" t="s">
        <v>60</v>
      </c>
      <c r="B2" s="36">
        <f>Inputs!C9</f>
        <v>1</v>
      </c>
      <c r="C2" s="15" t="s">
        <v>21</v>
      </c>
    </row>
    <row r="3" spans="1:3">
      <c r="A3" s="16" t="s">
        <v>61</v>
      </c>
      <c r="B3" s="37">
        <f>B2*1.86</f>
        <v>1.86</v>
      </c>
      <c r="C3" s="18" t="s">
        <v>21</v>
      </c>
    </row>
    <row r="4" spans="1:3">
      <c r="A4" s="16" t="s">
        <v>18</v>
      </c>
      <c r="B4" s="37">
        <f>Inputs!C10</f>
        <v>20</v>
      </c>
      <c r="C4" s="18" t="s">
        <v>21</v>
      </c>
    </row>
    <row r="5" spans="1:3" ht="15.75" thickBot="1">
      <c r="A5" s="19" t="s">
        <v>19</v>
      </c>
      <c r="B5" s="46">
        <f>Inputs!C11</f>
        <v>3.5805743701971644</v>
      </c>
      <c r="C5" s="21" t="s">
        <v>20</v>
      </c>
    </row>
    <row r="6" spans="1:3">
      <c r="A6" s="16" t="s">
        <v>38</v>
      </c>
      <c r="B6" s="22">
        <f>Inputs!C14</f>
        <v>9.81</v>
      </c>
      <c r="C6" s="18" t="s">
        <v>39</v>
      </c>
    </row>
    <row r="7" spans="1:3" ht="15.75" thickBot="1">
      <c r="A7" s="16" t="s">
        <v>27</v>
      </c>
      <c r="B7" s="17"/>
      <c r="C7" s="18"/>
    </row>
    <row r="8" spans="1:3">
      <c r="A8" s="23" t="s">
        <v>22</v>
      </c>
      <c r="B8" s="24">
        <f>Inputs!C12</f>
        <v>10</v>
      </c>
      <c r="C8" s="15" t="s">
        <v>25</v>
      </c>
    </row>
    <row r="9" spans="1:3" ht="15.75" thickBot="1">
      <c r="A9" s="25" t="s">
        <v>23</v>
      </c>
      <c r="B9" s="20">
        <v>0</v>
      </c>
      <c r="C9" s="21" t="s">
        <v>20</v>
      </c>
    </row>
    <row r="10" spans="1:3" ht="15.75" thickBot="1">
      <c r="A10" s="26" t="s">
        <v>24</v>
      </c>
      <c r="B10" s="27">
        <f>(0.5*B3)*SIN((((2*PI())/B4)*B8)-((2*PI())/B5)*B9)</f>
        <v>1.1393880630650167E-16</v>
      </c>
      <c r="C10" s="28" t="s">
        <v>21</v>
      </c>
    </row>
    <row r="11" spans="1:3" ht="15.75" thickBot="1"/>
    <row r="12" spans="1:3">
      <c r="A12" s="13" t="s">
        <v>26</v>
      </c>
      <c r="B12" s="14"/>
      <c r="C12" s="15"/>
    </row>
    <row r="13" spans="1:3">
      <c r="A13" s="30" t="s">
        <v>28</v>
      </c>
      <c r="B13" s="17">
        <f>(2*PI())/B5</f>
        <v>1.7547981573787568</v>
      </c>
      <c r="C13" s="18" t="s">
        <v>29</v>
      </c>
    </row>
    <row r="14" spans="1:3">
      <c r="A14" s="31" t="s">
        <v>30</v>
      </c>
      <c r="B14" s="17">
        <f>1/B5</f>
        <v>0.27928480087537882</v>
      </c>
      <c r="C14" s="18" t="s">
        <v>31</v>
      </c>
    </row>
    <row r="15" spans="1:3" ht="15.75" thickBot="1">
      <c r="A15" s="16" t="s">
        <v>40</v>
      </c>
      <c r="B15" s="17">
        <f>2*PI()/B4</f>
        <v>0.31415926535897931</v>
      </c>
      <c r="C15" s="18"/>
    </row>
    <row r="16" spans="1:3" ht="15.75" thickBot="1">
      <c r="A16" s="26" t="s">
        <v>32</v>
      </c>
      <c r="B16" s="27">
        <f>B3/B4</f>
        <v>9.2999999999999999E-2</v>
      </c>
      <c r="C16" s="32"/>
    </row>
    <row r="17" spans="1:33" ht="15.75" thickBot="1"/>
    <row r="18" spans="1:33">
      <c r="A18" s="13" t="s">
        <v>33</v>
      </c>
      <c r="B18" s="14"/>
      <c r="C18" s="15"/>
    </row>
    <row r="19" spans="1:33" ht="15.75" thickBot="1">
      <c r="A19" s="19" t="s">
        <v>34</v>
      </c>
      <c r="B19" s="20">
        <f>B4/B5</f>
        <v>5.5856960175075763</v>
      </c>
      <c r="C19" s="21" t="s">
        <v>35</v>
      </c>
    </row>
    <row r="20" spans="1:33">
      <c r="A20" s="22" t="s">
        <v>41</v>
      </c>
      <c r="B20">
        <f>'Wave Drift (net flow)'!B6</f>
        <v>0</v>
      </c>
      <c r="C20">
        <f>'Wave Drift (net flow)'!C6</f>
        <v>-1</v>
      </c>
      <c r="D20">
        <f>'Wave Drift (net flow)'!D6</f>
        <v>-2</v>
      </c>
      <c r="E20">
        <f>'Wave Drift (net flow)'!E6</f>
        <v>-3</v>
      </c>
      <c r="F20">
        <f>'Wave Drift (net flow)'!F6</f>
        <v>-4</v>
      </c>
      <c r="G20">
        <f>'Wave Drift (net flow)'!G6</f>
        <v>-5</v>
      </c>
      <c r="H20">
        <f>'Wave Drift (net flow)'!H6</f>
        <v>-6</v>
      </c>
      <c r="I20">
        <f>'Wave Drift (net flow)'!I6</f>
        <v>-7</v>
      </c>
      <c r="J20">
        <f>'Wave Drift (net flow)'!J6</f>
        <v>-8</v>
      </c>
      <c r="K20">
        <f>'Wave Drift (net flow)'!K6</f>
        <v>-9</v>
      </c>
      <c r="L20">
        <f>'Wave Drift (net flow)'!L6</f>
        <v>-10</v>
      </c>
      <c r="M20">
        <f>'Wave Drift (net flow)'!M6</f>
        <v>-11</v>
      </c>
      <c r="N20">
        <f>'Wave Drift (net flow)'!N6</f>
        <v>-12</v>
      </c>
      <c r="O20">
        <f>'Wave Drift (net flow)'!O6</f>
        <v>-13</v>
      </c>
      <c r="P20">
        <f>'Wave Drift (net flow)'!P6</f>
        <v>-14</v>
      </c>
      <c r="Q20">
        <f>'Wave Drift (net flow)'!Q6</f>
        <v>-15</v>
      </c>
      <c r="R20">
        <f>'Wave Drift (net flow)'!R6</f>
        <v>-16</v>
      </c>
      <c r="S20">
        <f>'Wave Drift (net flow)'!S6</f>
        <v>-17</v>
      </c>
      <c r="T20">
        <f>'Wave Drift (net flow)'!T6</f>
        <v>-18</v>
      </c>
      <c r="U20">
        <f>'Wave Drift (net flow)'!U6</f>
        <v>-19</v>
      </c>
      <c r="V20">
        <f>'Wave Drift (net flow)'!V6</f>
        <v>-20</v>
      </c>
      <c r="W20">
        <f>'Wave Drift (net flow)'!W6</f>
        <v>-21</v>
      </c>
      <c r="X20">
        <f>'Wave Drift (net flow)'!X6</f>
        <v>-22</v>
      </c>
      <c r="Y20">
        <f>'Wave Drift (net flow)'!Y6</f>
        <v>-23</v>
      </c>
      <c r="Z20">
        <f>'Wave Drift (net flow)'!Z6</f>
        <v>-24</v>
      </c>
      <c r="AA20">
        <f>'Wave Drift (net flow)'!AA6</f>
        <v>-25</v>
      </c>
      <c r="AB20">
        <f>'Wave Drift (net flow)'!AB6</f>
        <v>-26</v>
      </c>
      <c r="AC20">
        <f>'Wave Drift (net flow)'!AC6</f>
        <v>-27</v>
      </c>
      <c r="AD20">
        <f>'Wave Drift (net flow)'!AD6</f>
        <v>-28</v>
      </c>
      <c r="AE20">
        <f>'Wave Drift (net flow)'!AE6</f>
        <v>-29</v>
      </c>
      <c r="AF20">
        <f>'Wave Drift (net flow)'!AF6</f>
        <v>-30</v>
      </c>
      <c r="AG20">
        <f>'Wave Drift (net flow)'!AG6</f>
        <v>-31</v>
      </c>
    </row>
    <row r="21" spans="1:33">
      <c r="A21" t="s">
        <v>36</v>
      </c>
    </row>
    <row r="22" spans="1:33">
      <c r="A22" s="29" t="s">
        <v>37</v>
      </c>
      <c r="B22">
        <f>((($B$3/2)*$B$6)/$B$13)*(COSH($B$15*($B$3+B20))/(COSH($B$15*$B$3)))*SIN(($B$15*(1/TAN($B$8))-$B$13*$B$9))</f>
        <v>2.4217467863269473</v>
      </c>
      <c r="C22">
        <f t="shared" ref="C22:H22" si="0">((($B$3/2)*$B$6)/$B$13)*(COSH($B$15*($B$3+C20))/(COSH($B$15*$B$3)))*SIN(($B$15*(1/TAN($B$8))-$B$13*$B$9))</f>
        <v>2.1355846819260949</v>
      </c>
      <c r="D22">
        <f t="shared" si="0"/>
        <v>2.0619355951665459</v>
      </c>
      <c r="E22">
        <f t="shared" si="0"/>
        <v>2.1934706714230288</v>
      </c>
      <c r="F22">
        <f t="shared" si="0"/>
        <v>2.5432790268600813</v>
      </c>
      <c r="G22">
        <f t="shared" si="0"/>
        <v>3.1461702524244917</v>
      </c>
      <c r="H22">
        <f t="shared" si="0"/>
        <v>4.062138332311072</v>
      </c>
      <c r="I22">
        <f t="shared" ref="I22:AG22" si="1">((($B$3/2)*$B$6)/$B$13)*(COSH($B$15*($B$3+I20))/(COSH($B$15*$B$3)))*SIN(($B$15*(1/TAN($B$8))-$B$13*$B$9))</f>
        <v>5.3823316730275188</v>
      </c>
      <c r="J22">
        <f t="shared" si="1"/>
        <v>7.2381233234067937</v>
      </c>
      <c r="K22">
        <f t="shared" si="1"/>
        <v>9.8141839673479527</v>
      </c>
      <c r="L22">
        <f t="shared" si="1"/>
        <v>13.366858588828499</v>
      </c>
      <c r="M22">
        <f t="shared" si="1"/>
        <v>18.249675479607657</v>
      </c>
      <c r="N22">
        <f t="shared" si="1"/>
        <v>24.948526002753983</v>
      </c>
      <c r="O22">
        <f t="shared" si="1"/>
        <v>34.130015866507492</v>
      </c>
      <c r="P22">
        <f t="shared" si="1"/>
        <v>46.707799366060797</v>
      </c>
      <c r="Q22">
        <f t="shared" si="1"/>
        <v>63.93349754428364</v>
      </c>
      <c r="R22">
        <f t="shared" si="1"/>
        <v>87.521247579539249</v>
      </c>
      <c r="S22">
        <f t="shared" si="1"/>
        <v>119.81827736767487</v>
      </c>
      <c r="T22">
        <f t="shared" si="1"/>
        <v>164.0384792535904</v>
      </c>
      <c r="U22">
        <f t="shared" si="1"/>
        <v>224.58222594224824</v>
      </c>
      <c r="V22">
        <f t="shared" si="1"/>
        <v>307.4742536180799</v>
      </c>
      <c r="W22">
        <f t="shared" si="1"/>
        <v>420.96318622415913</v>
      </c>
      <c r="X22">
        <f t="shared" si="1"/>
        <v>576.34235983894882</v>
      </c>
      <c r="Y22">
        <f t="shared" si="1"/>
        <v>789.07362776330274</v>
      </c>
      <c r="Z22">
        <f t="shared" si="1"/>
        <v>1080.3259766807603</v>
      </c>
      <c r="AA22">
        <f t="shared" si="1"/>
        <v>1479.0820622955866</v>
      </c>
      <c r="AB22">
        <f t="shared" si="1"/>
        <v>2025.0222867824286</v>
      </c>
      <c r="AC22">
        <f t="shared" si="1"/>
        <v>2772.4734139261013</v>
      </c>
      <c r="AD22">
        <f t="shared" si="1"/>
        <v>3795.8146504670481</v>
      </c>
      <c r="AE22">
        <f t="shared" si="1"/>
        <v>5196.8791553029741</v>
      </c>
      <c r="AF22">
        <f t="shared" si="1"/>
        <v>7115.0875041444497</v>
      </c>
      <c r="AG22">
        <f t="shared" si="1"/>
        <v>9741.3214953706356</v>
      </c>
    </row>
    <row r="24" spans="1:33" ht="15.75" thickBot="1">
      <c r="A24" t="s">
        <v>42</v>
      </c>
      <c r="B24">
        <f>0.5*$B$3*$B$13*EXP($B$15*B20)*COS(($B$15*$B$8)-($B$13*$B$9))</f>
        <v>-1.6319622863622438</v>
      </c>
      <c r="C24">
        <f t="shared" ref="C24:AG24" si="2">0.5*$B$3*$B$13*EXP($B$15*C20)*COS(($B$15*$B$8)-($B$13*$B$9))</f>
        <v>-1.1919896456488834</v>
      </c>
      <c r="D24">
        <f t="shared" si="2"/>
        <v>-0.87063244488406588</v>
      </c>
      <c r="E24">
        <f t="shared" si="2"/>
        <v>-0.63591228065758332</v>
      </c>
      <c r="F24">
        <f t="shared" si="2"/>
        <v>-0.46447204106318046</v>
      </c>
      <c r="G24">
        <f t="shared" si="2"/>
        <v>-0.33925162870940406</v>
      </c>
      <c r="H24">
        <f t="shared" si="2"/>
        <v>-0.24779030255198467</v>
      </c>
      <c r="I24">
        <f t="shared" si="2"/>
        <v>-0.1809867037997277</v>
      </c>
      <c r="J24">
        <f t="shared" si="2"/>
        <v>-0.13219317549934526</v>
      </c>
      <c r="K24">
        <f t="shared" si="2"/>
        <v>-9.6554251122987655E-2</v>
      </c>
      <c r="L24">
        <f t="shared" si="2"/>
        <v>-7.0523484852416898E-2</v>
      </c>
      <c r="M24">
        <f t="shared" si="2"/>
        <v>-5.1510543118333696E-2</v>
      </c>
      <c r="N24">
        <f t="shared" si="2"/>
        <v>-3.7623439311008228E-2</v>
      </c>
      <c r="O24">
        <f t="shared" si="2"/>
        <v>-2.7480261319265811E-2</v>
      </c>
      <c r="P24">
        <f t="shared" si="2"/>
        <v>-2.0071656818311752E-2</v>
      </c>
      <c r="Q24">
        <f t="shared" si="2"/>
        <v>-1.4660392153899799E-2</v>
      </c>
      <c r="R24">
        <f t="shared" si="2"/>
        <v>-1.0707989881036863E-2</v>
      </c>
      <c r="S24">
        <f t="shared" si="2"/>
        <v>-7.8211446248309929E-3</v>
      </c>
      <c r="T24">
        <f t="shared" si="2"/>
        <v>-5.7125850810572061E-3</v>
      </c>
      <c r="U24">
        <f t="shared" si="2"/>
        <v>-4.1724875160485293E-3</v>
      </c>
      <c r="V24">
        <f t="shared" si="2"/>
        <v>-3.0475961100887247E-3</v>
      </c>
      <c r="W24">
        <f t="shared" si="2"/>
        <v>-2.2259724000381889E-3</v>
      </c>
      <c r="X24">
        <f t="shared" si="2"/>
        <v>-1.6258562311879054E-3</v>
      </c>
      <c r="Y24">
        <f t="shared" si="2"/>
        <v>-1.1875297665178549E-3</v>
      </c>
      <c r="Z24">
        <f t="shared" si="2"/>
        <v>-8.6737493716501114E-4</v>
      </c>
      <c r="AA24">
        <f t="shared" si="2"/>
        <v>-6.3353298825347408E-4</v>
      </c>
      <c r="AB24">
        <f t="shared" si="2"/>
        <v>-4.6273419948842742E-4</v>
      </c>
      <c r="AC24">
        <f t="shared" si="2"/>
        <v>-3.3798230454658822E-4</v>
      </c>
      <c r="AD24">
        <f t="shared" si="2"/>
        <v>-2.4686318476765094E-4</v>
      </c>
      <c r="AE24">
        <f t="shared" si="2"/>
        <v>-1.8030953447513125E-4</v>
      </c>
      <c r="AF24">
        <f t="shared" si="2"/>
        <v>-1.3169856920236441E-4</v>
      </c>
      <c r="AG24">
        <f t="shared" si="2"/>
        <v>-9.6192989352663247E-5</v>
      </c>
    </row>
    <row r="25" spans="1:33">
      <c r="A25" s="13" t="s">
        <v>46</v>
      </c>
      <c r="B25" s="14">
        <f t="shared" ref="B25:Q25" si="3">B20</f>
        <v>0</v>
      </c>
      <c r="C25" s="14">
        <f t="shared" si="3"/>
        <v>-1</v>
      </c>
      <c r="D25" s="14">
        <f t="shared" si="3"/>
        <v>-2</v>
      </c>
      <c r="E25" s="14">
        <f t="shared" si="3"/>
        <v>-3</v>
      </c>
      <c r="F25" s="14">
        <f t="shared" si="3"/>
        <v>-4</v>
      </c>
      <c r="G25" s="14">
        <f t="shared" si="3"/>
        <v>-5</v>
      </c>
      <c r="H25" s="14">
        <f t="shared" si="3"/>
        <v>-6</v>
      </c>
      <c r="I25" s="14">
        <f t="shared" si="3"/>
        <v>-7</v>
      </c>
      <c r="J25" s="14">
        <f t="shared" si="3"/>
        <v>-8</v>
      </c>
      <c r="K25" s="14">
        <f t="shared" si="3"/>
        <v>-9</v>
      </c>
      <c r="L25" s="14">
        <f t="shared" si="3"/>
        <v>-10</v>
      </c>
      <c r="M25" s="14">
        <f t="shared" si="3"/>
        <v>-11</v>
      </c>
      <c r="N25" s="14">
        <f t="shared" si="3"/>
        <v>-12</v>
      </c>
      <c r="O25" s="14">
        <f t="shared" si="3"/>
        <v>-13</v>
      </c>
      <c r="P25" s="14">
        <f t="shared" si="3"/>
        <v>-14</v>
      </c>
      <c r="Q25" s="15">
        <f t="shared" si="3"/>
        <v>-15</v>
      </c>
      <c r="R25" s="15">
        <f t="shared" ref="R25:AG25" si="4">R20</f>
        <v>-16</v>
      </c>
      <c r="S25" s="15">
        <f t="shared" si="4"/>
        <v>-17</v>
      </c>
      <c r="T25" s="15">
        <f t="shared" si="4"/>
        <v>-18</v>
      </c>
      <c r="U25" s="15">
        <f t="shared" si="4"/>
        <v>-19</v>
      </c>
      <c r="V25" s="15">
        <f t="shared" si="4"/>
        <v>-20</v>
      </c>
      <c r="W25" s="15">
        <f t="shared" si="4"/>
        <v>-21</v>
      </c>
      <c r="X25" s="15">
        <f t="shared" si="4"/>
        <v>-22</v>
      </c>
      <c r="Y25" s="15">
        <f t="shared" si="4"/>
        <v>-23</v>
      </c>
      <c r="Z25" s="15">
        <f t="shared" si="4"/>
        <v>-24</v>
      </c>
      <c r="AA25" s="15">
        <f t="shared" si="4"/>
        <v>-25</v>
      </c>
      <c r="AB25" s="15">
        <f t="shared" si="4"/>
        <v>-26</v>
      </c>
      <c r="AC25" s="15">
        <f t="shared" si="4"/>
        <v>-27</v>
      </c>
      <c r="AD25" s="15">
        <f t="shared" si="4"/>
        <v>-28</v>
      </c>
      <c r="AE25" s="15">
        <f t="shared" si="4"/>
        <v>-29</v>
      </c>
      <c r="AF25" s="15">
        <f t="shared" si="4"/>
        <v>-30</v>
      </c>
      <c r="AG25" s="15">
        <f t="shared" si="4"/>
        <v>-31</v>
      </c>
    </row>
    <row r="26" spans="1:33" ht="15.75" thickBot="1">
      <c r="A26" s="19" t="s">
        <v>42</v>
      </c>
      <c r="B26" s="20">
        <f t="shared" ref="B26:Q26" si="5">B24</f>
        <v>-1.6319622863622438</v>
      </c>
      <c r="C26" s="20">
        <f t="shared" si="5"/>
        <v>-1.1919896456488834</v>
      </c>
      <c r="D26" s="20">
        <f t="shared" si="5"/>
        <v>-0.87063244488406588</v>
      </c>
      <c r="E26" s="20">
        <f t="shared" si="5"/>
        <v>-0.63591228065758332</v>
      </c>
      <c r="F26" s="20">
        <f t="shared" si="5"/>
        <v>-0.46447204106318046</v>
      </c>
      <c r="G26" s="20">
        <f>G24</f>
        <v>-0.33925162870940406</v>
      </c>
      <c r="H26" s="20">
        <f t="shared" si="5"/>
        <v>-0.24779030255198467</v>
      </c>
      <c r="I26" s="20">
        <f t="shared" si="5"/>
        <v>-0.1809867037997277</v>
      </c>
      <c r="J26" s="20">
        <f t="shared" si="5"/>
        <v>-0.13219317549934526</v>
      </c>
      <c r="K26" s="20">
        <f t="shared" si="5"/>
        <v>-9.6554251122987655E-2</v>
      </c>
      <c r="L26" s="20">
        <f t="shared" si="5"/>
        <v>-7.0523484852416898E-2</v>
      </c>
      <c r="M26" s="20">
        <f t="shared" si="5"/>
        <v>-5.1510543118333696E-2</v>
      </c>
      <c r="N26" s="20">
        <f t="shared" si="5"/>
        <v>-3.7623439311008228E-2</v>
      </c>
      <c r="O26" s="20">
        <f t="shared" si="5"/>
        <v>-2.7480261319265811E-2</v>
      </c>
      <c r="P26" s="20">
        <f t="shared" si="5"/>
        <v>-2.0071656818311752E-2</v>
      </c>
      <c r="Q26" s="21">
        <f t="shared" si="5"/>
        <v>-1.4660392153899799E-2</v>
      </c>
      <c r="R26" s="21">
        <f t="shared" ref="R26:AG26" si="6">R24</f>
        <v>-1.0707989881036863E-2</v>
      </c>
      <c r="S26" s="21">
        <f t="shared" si="6"/>
        <v>-7.8211446248309929E-3</v>
      </c>
      <c r="T26" s="21">
        <f t="shared" si="6"/>
        <v>-5.7125850810572061E-3</v>
      </c>
      <c r="U26" s="21">
        <f t="shared" si="6"/>
        <v>-4.1724875160485293E-3</v>
      </c>
      <c r="V26" s="21">
        <f t="shared" si="6"/>
        <v>-3.0475961100887247E-3</v>
      </c>
      <c r="W26" s="21">
        <f t="shared" si="6"/>
        <v>-2.2259724000381889E-3</v>
      </c>
      <c r="X26" s="21">
        <f t="shared" si="6"/>
        <v>-1.6258562311879054E-3</v>
      </c>
      <c r="Y26" s="21">
        <f t="shared" si="6"/>
        <v>-1.1875297665178549E-3</v>
      </c>
      <c r="Z26" s="21">
        <f t="shared" si="6"/>
        <v>-8.6737493716501114E-4</v>
      </c>
      <c r="AA26" s="21">
        <f t="shared" si="6"/>
        <v>-6.3353298825347408E-4</v>
      </c>
      <c r="AB26" s="21">
        <f t="shared" si="6"/>
        <v>-4.6273419948842742E-4</v>
      </c>
      <c r="AC26" s="21">
        <f t="shared" si="6"/>
        <v>-3.3798230454658822E-4</v>
      </c>
      <c r="AD26" s="21">
        <f t="shared" si="6"/>
        <v>-2.4686318476765094E-4</v>
      </c>
      <c r="AE26" s="21">
        <f t="shared" si="6"/>
        <v>-1.8030953447513125E-4</v>
      </c>
      <c r="AF26" s="21">
        <f t="shared" si="6"/>
        <v>-1.3169856920236441E-4</v>
      </c>
      <c r="AG26" s="21">
        <f t="shared" si="6"/>
        <v>-9.6192989352663247E-5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7"/>
  <sheetViews>
    <sheetView workbookViewId="0">
      <selection activeCell="B3" sqref="B3"/>
    </sheetView>
  </sheetViews>
  <sheetFormatPr baseColWidth="10" defaultColWidth="9.140625" defaultRowHeight="15"/>
  <cols>
    <col min="1" max="1" width="15.5703125" customWidth="1"/>
    <col min="2" max="2" width="12" bestFit="1" customWidth="1"/>
  </cols>
  <sheetData>
    <row r="1" spans="1:33">
      <c r="A1" t="s">
        <v>43</v>
      </c>
    </row>
    <row r="3" spans="1:33">
      <c r="A3" t="s">
        <v>44</v>
      </c>
      <c r="B3">
        <f>'Wave particle velocity'!$B$15*'Wave particle velocity'!$B$13*((0.5*'Wave particle velocity'!$B$3)^2)*(EXP(2*'Wave particle velocity'!$B$15*'Wave Drift (net flow)'!B5))</f>
        <v>257247761.35464174</v>
      </c>
      <c r="C3">
        <f>'Wave particle velocity'!$B$15*'Wave particle velocity'!$B$13*((0.5*'Wave particle velocity'!$B$3)^2)*(EXP(2*'Wave particle velocity'!$B$15*'Wave Drift (net flow)'!C5))</f>
        <v>137238617.14254752</v>
      </c>
      <c r="D3">
        <f>'Wave particle velocity'!$B$15*'Wave particle velocity'!$B$13*((0.5*'Wave particle velocity'!$B$3)^2)*(EXP(2*'Wave particle velocity'!$B$15*'Wave Drift (net flow)'!D5))</f>
        <v>73215167.883360431</v>
      </c>
      <c r="E3">
        <f>'Wave particle velocity'!$B$15*'Wave particle velocity'!$B$13*((0.5*'Wave particle velocity'!$B$3)^2)*(EXP(2*'Wave particle velocity'!$B$15*'Wave Drift (net flow)'!E5))</f>
        <v>39059420.15300861</v>
      </c>
      <c r="F3">
        <f>'Wave particle velocity'!$B$15*'Wave particle velocity'!$B$13*((0.5*'Wave particle velocity'!$B$3)^2)*(EXP(2*'Wave particle velocity'!$B$15*'Wave Drift (net flow)'!F5))</f>
        <v>20837735.496553928</v>
      </c>
      <c r="G3">
        <f>'Wave particle velocity'!$B$15*'Wave particle velocity'!$B$13*((0.5*'Wave particle velocity'!$B$3)^2)*(EXP(2*'Wave particle velocity'!$B$15*'Wave Drift (net flow)'!G5))</f>
        <v>11116683.732717879</v>
      </c>
      <c r="H3">
        <f>'Wave particle velocity'!$B$15*'Wave particle velocity'!$B$13*((0.5*'Wave particle velocity'!$B$3)^2)*(EXP(2*'Wave particle velocity'!$B$15*'Wave Drift (net flow)'!H5))</f>
        <v>5930618.3838311816</v>
      </c>
      <c r="I3">
        <f>'Wave particle velocity'!$B$15*'Wave particle velocity'!$B$13*((0.5*'Wave particle velocity'!$B$3)^2)*(EXP(2*'Wave particle velocity'!$B$15*'Wave Drift (net flow)'!I5))</f>
        <v>3163914.2805799013</v>
      </c>
      <c r="J3">
        <f>'Wave particle velocity'!$B$15*'Wave particle velocity'!$B$13*((0.5*'Wave particle velocity'!$B$3)^2)*(EXP(2*'Wave particle velocity'!$B$15*'Wave Drift (net flow)'!J5))</f>
        <v>1687910.5899224528</v>
      </c>
      <c r="K3">
        <f>'Wave particle velocity'!$B$15*'Wave particle velocity'!$B$13*((0.5*'Wave particle velocity'!$B$3)^2)*(EXP(2*'Wave particle velocity'!$B$15*'Wave Drift (net flow)'!K5))</f>
        <v>900480.19855018728</v>
      </c>
      <c r="L3">
        <f>'Wave particle velocity'!$B$15*'Wave particle velocity'!$B$13*((0.5*'Wave particle velocity'!$B$3)^2)*(EXP(2*'Wave particle velocity'!$B$15*'Wave Drift (net flow)'!L5))</f>
        <v>480395.46218987711</v>
      </c>
      <c r="M3">
        <f>'Wave particle velocity'!$B$15*'Wave particle velocity'!$B$13*((0.5*'Wave particle velocity'!$B$3)^2)*(EXP(2*'Wave particle velocity'!$B$15*'Wave Drift (net flow)'!M5))</f>
        <v>256285.2580925058</v>
      </c>
      <c r="N3">
        <f>'Wave particle velocity'!$B$15*'Wave particle velocity'!$B$13*((0.5*'Wave particle velocity'!$B$3)^2)*(EXP(2*'Wave particle velocity'!$B$15*'Wave Drift (net flow)'!N5))</f>
        <v>136725.13311456164</v>
      </c>
      <c r="O3">
        <f>'Wave particle velocity'!$B$15*'Wave particle velocity'!$B$13*((0.5*'Wave particle velocity'!$B$3)^2)*(EXP(2*'Wave particle velocity'!$B$15*'Wave Drift (net flow)'!O5))</f>
        <v>72941.23026946449</v>
      </c>
      <c r="P3">
        <f>'Wave particle velocity'!$B$15*'Wave particle velocity'!$B$13*((0.5*'Wave particle velocity'!$B$3)^2)*(EXP(2*'Wave particle velocity'!$B$15*'Wave Drift (net flow)'!P5))</f>
        <v>38913.277698293205</v>
      </c>
      <c r="Q3">
        <f>'Wave particle velocity'!$B$15*'Wave particle velocity'!$B$13*((0.5*'Wave particle velocity'!$B$3)^2)*(EXP(2*'Wave particle velocity'!$B$15*'Wave Drift (net flow)'!Q5))</f>
        <v>20759.770237360444</v>
      </c>
      <c r="R3">
        <f>'Wave particle velocity'!$B$15*'Wave particle velocity'!$B$13*((0.5*'Wave particle velocity'!$B$3)^2)*(EXP(2*'Wave particle velocity'!$B$15*'Wave Drift (net flow)'!R5))</f>
        <v>11075.090195419323</v>
      </c>
      <c r="S3">
        <f>'Wave particle velocity'!$B$15*'Wave particle velocity'!$B$13*((0.5*'Wave particle velocity'!$B$3)^2)*(EXP(2*'Wave particle velocity'!$B$15*'Wave Drift (net flow)'!S5))</f>
        <v>5908.4287270160485</v>
      </c>
      <c r="T3">
        <f>'Wave particle velocity'!$B$15*'Wave particle velocity'!$B$13*((0.5*'Wave particle velocity'!$B$3)^2)*(EXP(2*'Wave particle velocity'!$B$15*'Wave Drift (net flow)'!T5))</f>
        <v>3152.0763629236285</v>
      </c>
      <c r="U3">
        <f>'Wave particle velocity'!$B$15*'Wave particle velocity'!$B$13*((0.5*'Wave particle velocity'!$B$3)^2)*(EXP(2*'Wave particle velocity'!$B$15*'Wave Drift (net flow)'!U5))</f>
        <v>1681.5952018295143</v>
      </c>
      <c r="V3">
        <f>'Wave particle velocity'!$B$15*'Wave particle velocity'!$B$13*((0.5*'Wave particle velocity'!$B$3)^2)*(EXP(2*'Wave particle velocity'!$B$15*'Wave Drift (net flow)'!V5))</f>
        <v>897.11101421198612</v>
      </c>
      <c r="W3">
        <f>'Wave particle velocity'!$B$15*'Wave particle velocity'!$B$13*((0.5*'Wave particle velocity'!$B$3)^2)*(EXP(2*'Wave particle velocity'!$B$15*'Wave Drift (net flow)'!W5))</f>
        <v>478.59804246875609</v>
      </c>
      <c r="X3">
        <f>'Wave particle velocity'!$B$15*'Wave particle velocity'!$B$13*((0.5*'Wave particle velocity'!$B$3)^2)*(EXP(2*'Wave particle velocity'!$B$15*'Wave Drift (net flow)'!X5))</f>
        <v>255.32635607659546</v>
      </c>
      <c r="Y3">
        <f>'Wave particle velocity'!$B$15*'Wave particle velocity'!$B$13*((0.5*'Wave particle velocity'!$B$3)^2)*(EXP(2*'Wave particle velocity'!$B$15*'Wave Drift (net flow)'!Y5))</f>
        <v>136.21357030855023</v>
      </c>
      <c r="Z3">
        <f>'Wave particle velocity'!$B$15*'Wave particle velocity'!$B$13*((0.5*'Wave particle velocity'!$B$3)^2)*(EXP(2*'Wave particle velocity'!$B$15*'Wave Drift (net flow)'!Z5))</f>
        <v>72.668317604612241</v>
      </c>
      <c r="AA3">
        <f>'Wave particle velocity'!$B$15*'Wave particle velocity'!$B$13*((0.5*'Wave particle velocity'!$B$3)^2)*(EXP(2*'Wave particle velocity'!$B$15*'Wave Drift (net flow)'!AA5))</f>
        <v>38.767682041686598</v>
      </c>
      <c r="AB3">
        <f>'Wave particle velocity'!$B$15*'Wave particle velocity'!$B$13*((0.5*'Wave particle velocity'!$B$3)^2)*(EXP(2*'Wave particle velocity'!$B$15*'Wave Drift (net flow)'!AB5))</f>
        <v>20.682096688446229</v>
      </c>
      <c r="AC3">
        <f>'Wave particle velocity'!$B$15*'Wave particle velocity'!$B$13*((0.5*'Wave particle velocity'!$B$3)^2)*(EXP(2*'Wave particle velocity'!$B$15*'Wave Drift (net flow)'!AC5))</f>
        <v>11.033652282080807</v>
      </c>
      <c r="AD3">
        <f>'Wave particle velocity'!$B$15*'Wave particle velocity'!$B$13*((0.5*'Wave particle velocity'!$B$3)^2)*(EXP(2*'Wave particle velocity'!$B$15*'Wave Drift (net flow)'!AD5))</f>
        <v>5.8863220937302856</v>
      </c>
      <c r="AE3">
        <f>'Wave particle velocity'!$B$15*'Wave particle velocity'!$B$13*((0.5*'Wave particle velocity'!$B$3)^2)*(EXP(2*'Wave particle velocity'!$B$15*'Wave Drift (net flow)'!AE5))</f>
        <v>3.1402827373315563</v>
      </c>
      <c r="AF3">
        <f>'Wave particle velocity'!$B$15*'Wave particle velocity'!$B$13*((0.5*'Wave particle velocity'!$B$3)^2)*(EXP(2*'Wave particle velocity'!$B$15*'Wave Drift (net flow)'!AF5))</f>
        <v>1.6753034430253562</v>
      </c>
      <c r="AG3">
        <f>'Wave particle velocity'!$B$15*'Wave particle velocity'!$B$13*((0.5*'Wave particle velocity'!$B$3)^2)*(EXP(2*'Wave particle velocity'!$B$15*'Wave Drift (net flow)'!AG5))</f>
        <v>0.89375443581795011</v>
      </c>
    </row>
    <row r="5" spans="1:33" ht="15.75" thickBot="1">
      <c r="A5" t="s">
        <v>45</v>
      </c>
      <c r="B5">
        <f>Neaps!C12</f>
        <v>32</v>
      </c>
      <c r="C5">
        <f>Neaps!C13</f>
        <v>31</v>
      </c>
      <c r="D5">
        <f>Neaps!C14</f>
        <v>30</v>
      </c>
      <c r="E5">
        <f>Neaps!C15</f>
        <v>29</v>
      </c>
      <c r="F5">
        <f>Neaps!C16</f>
        <v>28</v>
      </c>
      <c r="G5">
        <f>Neaps!C17</f>
        <v>27</v>
      </c>
      <c r="H5">
        <f>Neaps!C18</f>
        <v>26</v>
      </c>
      <c r="I5">
        <f>Neaps!C19</f>
        <v>25</v>
      </c>
      <c r="J5">
        <f>Neaps!C20</f>
        <v>24</v>
      </c>
      <c r="K5">
        <f>Neaps!C21</f>
        <v>23</v>
      </c>
      <c r="L5">
        <f>Neaps!C22</f>
        <v>22</v>
      </c>
      <c r="M5">
        <f>Neaps!C23</f>
        <v>21</v>
      </c>
      <c r="N5">
        <f>Neaps!C24</f>
        <v>20</v>
      </c>
      <c r="O5">
        <f>Neaps!C25</f>
        <v>19</v>
      </c>
      <c r="P5">
        <f>Neaps!C26</f>
        <v>18</v>
      </c>
      <c r="Q5">
        <f>Neaps!C27</f>
        <v>17</v>
      </c>
      <c r="R5">
        <f>Neaps!C28</f>
        <v>16</v>
      </c>
      <c r="S5">
        <f>Neaps!C29</f>
        <v>15</v>
      </c>
      <c r="T5">
        <f>Neaps!C30</f>
        <v>14</v>
      </c>
      <c r="U5">
        <f>Neaps!C31</f>
        <v>13</v>
      </c>
      <c r="V5">
        <f>Neaps!C32</f>
        <v>12</v>
      </c>
      <c r="W5">
        <f>Neaps!C33</f>
        <v>11</v>
      </c>
      <c r="X5">
        <f>Neaps!C34</f>
        <v>10</v>
      </c>
      <c r="Y5">
        <f>Neaps!C35</f>
        <v>9</v>
      </c>
      <c r="Z5">
        <f>Neaps!C36</f>
        <v>8</v>
      </c>
      <c r="AA5">
        <f>Neaps!C37</f>
        <v>7</v>
      </c>
      <c r="AB5">
        <f>Neaps!C38</f>
        <v>6</v>
      </c>
      <c r="AC5">
        <f>Neaps!C39</f>
        <v>5</v>
      </c>
      <c r="AD5">
        <f>Neaps!C40</f>
        <v>4</v>
      </c>
      <c r="AE5">
        <f>Neaps!C41</f>
        <v>3</v>
      </c>
      <c r="AF5">
        <f>Neaps!C42</f>
        <v>2</v>
      </c>
      <c r="AG5">
        <f>Neaps!C43</f>
        <v>1</v>
      </c>
    </row>
    <row r="6" spans="1:33">
      <c r="A6" s="13" t="s">
        <v>47</v>
      </c>
      <c r="B6" s="14">
        <f>B5-Neaps!$A$3</f>
        <v>0</v>
      </c>
      <c r="C6" s="14">
        <f>C5-Neaps!$A$3</f>
        <v>-1</v>
      </c>
      <c r="D6" s="14">
        <f>D5-Neaps!$A$3</f>
        <v>-2</v>
      </c>
      <c r="E6" s="14">
        <f>E5-Neaps!$A$3</f>
        <v>-3</v>
      </c>
      <c r="F6" s="14">
        <f>F5-Neaps!$A$3</f>
        <v>-4</v>
      </c>
      <c r="G6" s="14">
        <f>G5-Neaps!$A$3</f>
        <v>-5</v>
      </c>
      <c r="H6" s="14">
        <f>H5-Neaps!$A$3</f>
        <v>-6</v>
      </c>
      <c r="I6" s="14">
        <f>I5-Neaps!$A$3</f>
        <v>-7</v>
      </c>
      <c r="J6" s="14">
        <f>J5-Neaps!$A$3</f>
        <v>-8</v>
      </c>
      <c r="K6" s="14">
        <f>K5-Neaps!$A$3</f>
        <v>-9</v>
      </c>
      <c r="L6" s="14">
        <f>L5-Neaps!$A$3</f>
        <v>-10</v>
      </c>
      <c r="M6" s="14">
        <f>M5-Neaps!$A$3</f>
        <v>-11</v>
      </c>
      <c r="N6" s="14">
        <f>N5-Neaps!$A$3</f>
        <v>-12</v>
      </c>
      <c r="O6" s="14">
        <f>O5-Neaps!$A$3</f>
        <v>-13</v>
      </c>
      <c r="P6" s="14">
        <f>P5-Neaps!$A$3</f>
        <v>-14</v>
      </c>
      <c r="Q6" s="14">
        <f>Q5-Neaps!$A$3</f>
        <v>-15</v>
      </c>
      <c r="R6" s="14">
        <f>R5-Neaps!$A$3</f>
        <v>-16</v>
      </c>
      <c r="S6" s="14">
        <f>S5-Neaps!$A$3</f>
        <v>-17</v>
      </c>
      <c r="T6" s="14">
        <f>T5-Neaps!$A$3</f>
        <v>-18</v>
      </c>
      <c r="U6" s="14">
        <f>U5-Neaps!$A$3</f>
        <v>-19</v>
      </c>
      <c r="V6" s="14">
        <f>V5-Neaps!$A$3</f>
        <v>-20</v>
      </c>
      <c r="W6" s="14">
        <f>W5-Neaps!$A$3</f>
        <v>-21</v>
      </c>
      <c r="X6" s="14">
        <f>X5-Neaps!$A$3</f>
        <v>-22</v>
      </c>
      <c r="Y6" s="14">
        <f>Y5-Neaps!$A$3</f>
        <v>-23</v>
      </c>
      <c r="Z6" s="14">
        <f>Z5-Neaps!$A$3</f>
        <v>-24</v>
      </c>
      <c r="AA6" s="14">
        <f>AA5-Neaps!$A$3</f>
        <v>-25</v>
      </c>
      <c r="AB6" s="14">
        <f>AB5-Neaps!$A$3</f>
        <v>-26</v>
      </c>
      <c r="AC6" s="14">
        <f>AC5-Neaps!$A$3</f>
        <v>-27</v>
      </c>
      <c r="AD6" s="14">
        <f>AD5-Neaps!$A$3</f>
        <v>-28</v>
      </c>
      <c r="AE6" s="14">
        <f>AE5-Neaps!$A$3</f>
        <v>-29</v>
      </c>
      <c r="AF6" s="14">
        <f>AF5-Neaps!$A$3</f>
        <v>-30</v>
      </c>
      <c r="AG6" s="15">
        <f>AG5-Neaps!$A$3</f>
        <v>-31</v>
      </c>
    </row>
    <row r="7" spans="1:33" ht="15.75" thickBot="1">
      <c r="A7" s="19" t="s">
        <v>48</v>
      </c>
      <c r="B7" s="20">
        <f>'Wave particle velocity'!$B$15*'Wave particle velocity'!$B$13*((0.5*'Wave particle velocity'!$B$3)^2)*(EXP(2*'Wave particle velocity'!$B$15*'Wave Drift (net flow)'!B6))</f>
        <v>0.4768073478687242</v>
      </c>
      <c r="C7" s="20">
        <f>'Wave particle velocity'!$B$15*'Wave particle velocity'!$B$13*((0.5*'Wave particle velocity'!$B$3)^2)*(EXP(2*'Wave particle velocity'!$B$15*'Wave Drift (net flow)'!C6))</f>
        <v>0.25437104183269732</v>
      </c>
      <c r="D7" s="20">
        <f>'Wave particle velocity'!$B$15*'Wave particle velocity'!$B$13*((0.5*'Wave particle velocity'!$B$3)^2)*(EXP(2*'Wave particle velocity'!$B$15*'Wave Drift (net flow)'!D6))</f>
        <v>0.13570392153618085</v>
      </c>
      <c r="E7" s="20">
        <f>'Wave particle velocity'!$B$15*'Wave particle velocity'!$B$13*((0.5*'Wave particle velocity'!$B$3)^2)*(EXP(2*'Wave particle velocity'!$B$15*'Wave Drift (net flow)'!E6))</f>
        <v>7.239642605391397E-2</v>
      </c>
      <c r="F7" s="20">
        <f>'Wave particle velocity'!$B$15*'Wave particle velocity'!$B$13*((0.5*'Wave particle velocity'!$B$3)^2)*(EXP(2*'Wave particle velocity'!$B$15*'Wave Drift (net flow)'!F6))</f>
        <v>3.8622631137320784E-2</v>
      </c>
      <c r="G7" s="20">
        <f>'Wave particle velocity'!$B$15*'Wave particle velocity'!$B$13*((0.5*'Wave particle velocity'!$B$3)^2)*(EXP(2*'Wave particle velocity'!$B$15*'Wave Drift (net flow)'!G6))</f>
        <v>2.0604713758365072E-2</v>
      </c>
      <c r="H7" s="20">
        <f>'Wave particle velocity'!$B$15*'Wave particle velocity'!$B$13*((0.5*'Wave particle velocity'!$B$3)^2)*(EXP(2*'Wave particle velocity'!$B$15*'Wave Drift (net flow)'!H6))</f>
        <v>1.0992369410428774E-2</v>
      </c>
      <c r="I7" s="20">
        <f>'Wave particle velocity'!$B$15*'Wave particle velocity'!$B$13*((0.5*'Wave particle velocity'!$B$3)^2)*(EXP(2*'Wave particle velocity'!$B$15*'Wave Drift (net flow)'!I6))</f>
        <v>5.8642981733378827E-3</v>
      </c>
      <c r="J7" s="20">
        <f>'Wave particle velocity'!$B$15*'Wave particle velocity'!$B$13*((0.5*'Wave particle velocity'!$B$3)^2)*(EXP(2*'Wave particle velocity'!$B$15*'Wave Drift (net flow)'!J6))</f>
        <v>3.1285332380830708E-3</v>
      </c>
      <c r="K7" s="20">
        <f>'Wave particle velocity'!$B$15*'Wave particle velocity'!$B$13*((0.5*'Wave particle velocity'!$B$3)^2)*(EXP(2*'Wave particle velocity'!$B$15*'Wave Drift (net flow)'!K6))</f>
        <v>1.6690352251000056E-3</v>
      </c>
      <c r="L7" s="20">
        <f>'Wave particle velocity'!$B$15*'Wave particle velocity'!$B$13*((0.5*'Wave particle velocity'!$B$3)^2)*(EXP(2*'Wave particle velocity'!$B$15*'Wave Drift (net flow)'!L6))</f>
        <v>8.9041041620241184E-4</v>
      </c>
      <c r="M7" s="20">
        <f>'Wave particle velocity'!$B$15*'Wave particle velocity'!$B$13*((0.5*'Wave particle velocity'!$B$3)^2)*(EXP(2*'Wave particle velocity'!$B$15*'Wave Drift (net flow)'!M6))</f>
        <v>4.7502335322745947E-4</v>
      </c>
      <c r="N7" s="20">
        <f>'Wave particle velocity'!$B$15*'Wave particle velocity'!$B$13*((0.5*'Wave particle velocity'!$B$3)^2)*(EXP(2*'Wave particle velocity'!$B$15*'Wave Drift (net flow)'!N6))</f>
        <v>2.5341930193701224E-4</v>
      </c>
      <c r="O7" s="20">
        <f>'Wave particle velocity'!$B$15*'Wave particle velocity'!$B$13*((0.5*'Wave particle velocity'!$B$3)^2)*(EXP(2*'Wave particle velocity'!$B$15*'Wave Drift (net flow)'!O6))</f>
        <v>1.3519617963601656E-4</v>
      </c>
      <c r="P7" s="20">
        <f>'Wave particle velocity'!$B$15*'Wave particle velocity'!$B$13*((0.5*'Wave particle velocity'!$B$3)^2)*(EXP(2*'Wave particle velocity'!$B$15*'Wave Drift (net flow)'!P6))</f>
        <v>7.2125551796828368E-5</v>
      </c>
      <c r="Q7" s="20">
        <f>'Wave particle velocity'!$B$15*'Wave particle velocity'!$B$13*((0.5*'Wave particle velocity'!$B$3)^2)*(EXP(2*'Wave particle velocity'!$B$15*'Wave Drift (net flow)'!Q6))</f>
        <v>3.8478122946982463E-5</v>
      </c>
      <c r="R7" s="20">
        <f>'Wave particle velocity'!$B$15*'Wave particle velocity'!$B$13*((0.5*'Wave particle velocity'!$B$3)^2)*(EXP(2*'Wave particle velocity'!$B$15*'Wave Drift (net flow)'!R6))</f>
        <v>2.0527620359754447E-5</v>
      </c>
      <c r="S7" s="20">
        <f>'Wave particle velocity'!$B$15*'Wave particle velocity'!$B$13*((0.5*'Wave particle velocity'!$B$3)^2)*(EXP(2*'Wave particle velocity'!$B$15*'Wave Drift (net flow)'!S6))</f>
        <v>1.0951241000368268E-5</v>
      </c>
      <c r="T7" s="20">
        <f>'Wave particle velocity'!$B$15*'Wave particle velocity'!$B$13*((0.5*'Wave particle velocity'!$B$3)^2)*(EXP(2*'Wave particle velocity'!$B$15*'Wave Drift (net flow)'!T6))</f>
        <v>5.8423566563650912E-6</v>
      </c>
      <c r="U7" s="20">
        <f>'Wave particle velocity'!$B$15*'Wave particle velocity'!$B$13*((0.5*'Wave particle velocity'!$B$3)^2)*(EXP(2*'Wave particle velocity'!$B$15*'Wave Drift (net flow)'!U6))</f>
        <v>3.1168277000776133E-6</v>
      </c>
      <c r="V7" s="20">
        <f>'Wave particle velocity'!$B$15*'Wave particle velocity'!$B$13*((0.5*'Wave particle velocity'!$B$3)^2)*(EXP(2*'Wave particle velocity'!$B$15*'Wave Drift (net flow)'!V6))</f>
        <v>1.6627904599742797E-6</v>
      </c>
      <c r="W7" s="20">
        <f>'Wave particle velocity'!$B$15*'Wave particle velocity'!$B$13*((0.5*'Wave particle velocity'!$B$3)^2)*(EXP(2*'Wave particle velocity'!$B$15*'Wave Drift (net flow)'!W6))</f>
        <v>8.87078908376176E-7</v>
      </c>
      <c r="X7" s="20">
        <f>'Wave particle velocity'!$B$15*'Wave particle velocity'!$B$13*((0.5*'Wave particle velocity'!$B$3)^2)*(EXP(2*'Wave particle velocity'!$B$15*'Wave Drift (net flow)'!X6))</f>
        <v>4.7324603347678583E-7</v>
      </c>
      <c r="Y7" s="20">
        <f>'Wave particle velocity'!$B$15*'Wave particle velocity'!$B$13*((0.5*'Wave particle velocity'!$B$3)^2)*(EXP(2*'Wave particle velocity'!$B$15*'Wave Drift (net flow)'!Y6))</f>
        <v>2.5247112301596682E-7</v>
      </c>
      <c r="Z7" s="20">
        <f>'Wave particle velocity'!$B$15*'Wave particle velocity'!$B$13*((0.5*'Wave particle velocity'!$B$3)^2)*(EXP(2*'Wave particle velocity'!$B$15*'Wave Drift (net flow)'!Z6))</f>
        <v>1.3469033747341524E-7</v>
      </c>
      <c r="AA7" s="20">
        <f>'Wave particle velocity'!$B$15*'Wave particle velocity'!$B$13*((0.5*'Wave particle velocity'!$B$3)^2)*(EXP(2*'Wave particle velocity'!$B$15*'Wave Drift (net flow)'!AA6))</f>
        <v>7.1855691027108782E-8</v>
      </c>
      <c r="AB7" s="20">
        <f>'Wave particle velocity'!$B$15*'Wave particle velocity'!$B$13*((0.5*'Wave particle velocity'!$B$3)^2)*(EXP(2*'Wave particle velocity'!$B$15*'Wave Drift (net flow)'!AB6))</f>
        <v>3.8334155440084383E-8</v>
      </c>
      <c r="AC7" s="20">
        <f>'Wave particle velocity'!$B$15*'Wave particle velocity'!$B$13*((0.5*'Wave particle velocity'!$B$3)^2)*(EXP(2*'Wave particle velocity'!$B$15*'Wave Drift (net flow)'!AC6))</f>
        <v>2.0450815409320251E-8</v>
      </c>
      <c r="AD7" s="20">
        <f>'Wave particle velocity'!$B$15*'Wave particle velocity'!$B$13*((0.5*'Wave particle velocity'!$B$3)^2)*(EXP(2*'Wave particle velocity'!$B$15*'Wave Drift (net flow)'!AD6))</f>
        <v>1.0910266473974781E-8</v>
      </c>
      <c r="AE7" s="20">
        <f>'Wave particle velocity'!$B$15*'Wave particle velocity'!$B$13*((0.5*'Wave particle velocity'!$B$3)^2)*(EXP(2*'Wave particle velocity'!$B$15*'Wave Drift (net flow)'!AE6))</f>
        <v>5.8204972344960676E-9</v>
      </c>
      <c r="AF7" s="20">
        <f>'Wave particle velocity'!$B$15*'Wave particle velocity'!$B$13*((0.5*'Wave particle velocity'!$B$3)^2)*(EXP(2*'Wave particle velocity'!$B$15*'Wave Drift (net flow)'!AF6))</f>
        <v>3.1051659588323528E-9</v>
      </c>
      <c r="AG7" s="21">
        <f>'Wave particle velocity'!$B$15*'Wave particle velocity'!$B$13*((0.5*'Wave particle velocity'!$B$3)^2)*(EXP(2*'Wave particle velocity'!$B$15*'Wave Drift (net flow)'!AG6))</f>
        <v>1.6565690598985473E-9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N4" sqref="N4"/>
    </sheetView>
  </sheetViews>
  <sheetFormatPr baseColWidth="10" defaultColWidth="9.140625" defaultRowHeight="15"/>
  <cols>
    <col min="1" max="1" width="18.140625" customWidth="1"/>
  </cols>
  <sheetData>
    <row r="1" spans="1:8" ht="15.75" thickBot="1">
      <c r="A1" t="s">
        <v>54</v>
      </c>
    </row>
    <row r="2" spans="1:8" ht="15.75" thickBot="1">
      <c r="B2" s="134" t="s">
        <v>10</v>
      </c>
      <c r="C2" s="140"/>
      <c r="D2" s="140"/>
      <c r="E2" s="140"/>
      <c r="F2" s="140"/>
      <c r="G2" s="140"/>
      <c r="H2" s="135"/>
    </row>
    <row r="3" spans="1:8">
      <c r="A3" t="s">
        <v>55</v>
      </c>
      <c r="B3" s="40">
        <v>0</v>
      </c>
      <c r="C3" s="41">
        <v>5</v>
      </c>
      <c r="D3" s="41">
        <v>10</v>
      </c>
      <c r="E3" s="41">
        <v>15</v>
      </c>
      <c r="F3" s="41">
        <v>20</v>
      </c>
      <c r="G3" s="41">
        <v>25</v>
      </c>
      <c r="H3" s="42">
        <v>30</v>
      </c>
    </row>
    <row r="4" spans="1:8" ht="15.75" thickBot="1">
      <c r="B4" s="43" t="s">
        <v>52</v>
      </c>
      <c r="C4" s="44" t="s">
        <v>52</v>
      </c>
      <c r="D4" s="44" t="s">
        <v>52</v>
      </c>
      <c r="E4" s="44" t="s">
        <v>52</v>
      </c>
      <c r="F4" s="44" t="s">
        <v>52</v>
      </c>
      <c r="G4" s="44" t="s">
        <v>52</v>
      </c>
      <c r="H4" s="45" t="s">
        <v>52</v>
      </c>
    </row>
    <row r="5" spans="1:8">
      <c r="A5" s="36">
        <f>Neaps!C6</f>
        <v>0</v>
      </c>
      <c r="B5" s="12"/>
      <c r="C5" s="36"/>
      <c r="D5" s="36"/>
      <c r="E5" s="36"/>
      <c r="F5" s="36"/>
      <c r="G5" s="36"/>
      <c r="H5" s="37"/>
    </row>
    <row r="6" spans="1:8">
      <c r="A6" s="37">
        <f>Neaps!C7</f>
        <v>0</v>
      </c>
      <c r="B6" s="11"/>
      <c r="C6" s="37"/>
      <c r="D6" s="37"/>
      <c r="E6" s="37"/>
      <c r="F6" s="37"/>
      <c r="G6" s="37"/>
      <c r="H6" s="37"/>
    </row>
    <row r="7" spans="1:8">
      <c r="A7" s="37">
        <f>Neaps!C8</f>
        <v>0</v>
      </c>
      <c r="B7" s="11"/>
      <c r="C7" s="37"/>
      <c r="D7" s="37"/>
      <c r="E7" s="37"/>
      <c r="F7" s="37"/>
      <c r="G7" s="37"/>
      <c r="H7" s="37"/>
    </row>
    <row r="8" spans="1:8">
      <c r="A8" s="37">
        <f>Neaps!C9</f>
        <v>0</v>
      </c>
      <c r="B8" s="11"/>
      <c r="C8" s="37"/>
      <c r="D8" s="37"/>
      <c r="E8" s="37"/>
      <c r="F8" s="37"/>
      <c r="G8" s="37"/>
      <c r="H8" s="37"/>
    </row>
    <row r="9" spans="1:8">
      <c r="A9" s="37">
        <f>Neaps!C10</f>
        <v>0</v>
      </c>
      <c r="B9" s="11"/>
      <c r="C9" s="37"/>
      <c r="D9" s="37"/>
      <c r="E9" s="37"/>
      <c r="F9" s="37"/>
      <c r="G9" s="37"/>
      <c r="H9" s="37"/>
    </row>
    <row r="10" spans="1:8">
      <c r="A10" s="37">
        <f>Neaps!C11</f>
        <v>0</v>
      </c>
      <c r="B10" s="11"/>
      <c r="C10" s="37"/>
      <c r="D10" s="37"/>
      <c r="E10" s="37"/>
      <c r="F10" s="37"/>
      <c r="G10" s="37"/>
      <c r="H10" s="37"/>
    </row>
    <row r="11" spans="1:8">
      <c r="A11" s="37">
        <f>Neaps!C12</f>
        <v>32</v>
      </c>
      <c r="B11" s="11">
        <v>0.97466199627380012</v>
      </c>
      <c r="C11" s="37">
        <v>0.75026252101738633</v>
      </c>
      <c r="D11" s="37">
        <v>0.30146357050455885</v>
      </c>
      <c r="E11" s="37">
        <v>7.7064095248144948E-2</v>
      </c>
      <c r="F11" s="37">
        <v>0.30146357050455852</v>
      </c>
      <c r="G11" s="37">
        <v>0.750262521017386</v>
      </c>
      <c r="H11" s="37">
        <v>0.97466199627380012</v>
      </c>
    </row>
    <row r="12" spans="1:8">
      <c r="A12" s="37">
        <f>Neaps!C13</f>
        <v>31</v>
      </c>
      <c r="B12" s="11">
        <v>0.74463913966506312</v>
      </c>
      <c r="C12" s="37">
        <v>0.56264248153655139</v>
      </c>
      <c r="D12" s="37">
        <v>0.19864916527952797</v>
      </c>
      <c r="E12" s="37">
        <v>1.6652507151016127E-2</v>
      </c>
      <c r="F12" s="37">
        <v>0.19864916527952772</v>
      </c>
      <c r="G12" s="37">
        <v>0.56264248153655116</v>
      </c>
      <c r="H12" s="37">
        <v>0.74463913966506312</v>
      </c>
    </row>
    <row r="13" spans="1:8">
      <c r="A13" s="37">
        <f>Neaps!C14</f>
        <v>30</v>
      </c>
      <c r="B13" s="11">
        <v>0.58016457951786771</v>
      </c>
      <c r="C13" s="37">
        <v>0.43255824696250822</v>
      </c>
      <c r="D13" s="37">
        <v>0.13734558185178913</v>
      </c>
      <c r="E13" s="37">
        <v>-1.0260750703570465E-2</v>
      </c>
      <c r="F13" s="37">
        <v>0.13734558185178894</v>
      </c>
      <c r="G13" s="37">
        <v>0.432558246962508</v>
      </c>
      <c r="H13" s="37">
        <v>0.58016457951786771</v>
      </c>
    </row>
    <row r="14" spans="1:8">
      <c r="A14" s="37">
        <f>Neaps!C15</f>
        <v>29</v>
      </c>
      <c r="B14" s="11">
        <v>0.4612572445454125</v>
      </c>
      <c r="C14" s="37">
        <v>0.34154279684902306</v>
      </c>
      <c r="D14" s="37">
        <v>0.10211390145624415</v>
      </c>
      <c r="E14" s="37">
        <v>-1.7600546240145371E-2</v>
      </c>
      <c r="F14" s="37">
        <v>0.10211390145624398</v>
      </c>
      <c r="G14" s="37">
        <v>0.34154279684902289</v>
      </c>
      <c r="H14" s="37">
        <v>0.4612572445454125</v>
      </c>
    </row>
    <row r="15" spans="1:8">
      <c r="A15" s="37">
        <f>Neaps!C16</f>
        <v>28</v>
      </c>
      <c r="B15" s="11">
        <v>0.37430947614248777</v>
      </c>
      <c r="C15" s="37">
        <v>0.2772164264125479</v>
      </c>
      <c r="D15" s="37">
        <v>8.3030326952668168E-2</v>
      </c>
      <c r="E15" s="37">
        <v>-1.4062722777271747E-2</v>
      </c>
      <c r="F15" s="37">
        <v>8.3030326952668043E-2</v>
      </c>
      <c r="G15" s="37">
        <v>0.27721642641254773</v>
      </c>
      <c r="H15" s="37">
        <v>0.37430947614248777</v>
      </c>
    </row>
    <row r="16" spans="1:8">
      <c r="A16" s="37">
        <f>Neaps!C17</f>
        <v>27</v>
      </c>
      <c r="B16" s="11">
        <v>0.30999359510994628</v>
      </c>
      <c r="C16" s="37">
        <v>0.23124737452202893</v>
      </c>
      <c r="D16" s="37">
        <v>7.3754933346194304E-2</v>
      </c>
      <c r="E16" s="37">
        <v>-4.9912872417230691E-3</v>
      </c>
      <c r="F16" s="37">
        <v>7.3754933346194193E-2</v>
      </c>
      <c r="G16" s="37">
        <v>0.23124737452202881</v>
      </c>
      <c r="H16" s="37">
        <v>0.30999359510994628</v>
      </c>
    </row>
    <row r="17" spans="1:8">
      <c r="A17" s="37">
        <f>Neaps!C18</f>
        <v>26</v>
      </c>
      <c r="B17" s="11">
        <v>0.26186829888284979</v>
      </c>
      <c r="C17" s="37">
        <v>0.19800206670527726</v>
      </c>
      <c r="D17" s="37">
        <v>7.0269602350132188E-2</v>
      </c>
      <c r="E17" s="37">
        <v>6.4033701725596248E-3</v>
      </c>
      <c r="F17" s="37">
        <v>7.0269602350132104E-2</v>
      </c>
      <c r="G17" s="37">
        <v>0.19800206670527715</v>
      </c>
      <c r="H17" s="37">
        <v>0.26186829888284979</v>
      </c>
    </row>
    <row r="18" spans="1:8">
      <c r="A18" s="37">
        <f>Neaps!C19</f>
        <v>25</v>
      </c>
      <c r="B18" s="11">
        <v>0.22544852585171113</v>
      </c>
      <c r="C18" s="37">
        <v>0.17365054009307196</v>
      </c>
      <c r="D18" s="37">
        <v>7.0054568575793591E-2</v>
      </c>
      <c r="E18" s="37">
        <v>1.8256582817154393E-2</v>
      </c>
      <c r="F18" s="37">
        <v>7.0054568575793535E-2</v>
      </c>
      <c r="G18" s="37">
        <v>0.17365054009307188</v>
      </c>
      <c r="H18" s="37">
        <v>0.22544852585171113</v>
      </c>
    </row>
    <row r="19" spans="1:8">
      <c r="A19" s="37">
        <f>Neaps!C20</f>
        <v>24</v>
      </c>
      <c r="B19" s="11">
        <v>0.19758271879670508</v>
      </c>
      <c r="C19" s="37">
        <v>0.15557254789461814</v>
      </c>
      <c r="D19" s="37">
        <v>7.1552206090444243E-2</v>
      </c>
      <c r="E19" s="37">
        <v>2.9542035188357268E-2</v>
      </c>
      <c r="F19" s="37">
        <v>7.1552206090444187E-2</v>
      </c>
      <c r="G19" s="37">
        <v>0.15557254789461808</v>
      </c>
      <c r="H19" s="37">
        <v>0.19758271879670508</v>
      </c>
    </row>
    <row r="20" spans="1:8">
      <c r="A20" s="37">
        <f>Neaps!C21</f>
        <v>23</v>
      </c>
      <c r="B20" s="11">
        <v>0.17603434819654079</v>
      </c>
      <c r="C20" s="37">
        <v>0.14196247390694641</v>
      </c>
      <c r="D20" s="37">
        <v>7.3818725327757698E-2</v>
      </c>
      <c r="E20" s="37">
        <v>3.9746851038163319E-2</v>
      </c>
      <c r="F20" s="37">
        <v>7.3818725327757656E-2</v>
      </c>
      <c r="G20" s="37">
        <v>0.14196247390694636</v>
      </c>
      <c r="H20" s="37">
        <v>0.17603434819654079</v>
      </c>
    </row>
    <row r="21" spans="1:8">
      <c r="A21" s="37">
        <f>Neaps!C22</f>
        <v>22</v>
      </c>
      <c r="B21" s="11">
        <v>0.15919946239266505</v>
      </c>
      <c r="C21" s="37">
        <v>0.13156585384792449</v>
      </c>
      <c r="D21" s="37">
        <v>7.6298636758443353E-2</v>
      </c>
      <c r="E21" s="37">
        <v>4.866502821370277E-2</v>
      </c>
      <c r="F21" s="37">
        <v>7.6298636758443311E-2</v>
      </c>
      <c r="G21" s="37">
        <v>0.13156585384792446</v>
      </c>
      <c r="H21" s="37">
        <v>0.15919946239266505</v>
      </c>
    </row>
    <row r="22" spans="1:8">
      <c r="A22" s="37">
        <f>Neaps!C23</f>
        <v>21</v>
      </c>
      <c r="B22" s="11">
        <v>0.14591506570409862</v>
      </c>
      <c r="C22" s="37">
        <v>0.12350313982313323</v>
      </c>
      <c r="D22" s="37">
        <v>7.8679288061202446E-2</v>
      </c>
      <c r="E22" s="37">
        <v>5.6267362180237049E-2</v>
      </c>
      <c r="F22" s="37">
        <v>7.8679288061202418E-2</v>
      </c>
      <c r="G22" s="37">
        <v>0.12350313982313318</v>
      </c>
      <c r="H22" s="37">
        <v>0.14591506570409862</v>
      </c>
    </row>
    <row r="23" spans="1:8">
      <c r="A23" s="37">
        <f>Neaps!C24</f>
        <v>20</v>
      </c>
      <c r="B23" s="11">
        <v>0.13532833646050441</v>
      </c>
      <c r="C23" s="37">
        <v>0.11715139728585268</v>
      </c>
      <c r="D23" s="37">
        <v>8.0797518936549212E-2</v>
      </c>
      <c r="E23" s="37">
        <v>6.2620579761897457E-2</v>
      </c>
      <c r="F23" s="37">
        <v>8.0797518936549184E-2</v>
      </c>
      <c r="G23" s="37">
        <v>0.11715139728585265</v>
      </c>
      <c r="H23" s="37">
        <v>0.13532833646050441</v>
      </c>
    </row>
    <row r="24" spans="1:8">
      <c r="A24" s="37">
        <f>Neaps!C25</f>
        <v>19</v>
      </c>
      <c r="B24" s="11">
        <v>0.12680675042039558</v>
      </c>
      <c r="C24" s="37">
        <v>0.11206454934790314</v>
      </c>
      <c r="D24" s="37">
        <v>8.2580147202918244E-2</v>
      </c>
      <c r="E24" s="37">
        <v>6.7837946130425791E-2</v>
      </c>
      <c r="F24" s="37">
        <v>8.2580147202918217E-2</v>
      </c>
      <c r="G24" s="37">
        <v>0.11206454934790311</v>
      </c>
      <c r="H24" s="37">
        <v>0.12680675042039558</v>
      </c>
    </row>
    <row r="25" spans="1:8">
      <c r="A25" s="37">
        <f>Neaps!C26</f>
        <v>18</v>
      </c>
      <c r="B25" s="11">
        <v>0.11987582681289788</v>
      </c>
      <c r="C25" s="37">
        <v>0.10791933125698637</v>
      </c>
      <c r="D25" s="37">
        <v>8.4006340145163338E-2</v>
      </c>
      <c r="E25" s="37">
        <v>7.2049844589251816E-2</v>
      </c>
      <c r="F25" s="37">
        <v>8.4006340145163325E-2</v>
      </c>
      <c r="G25" s="37">
        <v>0.10791933125698636</v>
      </c>
      <c r="H25" s="37">
        <v>0.11987582681289788</v>
      </c>
    </row>
    <row r="26" spans="1:8">
      <c r="A26" s="37">
        <f>Neaps!C27</f>
        <v>17</v>
      </c>
      <c r="B26" s="11">
        <v>0.11417562076793679</v>
      </c>
      <c r="C26" s="37">
        <v>0.10447844018577274</v>
      </c>
      <c r="D26" s="37">
        <v>8.5084079021444631E-2</v>
      </c>
      <c r="E26" s="37">
        <v>7.5386898439280578E-2</v>
      </c>
      <c r="F26" s="37">
        <v>8.5084079021444631E-2</v>
      </c>
      <c r="G26" s="37">
        <v>0.10447844018577272</v>
      </c>
      <c r="H26" s="37">
        <v>0.11417562076793679</v>
      </c>
    </row>
    <row r="27" spans="1:8">
      <c r="A27" s="37">
        <f>Neaps!C28</f>
        <v>16</v>
      </c>
      <c r="B27" s="11">
        <v>0.10943000916878685</v>
      </c>
      <c r="C27" s="37">
        <v>0.10156522046014164</v>
      </c>
      <c r="D27" s="37">
        <v>8.5835643042851226E-2</v>
      </c>
      <c r="E27" s="37">
        <v>7.7970854334206016E-2</v>
      </c>
      <c r="F27" s="37">
        <v>8.5835643042851212E-2</v>
      </c>
      <c r="G27" s="37">
        <v>0.10156522046014163</v>
      </c>
      <c r="H27" s="37">
        <v>0.10943000916878685</v>
      </c>
    </row>
    <row r="28" spans="1:8">
      <c r="A28" s="37">
        <f>Neaps!C29</f>
        <v>15</v>
      </c>
      <c r="B28" s="11">
        <v>0.10542475911781848</v>
      </c>
      <c r="C28" s="37">
        <v>9.9046111127555986E-2</v>
      </c>
      <c r="D28" s="37">
        <v>8.6288815147030989E-2</v>
      </c>
      <c r="E28" s="37">
        <v>7.9910167156768491E-2</v>
      </c>
      <c r="F28" s="37">
        <v>8.6288815147030989E-2</v>
      </c>
      <c r="G28" s="37">
        <v>9.9046111127555972E-2</v>
      </c>
      <c r="H28" s="37">
        <v>0.10542475911781848</v>
      </c>
    </row>
    <row r="29" spans="1:8">
      <c r="A29" s="37">
        <f>Neaps!C30</f>
        <v>14</v>
      </c>
      <c r="B29" s="11">
        <v>0.10199166010969621</v>
      </c>
      <c r="C29" s="37">
        <v>9.6818329751951787E-2</v>
      </c>
      <c r="D29" s="37">
        <v>8.6471669036462973E-2</v>
      </c>
      <c r="E29" s="37">
        <v>8.1298338678718551E-2</v>
      </c>
      <c r="F29" s="37">
        <v>8.6471669036462959E-2</v>
      </c>
      <c r="G29" s="37">
        <v>9.6818329751951787E-2</v>
      </c>
      <c r="H29" s="37">
        <v>0.10199166010969621</v>
      </c>
    </row>
    <row r="30" spans="1:8">
      <c r="A30" s="37">
        <f>Neaps!C31</f>
        <v>13</v>
      </c>
      <c r="B30" s="11">
        <v>9.8996860392643354E-2</v>
      </c>
      <c r="C30" s="37">
        <v>9.4801089277633366E-2</v>
      </c>
      <c r="D30" s="37">
        <v>8.6409547047613361E-2</v>
      </c>
      <c r="E30" s="37">
        <v>8.2213775932603372E-2</v>
      </c>
      <c r="F30" s="37">
        <v>8.6409547047613361E-2</v>
      </c>
      <c r="G30" s="37">
        <v>9.4801089277633352E-2</v>
      </c>
      <c r="H30" s="37">
        <v>9.8996860392643354E-2</v>
      </c>
    </row>
    <row r="31" spans="1:8">
      <c r="A31" s="37">
        <f>Neaps!C32</f>
        <v>12</v>
      </c>
      <c r="B31" s="11">
        <v>9.6332117522013538E-2</v>
      </c>
      <c r="C31" s="37">
        <v>9.2929184781946297E-2</v>
      </c>
      <c r="D31" s="37">
        <v>8.6123319301811815E-2</v>
      </c>
      <c r="E31" s="37">
        <v>8.2720386561744574E-2</v>
      </c>
      <c r="F31" s="37">
        <v>8.6123319301811815E-2</v>
      </c>
      <c r="G31" s="37">
        <v>9.2929184781946297E-2</v>
      </c>
      <c r="H31" s="37">
        <v>9.6332117522013538E-2</v>
      </c>
    </row>
    <row r="32" spans="1:8">
      <c r="A32" s="37">
        <f>Neaps!C33</f>
        <v>11</v>
      </c>
      <c r="B32" s="11">
        <v>9.3908044869481358E-2</v>
      </c>
      <c r="C32" s="37">
        <v>9.1148134732344635E-2</v>
      </c>
      <c r="D32" s="37">
        <v>8.5628314458071189E-2</v>
      </c>
      <c r="E32" s="37">
        <v>8.2868404320934466E-2</v>
      </c>
      <c r="F32" s="37">
        <v>8.5628314458071189E-2</v>
      </c>
      <c r="G32" s="37">
        <v>9.1148134732344635E-2</v>
      </c>
      <c r="H32" s="37">
        <v>9.3908044869481358E-2</v>
      </c>
    </row>
    <row r="33" spans="1:8">
      <c r="A33" s="37">
        <f>Neaps!C34</f>
        <v>10</v>
      </c>
      <c r="B33" s="11">
        <v>9.164866640353582E-2</v>
      </c>
      <c r="C33" s="37">
        <v>8.9410272480733938E-2</v>
      </c>
      <c r="D33" s="37">
        <v>8.4933484635130202E-2</v>
      </c>
      <c r="E33" s="37">
        <v>8.269509071232832E-2</v>
      </c>
      <c r="F33" s="37">
        <v>8.4933484635130188E-2</v>
      </c>
      <c r="G33" s="37">
        <v>8.9410272480733938E-2</v>
      </c>
      <c r="H33" s="37">
        <v>9.164866640353582E-2</v>
      </c>
    </row>
    <row r="34" spans="1:8">
      <c r="A34" s="37">
        <f>Neaps!C35</f>
        <v>9</v>
      </c>
      <c r="B34" s="11">
        <v>8.9486709692551805E-2</v>
      </c>
      <c r="C34" s="37">
        <v>8.7671285600941923E-2</v>
      </c>
      <c r="D34" s="37">
        <v>8.4040437417722144E-2</v>
      </c>
      <c r="E34" s="37">
        <v>8.2225013326112248E-2</v>
      </c>
      <c r="F34" s="37">
        <v>8.404043741772213E-2</v>
      </c>
      <c r="G34" s="37">
        <v>8.7671285600941909E-2</v>
      </c>
      <c r="H34" s="37">
        <v>8.9486709692551805E-2</v>
      </c>
    </row>
    <row r="35" spans="1:8">
      <c r="A35" s="37">
        <f>Neaps!C36</f>
        <v>8</v>
      </c>
      <c r="B35" s="11">
        <v>8.7359070171394645E-2</v>
      </c>
      <c r="C35" s="37">
        <v>8.5886690980750593E-2</v>
      </c>
      <c r="D35" s="37">
        <v>8.294193259946249E-2</v>
      </c>
      <c r="E35" s="37">
        <v>8.1469553408818438E-2</v>
      </c>
      <c r="F35" s="37">
        <v>8.294193259946249E-2</v>
      </c>
      <c r="G35" s="37">
        <v>8.5886690980750593E-2</v>
      </c>
      <c r="H35" s="37">
        <v>8.7359070171394645E-2</v>
      </c>
    </row>
    <row r="36" spans="1:8">
      <c r="A36" s="37">
        <f>Neaps!C37</f>
        <v>7</v>
      </c>
      <c r="B36" s="11">
        <v>8.5201718494332099E-2</v>
      </c>
      <c r="C36" s="37">
        <v>8.4007561993346608E-2</v>
      </c>
      <c r="D36" s="37">
        <v>8.1619248991375612E-2</v>
      </c>
      <c r="E36" s="37">
        <v>8.0425092490390107E-2</v>
      </c>
      <c r="F36" s="37">
        <v>8.1619248991375598E-2</v>
      </c>
      <c r="G36" s="37">
        <v>8.4007561993346594E-2</v>
      </c>
      <c r="H36" s="37">
        <v>8.5201718494332099E-2</v>
      </c>
    </row>
    <row r="37" spans="1:8">
      <c r="A37" s="37">
        <f>Neaps!C38</f>
        <v>6</v>
      </c>
      <c r="B37" s="11">
        <v>8.2942837383204501E-2</v>
      </c>
      <c r="C37" s="37">
        <v>8.1974330250050742E-2</v>
      </c>
      <c r="D37" s="37">
        <v>8.0037315983743224E-2</v>
      </c>
      <c r="E37" s="37">
        <v>7.9068808850589464E-2</v>
      </c>
      <c r="F37" s="37">
        <v>8.0037315983743224E-2</v>
      </c>
      <c r="G37" s="37">
        <v>8.1974330250050742E-2</v>
      </c>
      <c r="H37" s="37">
        <v>8.2942837383204501E-2</v>
      </c>
    </row>
    <row r="38" spans="1:8">
      <c r="A38" s="37">
        <f>Neaps!C39</f>
        <v>5</v>
      </c>
      <c r="B38" s="11">
        <v>8.0491690065344609E-2</v>
      </c>
      <c r="C38" s="37">
        <v>7.9706193301565642E-2</v>
      </c>
      <c r="D38" s="37">
        <v>7.8135199774007735E-2</v>
      </c>
      <c r="E38" s="37">
        <v>7.7349703010228768E-2</v>
      </c>
      <c r="F38" s="37">
        <v>7.8135199774007721E-2</v>
      </c>
      <c r="G38" s="37">
        <v>7.9706193301565642E-2</v>
      </c>
      <c r="H38" s="37">
        <v>8.0491690065344609E-2</v>
      </c>
    </row>
    <row r="39" spans="1:8">
      <c r="A39" s="37">
        <f>Neaps!C40</f>
        <v>4</v>
      </c>
      <c r="B39" s="11">
        <v>7.7717091967814858E-2</v>
      </c>
      <c r="C39" s="37">
        <v>7.7080023695640071E-2</v>
      </c>
      <c r="D39" s="37">
        <v>7.5805887151290496E-2</v>
      </c>
      <c r="E39" s="37">
        <v>7.5168818879115709E-2</v>
      </c>
      <c r="F39" s="37">
        <v>7.5805887151290496E-2</v>
      </c>
      <c r="G39" s="37">
        <v>7.7080023695640071E-2</v>
      </c>
      <c r="H39" s="37">
        <v>7.7717091967814858E-2</v>
      </c>
    </row>
    <row r="40" spans="1:8">
      <c r="A40" s="37">
        <f>Neaps!C41</f>
        <v>3</v>
      </c>
      <c r="B40" s="11">
        <v>7.4397371069463272E-2</v>
      </c>
      <c r="C40" s="37">
        <v>7.3880684047788955E-2</v>
      </c>
      <c r="D40" s="37">
        <v>7.2847310004440322E-2</v>
      </c>
      <c r="E40" s="37">
        <v>7.2330622982766005E-2</v>
      </c>
      <c r="F40" s="37">
        <v>7.2847310004440322E-2</v>
      </c>
      <c r="G40" s="37">
        <v>7.3880684047788955E-2</v>
      </c>
      <c r="H40" s="37">
        <v>7.4397371069463272E-2</v>
      </c>
    </row>
    <row r="41" spans="1:8">
      <c r="A41" s="37">
        <f>Neaps!C42</f>
        <v>2</v>
      </c>
      <c r="B41" s="11">
        <v>7.0072687333833206E-2</v>
      </c>
      <c r="C41" s="37">
        <v>6.9653634164766526E-2</v>
      </c>
      <c r="D41" s="37">
        <v>6.8815527826633166E-2</v>
      </c>
      <c r="E41" s="37">
        <v>6.8396474657566486E-2</v>
      </c>
      <c r="F41" s="37">
        <v>6.8815527826633166E-2</v>
      </c>
      <c r="G41" s="37">
        <v>6.9653634164766526E-2</v>
      </c>
      <c r="H41" s="37">
        <v>7.0072687333833206E-2</v>
      </c>
    </row>
    <row r="42" spans="1:8" ht="15.75" thickBot="1">
      <c r="A42" s="38">
        <f>Neaps!C43</f>
        <v>1</v>
      </c>
      <c r="B42" s="39">
        <v>6.3386769333195911E-2</v>
      </c>
      <c r="C42" s="38">
        <v>6.3046900996778676E-2</v>
      </c>
      <c r="D42" s="38">
        <v>6.2367164323944208E-2</v>
      </c>
      <c r="E42" s="38">
        <v>6.2027295987526973E-2</v>
      </c>
      <c r="F42" s="38">
        <v>6.2367164323944208E-2</v>
      </c>
      <c r="G42" s="38">
        <v>6.3046900996778676E-2</v>
      </c>
      <c r="H42" s="38">
        <v>6.3386769333195911E-2</v>
      </c>
    </row>
  </sheetData>
  <mergeCells count="1">
    <mergeCell ref="B2:H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P45"/>
  <sheetViews>
    <sheetView zoomScale="75" zoomScaleNormal="75" workbookViewId="0">
      <selection activeCell="N49" sqref="N49"/>
    </sheetView>
  </sheetViews>
  <sheetFormatPr baseColWidth="10" defaultColWidth="9.140625" defaultRowHeight="15"/>
  <cols>
    <col min="10" max="10" width="8.140625" customWidth="1"/>
    <col min="11" max="11" width="7.28515625" customWidth="1"/>
    <col min="12" max="12" width="11.5703125" customWidth="1"/>
    <col min="14" max="14" width="11.28515625" customWidth="1"/>
    <col min="16" max="16" width="15" customWidth="1"/>
  </cols>
  <sheetData>
    <row r="1" spans="2:16" ht="15.75" thickBot="1"/>
    <row r="2" spans="2:16" ht="15.75" thickBot="1">
      <c r="B2" s="61" t="s">
        <v>45</v>
      </c>
      <c r="C2" s="75" t="s">
        <v>10</v>
      </c>
      <c r="D2" s="81" t="s">
        <v>9</v>
      </c>
      <c r="E2" s="81" t="s">
        <v>8</v>
      </c>
      <c r="F2" s="81" t="s">
        <v>7</v>
      </c>
      <c r="G2" s="81" t="s">
        <v>6</v>
      </c>
      <c r="H2" s="81" t="s">
        <v>5</v>
      </c>
      <c r="I2" s="76" t="s">
        <v>12</v>
      </c>
      <c r="J2" s="61" t="s">
        <v>59</v>
      </c>
      <c r="K2" s="75">
        <f>SUM(J14:J36)/23</f>
        <v>0.51151735514909569</v>
      </c>
      <c r="L2" s="81">
        <f>K2+(M43*K2)</f>
        <v>0.58824495842146007</v>
      </c>
      <c r="M2" s="81">
        <f>K2-(M43*K2)</f>
        <v>0.43478975187673136</v>
      </c>
      <c r="N2" s="61" t="s">
        <v>52</v>
      </c>
      <c r="O2" s="75" t="s">
        <v>78</v>
      </c>
      <c r="P2" s="76" t="s">
        <v>79</v>
      </c>
    </row>
    <row r="3" spans="2:16">
      <c r="B3" s="62">
        <f>Total!AM5</f>
        <v>33.380000000000003</v>
      </c>
      <c r="C3" s="79"/>
      <c r="D3" s="82"/>
      <c r="E3" s="82"/>
      <c r="F3" s="82"/>
      <c r="G3" s="82"/>
      <c r="H3" s="82"/>
      <c r="I3" s="80">
        <f>Total!AR5</f>
        <v>-0.16704226220155505</v>
      </c>
      <c r="J3" s="105">
        <f>I3/1</f>
        <v>-0.16704226220155505</v>
      </c>
      <c r="K3" s="79"/>
      <c r="L3" s="82">
        <f>IF(J3&gt;$L$2,0,1)</f>
        <v>1</v>
      </c>
      <c r="M3" s="82">
        <f>IF(J3&lt;$M$2,0,1)</f>
        <v>0</v>
      </c>
      <c r="N3" s="109">
        <f>L3+M3</f>
        <v>1</v>
      </c>
      <c r="O3" s="77">
        <f t="shared" ref="O3:O19" si="0">IF(N3=2,1,0)</f>
        <v>0</v>
      </c>
      <c r="P3" s="78" t="b">
        <f t="shared" ref="P3:P16" si="1">IF(N3=2,B3,FALSE)</f>
        <v>0</v>
      </c>
    </row>
    <row r="4" spans="2:16">
      <c r="B4" s="62">
        <f>Total!AM6</f>
        <v>33.33</v>
      </c>
      <c r="C4" s="77"/>
      <c r="D4" s="34"/>
      <c r="E4" s="34"/>
      <c r="F4" s="34"/>
      <c r="G4" s="34"/>
      <c r="H4" s="34">
        <f>Total!AL6</f>
        <v>0.17303897881099961</v>
      </c>
      <c r="I4" s="78">
        <f>Total!AR6</f>
        <v>-0.18105353821152104</v>
      </c>
      <c r="J4" s="105">
        <f>(H4+I4)/2</f>
        <v>-4.007279700260713E-3</v>
      </c>
      <c r="K4" s="77"/>
      <c r="L4" s="34">
        <f t="shared" ref="L4:L40" si="2">IF(J4&gt;$L$2,0,1)</f>
        <v>1</v>
      </c>
      <c r="M4" s="34">
        <f t="shared" ref="M4:M40" si="3">IF(J4&lt;$M$2,0,1)</f>
        <v>0</v>
      </c>
      <c r="N4" s="62">
        <f t="shared" ref="N4:N40" si="4">L4+M4</f>
        <v>1</v>
      </c>
      <c r="O4" s="77">
        <f t="shared" si="0"/>
        <v>0</v>
      </c>
      <c r="P4" s="78" t="b">
        <f t="shared" si="1"/>
        <v>0</v>
      </c>
    </row>
    <row r="5" spans="2:16">
      <c r="B5" s="62">
        <f>Total!AM7</f>
        <v>33.18</v>
      </c>
      <c r="C5" s="77"/>
      <c r="D5" s="34"/>
      <c r="E5" s="34"/>
      <c r="F5" s="34"/>
      <c r="G5" s="34">
        <f>Total!AF7</f>
        <v>0.64466064843774995</v>
      </c>
      <c r="H5" s="34">
        <f>Total!AL7</f>
        <v>0.12774871279765776</v>
      </c>
      <c r="I5" s="78">
        <f>Total!AR7</f>
        <v>-0.21866037714078623</v>
      </c>
      <c r="J5" s="105">
        <f>(G5+H5+I5)/3</f>
        <v>0.18458299469820716</v>
      </c>
      <c r="K5" s="77"/>
      <c r="L5" s="34">
        <f t="shared" si="2"/>
        <v>1</v>
      </c>
      <c r="M5" s="34">
        <f t="shared" si="3"/>
        <v>0</v>
      </c>
      <c r="N5" s="62">
        <f t="shared" si="4"/>
        <v>1</v>
      </c>
      <c r="O5" s="77">
        <f t="shared" si="0"/>
        <v>0</v>
      </c>
      <c r="P5" s="78" t="b">
        <f t="shared" si="1"/>
        <v>0</v>
      </c>
    </row>
    <row r="6" spans="2:16">
      <c r="B6" s="62">
        <f>Total!AM8</f>
        <v>32.979999999999997</v>
      </c>
      <c r="C6" s="77"/>
      <c r="D6" s="34"/>
      <c r="E6" s="34"/>
      <c r="F6" s="34">
        <f>Total!Z8</f>
        <v>0.75646865394817153</v>
      </c>
      <c r="G6" s="34">
        <f>Total!AF8</f>
        <v>0.60154942268044609</v>
      </c>
      <c r="H6" s="34">
        <f>Total!AL8</f>
        <v>8.5151985121362017E-2</v>
      </c>
      <c r="I6" s="78">
        <f>Total!AR8</f>
        <v>-0.25947424724369295</v>
      </c>
      <c r="J6" s="105">
        <f>(F6+G6+H6+I6)/4</f>
        <v>0.29592395362657165</v>
      </c>
      <c r="K6" s="77"/>
      <c r="L6" s="34">
        <f t="shared" si="2"/>
        <v>1</v>
      </c>
      <c r="M6" s="34">
        <f t="shared" si="3"/>
        <v>0</v>
      </c>
      <c r="N6" s="62">
        <f t="shared" si="4"/>
        <v>1</v>
      </c>
      <c r="O6" s="77">
        <f t="shared" si="0"/>
        <v>0</v>
      </c>
      <c r="P6" s="78" t="b">
        <f t="shared" si="1"/>
        <v>0</v>
      </c>
    </row>
    <row r="7" spans="2:16">
      <c r="B7" s="62">
        <f>Total!AM9</f>
        <v>32.72</v>
      </c>
      <c r="C7" s="77"/>
      <c r="D7" s="34"/>
      <c r="E7" s="34">
        <f>Total!T9</f>
        <v>0.67059863511812901</v>
      </c>
      <c r="F7" s="34">
        <f>Total!Z9</f>
        <v>0.72218210409395733</v>
      </c>
      <c r="G7" s="34">
        <f>Total!AF9</f>
        <v>0.56743169716647235</v>
      </c>
      <c r="H7" s="34">
        <f>Total!AL9</f>
        <v>5.1597007408190176E-2</v>
      </c>
      <c r="I7" s="78">
        <f>Total!AR9</f>
        <v>-0.29892488138668372</v>
      </c>
      <c r="J7" s="105">
        <f>(E7+F7+G7+H7+I7)/5</f>
        <v>0.3425769124800131</v>
      </c>
      <c r="K7" s="77"/>
      <c r="L7" s="34">
        <f t="shared" si="2"/>
        <v>1</v>
      </c>
      <c r="M7" s="34">
        <f t="shared" si="3"/>
        <v>0</v>
      </c>
      <c r="N7" s="62">
        <f t="shared" si="4"/>
        <v>1</v>
      </c>
      <c r="O7" s="77">
        <f t="shared" si="0"/>
        <v>0</v>
      </c>
      <c r="P7" s="78" t="b">
        <f t="shared" si="1"/>
        <v>0</v>
      </c>
    </row>
    <row r="8" spans="2:16">
      <c r="B8" s="62">
        <f>Total!AM10</f>
        <v>32.53</v>
      </c>
      <c r="C8" s="77"/>
      <c r="D8" s="34">
        <f>Total!N10</f>
        <v>0.23886502792796449</v>
      </c>
      <c r="E8" s="34">
        <f>Total!T10</f>
        <v>0.65117048745187245</v>
      </c>
      <c r="F8" s="34">
        <f>Total!Z10</f>
        <v>0.70270866989236125</v>
      </c>
      <c r="G8" s="34">
        <f>Total!AF10</f>
        <v>0.54809412257089551</v>
      </c>
      <c r="H8" s="34">
        <f>Total!AL10</f>
        <v>3.2712298166010401E-2</v>
      </c>
      <c r="I8" s="78">
        <f>Total!AR10</f>
        <v>-0.31957316224258447</v>
      </c>
      <c r="J8" s="105">
        <f>(D8+E8+F8+G8+H8+I8)/6</f>
        <v>0.30899624062775327</v>
      </c>
      <c r="K8" s="77"/>
      <c r="L8" s="34">
        <f t="shared" si="2"/>
        <v>1</v>
      </c>
      <c r="M8" s="34">
        <f t="shared" si="3"/>
        <v>0</v>
      </c>
      <c r="N8" s="62">
        <f t="shared" si="4"/>
        <v>1</v>
      </c>
      <c r="O8" s="77">
        <f t="shared" si="0"/>
        <v>0</v>
      </c>
      <c r="P8" s="78" t="b">
        <f t="shared" si="1"/>
        <v>0</v>
      </c>
    </row>
    <row r="9" spans="2:16">
      <c r="B9" s="62">
        <f>Total!AM11</f>
        <v>32</v>
      </c>
      <c r="C9" s="77">
        <f>Total!G11</f>
        <v>-0.29771173082065416</v>
      </c>
      <c r="D9" s="34">
        <f>Total!N11</f>
        <v>0.21668826917934569</v>
      </c>
      <c r="E9" s="34">
        <f>Total!T11</f>
        <v>0.6282082691793458</v>
      </c>
      <c r="F9" s="34">
        <f>Total!Z11</f>
        <v>0.67964826917934595</v>
      </c>
      <c r="G9" s="34">
        <f>Total!AF11</f>
        <v>0.52532826917934572</v>
      </c>
      <c r="H9" s="34">
        <f>Total!AL11</f>
        <v>1.0928269179345751E-2</v>
      </c>
      <c r="I9" s="78">
        <f>Total!AR11</f>
        <v>-0.3491517308206542</v>
      </c>
      <c r="J9" s="105">
        <f>SUM(C9:I9)/7</f>
        <v>0.20199112632220292</v>
      </c>
      <c r="K9" s="77"/>
      <c r="L9" s="34">
        <f t="shared" si="2"/>
        <v>1</v>
      </c>
      <c r="M9" s="34">
        <f t="shared" si="3"/>
        <v>0</v>
      </c>
      <c r="N9" s="62">
        <f t="shared" si="4"/>
        <v>1</v>
      </c>
      <c r="O9" s="77">
        <f t="shared" si="0"/>
        <v>0</v>
      </c>
      <c r="P9" s="78" t="b">
        <f t="shared" si="1"/>
        <v>0</v>
      </c>
    </row>
    <row r="10" spans="2:16">
      <c r="B10" s="62">
        <f>Total!AM12</f>
        <v>31</v>
      </c>
      <c r="C10" s="77">
        <f>Total!G12</f>
        <v>-0.28406916494513712</v>
      </c>
      <c r="D10" s="34">
        <f>Total!N12</f>
        <v>0.2280030421573126</v>
      </c>
      <c r="E10" s="34">
        <f>Total!T12</f>
        <v>0.63766080783927226</v>
      </c>
      <c r="F10" s="34">
        <f>Total!Z12</f>
        <v>0.68886802854951767</v>
      </c>
      <c r="G10" s="34">
        <f>Total!AF12</f>
        <v>0.53524636641878232</v>
      </c>
      <c r="H10" s="34">
        <f>Total!AL12</f>
        <v>2.3174159316332821E-2</v>
      </c>
      <c r="I10" s="78">
        <f>Total!AR12</f>
        <v>-0.33527638565538209</v>
      </c>
      <c r="J10" s="105">
        <f t="shared" ref="J10:J40" si="5">SUM(C10:I10)/7</f>
        <v>0.21337240766867119</v>
      </c>
      <c r="K10" s="77"/>
      <c r="L10" s="34">
        <f t="shared" si="2"/>
        <v>1</v>
      </c>
      <c r="M10" s="34">
        <f t="shared" si="3"/>
        <v>0</v>
      </c>
      <c r="N10" s="62">
        <f t="shared" si="4"/>
        <v>1</v>
      </c>
      <c r="O10" s="77">
        <f t="shared" si="0"/>
        <v>0</v>
      </c>
      <c r="P10" s="78" t="b">
        <f t="shared" si="1"/>
        <v>0</v>
      </c>
    </row>
    <row r="11" spans="2:16">
      <c r="B11" s="62">
        <f>Total!AM13</f>
        <v>30</v>
      </c>
      <c r="C11" s="77">
        <f>Total!G13</f>
        <v>-0.23044221071948426</v>
      </c>
      <c r="D11" s="34">
        <f>Total!N13</f>
        <v>0.27923692607763612</v>
      </c>
      <c r="E11" s="34">
        <f>Total!T13</f>
        <v>0.68698023551533249</v>
      </c>
      <c r="F11" s="34">
        <f>Total!Z13</f>
        <v>0.73794814919504459</v>
      </c>
      <c r="G11" s="34">
        <f>Total!AF13</f>
        <v>0.58504440815590852</v>
      </c>
      <c r="H11" s="34">
        <f>Total!AL13</f>
        <v>7.5365271358787955E-2</v>
      </c>
      <c r="I11" s="78">
        <f>Total!AR13</f>
        <v>-0.28141012439919633</v>
      </c>
      <c r="J11" s="105">
        <f t="shared" si="5"/>
        <v>0.26467466502628983</v>
      </c>
      <c r="K11" s="77"/>
      <c r="L11" s="34">
        <f t="shared" si="2"/>
        <v>1</v>
      </c>
      <c r="M11" s="34">
        <f t="shared" si="3"/>
        <v>0</v>
      </c>
      <c r="N11" s="62">
        <f t="shared" si="4"/>
        <v>1</v>
      </c>
      <c r="O11" s="77">
        <f t="shared" si="0"/>
        <v>0</v>
      </c>
      <c r="P11" s="78" t="b">
        <f t="shared" si="1"/>
        <v>0</v>
      </c>
    </row>
    <row r="12" spans="2:16">
      <c r="B12" s="62">
        <f>Total!AM14</f>
        <v>29</v>
      </c>
      <c r="C12" s="77">
        <f>Total!G14</f>
        <v>-0.16804855922055023</v>
      </c>
      <c r="D12" s="34">
        <f>Total!N14</f>
        <v>0.33916812907805172</v>
      </c>
      <c r="E12" s="34">
        <f>Total!T14</f>
        <v>0.74494147971693347</v>
      </c>
      <c r="F12" s="34">
        <f>Total!Z14</f>
        <v>0.79566314854679365</v>
      </c>
      <c r="G12" s="34">
        <f>Total!AF14</f>
        <v>0.6434981420572129</v>
      </c>
      <c r="H12" s="34">
        <f>Total!AL14</f>
        <v>0.136281453758611</v>
      </c>
      <c r="I12" s="78">
        <f>Total!AR14</f>
        <v>-0.21877022805041041</v>
      </c>
      <c r="J12" s="105">
        <f t="shared" si="5"/>
        <v>0.32467622369809174</v>
      </c>
      <c r="K12" s="77"/>
      <c r="L12" s="34">
        <f t="shared" si="2"/>
        <v>1</v>
      </c>
      <c r="M12" s="34">
        <f t="shared" si="3"/>
        <v>0</v>
      </c>
      <c r="N12" s="62">
        <f t="shared" si="4"/>
        <v>1</v>
      </c>
      <c r="O12" s="77">
        <f t="shared" si="0"/>
        <v>0</v>
      </c>
      <c r="P12" s="78" t="b">
        <f t="shared" si="1"/>
        <v>0</v>
      </c>
    </row>
    <row r="13" spans="2:16">
      <c r="B13" s="62">
        <f>Total!AM15</f>
        <v>28</v>
      </c>
      <c r="C13" s="77">
        <f>Total!G15</f>
        <v>-0.11015744985853687</v>
      </c>
      <c r="D13" s="34">
        <f>Total!N15</f>
        <v>0.39452290070835883</v>
      </c>
      <c r="E13" s="34">
        <f>Total!T15</f>
        <v>0.79826718116187545</v>
      </c>
      <c r="F13" s="34">
        <f>Total!Z15</f>
        <v>0.84873521621856518</v>
      </c>
      <c r="G13" s="34">
        <f>Total!AF15</f>
        <v>0.69733111104849632</v>
      </c>
      <c r="H13" s="34">
        <f>Total!AL15</f>
        <v>0.1926507604816006</v>
      </c>
      <c r="I13" s="78">
        <f>Total!AR15</f>
        <v>-0.16062548491522644</v>
      </c>
      <c r="J13" s="105">
        <f t="shared" si="5"/>
        <v>0.38010346212073337</v>
      </c>
      <c r="K13" s="77"/>
      <c r="L13" s="34">
        <f t="shared" si="2"/>
        <v>1</v>
      </c>
      <c r="M13" s="34">
        <f t="shared" si="3"/>
        <v>0</v>
      </c>
      <c r="N13" s="62">
        <f t="shared" si="4"/>
        <v>1</v>
      </c>
      <c r="O13" s="77">
        <f t="shared" si="0"/>
        <v>0</v>
      </c>
      <c r="P13" s="78" t="b">
        <f t="shared" si="1"/>
        <v>0</v>
      </c>
    </row>
    <row r="14" spans="2:16">
      <c r="B14" s="62">
        <f>Total!AM16</f>
        <v>27</v>
      </c>
      <c r="C14" s="77">
        <f>Total!G16</f>
        <v>-6.1375606033820002E-2</v>
      </c>
      <c r="D14" s="34">
        <f>Total!N16</f>
        <v>0.44068953884773854</v>
      </c>
      <c r="E14" s="34">
        <f>Total!T16</f>
        <v>0.84234165475298561</v>
      </c>
      <c r="F14" s="34">
        <f>Total!Z16</f>
        <v>0.89254816924114166</v>
      </c>
      <c r="G14" s="34">
        <f>Total!AF16</f>
        <v>0.74192862577667373</v>
      </c>
      <c r="H14" s="34">
        <f>Total!AL16</f>
        <v>0.23986348089511519</v>
      </c>
      <c r="I14" s="78">
        <f>Total!AR16</f>
        <v>-0.11158212052197587</v>
      </c>
      <c r="J14" s="105">
        <f t="shared" si="5"/>
        <v>0.42634482042255123</v>
      </c>
      <c r="K14" s="77"/>
      <c r="L14" s="34">
        <f t="shared" si="2"/>
        <v>1</v>
      </c>
      <c r="M14" s="34">
        <f t="shared" si="3"/>
        <v>0</v>
      </c>
      <c r="N14" s="62">
        <f t="shared" si="4"/>
        <v>1</v>
      </c>
      <c r="O14" s="77">
        <f t="shared" si="0"/>
        <v>0</v>
      </c>
      <c r="P14" s="78" t="b">
        <f t="shared" si="1"/>
        <v>0</v>
      </c>
    </row>
    <row r="15" spans="2:16">
      <c r="B15" s="62">
        <f>Total!AM17</f>
        <v>26</v>
      </c>
      <c r="C15" s="77">
        <f>Total!G17</f>
        <v>-2.235511197725143E-2</v>
      </c>
      <c r="D15" s="34">
        <f>Total!N17</f>
        <v>0.47701044493376871</v>
      </c>
      <c r="E15" s="34">
        <f>Total!T17</f>
        <v>0.87650289046258489</v>
      </c>
      <c r="F15" s="34">
        <f>Total!Z17</f>
        <v>0.92643944615368712</v>
      </c>
      <c r="G15" s="34">
        <f>Total!AF17</f>
        <v>0.77662977908038089</v>
      </c>
      <c r="H15" s="34">
        <f>Total!AL17</f>
        <v>0.27726422216936064</v>
      </c>
      <c r="I15" s="78">
        <f>Total!AR17</f>
        <v>-7.2291667668353446E-2</v>
      </c>
      <c r="J15" s="105">
        <f t="shared" si="5"/>
        <v>0.46274285759345396</v>
      </c>
      <c r="K15" s="77"/>
      <c r="L15" s="34">
        <f t="shared" si="2"/>
        <v>1</v>
      </c>
      <c r="M15" s="34">
        <f t="shared" si="3"/>
        <v>1</v>
      </c>
      <c r="N15" s="62">
        <f t="shared" si="4"/>
        <v>2</v>
      </c>
      <c r="O15" s="77">
        <f t="shared" si="0"/>
        <v>1</v>
      </c>
      <c r="P15" s="78">
        <f t="shared" si="1"/>
        <v>26</v>
      </c>
    </row>
    <row r="16" spans="2:16">
      <c r="B16" s="62">
        <f>Total!AM18</f>
        <v>25</v>
      </c>
      <c r="C16" s="77">
        <f>Total!G18</f>
        <v>7.8747098848730573E-3</v>
      </c>
      <c r="D16" s="34">
        <f>Total!N18</f>
        <v>0.50445016575364487</v>
      </c>
      <c r="E16" s="34">
        <f>Total!T18</f>
        <v>0.90171053044866245</v>
      </c>
      <c r="F16" s="34">
        <f>Total!Z18</f>
        <v>0.95136807603553986</v>
      </c>
      <c r="G16" s="34">
        <f>Total!AF18</f>
        <v>0.80239543927490808</v>
      </c>
      <c r="H16" s="34">
        <f>Total!AL18</f>
        <v>0.3058199834061362</v>
      </c>
      <c r="I16" s="78">
        <f>Total!AR18</f>
        <v>-4.1782835702004126E-2</v>
      </c>
      <c r="J16" s="105">
        <f t="shared" si="5"/>
        <v>0.49026229558596579</v>
      </c>
      <c r="K16" s="77"/>
      <c r="L16" s="34">
        <f t="shared" si="2"/>
        <v>1</v>
      </c>
      <c r="M16" s="34">
        <f t="shared" si="3"/>
        <v>1</v>
      </c>
      <c r="N16" s="62">
        <f t="shared" si="4"/>
        <v>2</v>
      </c>
      <c r="O16" s="77">
        <f t="shared" si="0"/>
        <v>1</v>
      </c>
      <c r="P16" s="78">
        <f t="shared" si="1"/>
        <v>25</v>
      </c>
    </row>
    <row r="17" spans="2:16">
      <c r="B17" s="62">
        <f>Total!AM19</f>
        <v>24</v>
      </c>
      <c r="C17" s="77">
        <f>Total!G19</f>
        <v>3.0794533042314012E-2</v>
      </c>
      <c r="D17" s="34">
        <f>Total!N19</f>
        <v>0.52448253071762263</v>
      </c>
      <c r="E17" s="34">
        <f>Total!T19</f>
        <v>0.91943292885786954</v>
      </c>
      <c r="F17" s="34">
        <f>Total!Z19</f>
        <v>0.96880172862540059</v>
      </c>
      <c r="G17" s="34">
        <f>Total!AF19</f>
        <v>0.82069532932280775</v>
      </c>
      <c r="H17" s="34">
        <f>Total!AL19</f>
        <v>0.32700733164749923</v>
      </c>
      <c r="I17" s="78">
        <f>Total!AR19</f>
        <v>-1.8574266725216851E-2</v>
      </c>
      <c r="J17" s="105">
        <f t="shared" si="5"/>
        <v>0.51037715935547101</v>
      </c>
      <c r="K17" s="77"/>
      <c r="L17" s="34">
        <f t="shared" si="2"/>
        <v>1</v>
      </c>
      <c r="M17" s="34">
        <f t="shared" si="3"/>
        <v>1</v>
      </c>
      <c r="N17" s="62">
        <f t="shared" si="4"/>
        <v>2</v>
      </c>
      <c r="O17" s="77">
        <f t="shared" si="0"/>
        <v>1</v>
      </c>
      <c r="P17" s="78">
        <f>IF(N17=2,B17,FALSE)</f>
        <v>24</v>
      </c>
    </row>
    <row r="18" spans="2:16">
      <c r="B18" s="62">
        <f>Total!AM20</f>
        <v>23</v>
      </c>
      <c r="C18" s="77">
        <f>Total!G20</f>
        <v>4.7897249154031318E-2</v>
      </c>
      <c r="D18" s="34">
        <f>Total!N20</f>
        <v>0.53859275730134282</v>
      </c>
      <c r="E18" s="34">
        <f>Total!T20</f>
        <v>0.93114916381919199</v>
      </c>
      <c r="F18" s="34">
        <f>Total!Z20</f>
        <v>0.9802187146339234</v>
      </c>
      <c r="G18" s="34">
        <f>Total!AF20</f>
        <v>0.83301006218972973</v>
      </c>
      <c r="H18" s="34">
        <f>Total!AL20</f>
        <v>0.34231455404241823</v>
      </c>
      <c r="I18" s="78">
        <f>Total!AR20</f>
        <v>-1.1723016606998357E-3</v>
      </c>
      <c r="J18" s="105">
        <f t="shared" si="5"/>
        <v>0.52457288563999105</v>
      </c>
      <c r="K18" s="77"/>
      <c r="L18" s="34">
        <f t="shared" si="2"/>
        <v>1</v>
      </c>
      <c r="M18" s="34">
        <f t="shared" si="3"/>
        <v>1</v>
      </c>
      <c r="N18" s="62">
        <f t="shared" si="4"/>
        <v>2</v>
      </c>
      <c r="O18" s="77">
        <f t="shared" si="0"/>
        <v>1</v>
      </c>
      <c r="P18" s="78">
        <f t="shared" ref="P18:P40" si="6">IF(N18=2,B18,FALSE)</f>
        <v>23</v>
      </c>
    </row>
    <row r="19" spans="2:16">
      <c r="B19" s="62">
        <f>Total!AM21</f>
        <v>22</v>
      </c>
      <c r="C19" s="77">
        <f>Total!G21</f>
        <v>6.0492426550081198E-2</v>
      </c>
      <c r="D19" s="34">
        <f>Total!N21</f>
        <v>0.54808176757543448</v>
      </c>
      <c r="E19" s="34">
        <f>Total!T21</f>
        <v>0.93815324039571713</v>
      </c>
      <c r="F19" s="34">
        <f>Total!Z21</f>
        <v>0.98691217449825264</v>
      </c>
      <c r="G19" s="34">
        <f>Total!AF21</f>
        <v>0.84063537219064643</v>
      </c>
      <c r="H19" s="34">
        <f>Total!AL21</f>
        <v>0.35304603116529321</v>
      </c>
      <c r="I19" s="78">
        <f>Total!AR21</f>
        <v>1.1733492447545867E-2</v>
      </c>
      <c r="J19" s="105">
        <f t="shared" si="5"/>
        <v>0.53415064354613873</v>
      </c>
      <c r="K19" s="77"/>
      <c r="L19" s="34">
        <f t="shared" si="2"/>
        <v>1</v>
      </c>
      <c r="M19" s="34">
        <f t="shared" si="3"/>
        <v>1</v>
      </c>
      <c r="N19" s="62">
        <f t="shared" si="4"/>
        <v>2</v>
      </c>
      <c r="O19" s="77">
        <f t="shared" si="0"/>
        <v>1</v>
      </c>
      <c r="P19" s="78">
        <f t="shared" si="6"/>
        <v>22</v>
      </c>
    </row>
    <row r="20" spans="2:16">
      <c r="B20" s="62">
        <f>Total!AM22</f>
        <v>21</v>
      </c>
      <c r="C20" s="77">
        <f>Total!G22</f>
        <v>6.9653123766965738E-2</v>
      </c>
      <c r="D20" s="34">
        <f>Total!N22</f>
        <v>0.55401282776666161</v>
      </c>
      <c r="E20" s="34">
        <f>Total!T22</f>
        <v>0.94150059096641836</v>
      </c>
      <c r="F20" s="34">
        <f>Total!Z22</f>
        <v>0.98993656136638808</v>
      </c>
      <c r="G20" s="34">
        <f>Total!AF22</f>
        <v>0.84462865016647914</v>
      </c>
      <c r="H20" s="34">
        <f>Total!AL22</f>
        <v>0.36026894616678329</v>
      </c>
      <c r="I20" s="78">
        <f>Total!AR22</f>
        <v>2.1217153366996141E-2</v>
      </c>
      <c r="J20" s="105">
        <f t="shared" si="5"/>
        <v>0.54017397908095599</v>
      </c>
      <c r="K20" s="77"/>
      <c r="L20" s="34">
        <f t="shared" si="2"/>
        <v>1</v>
      </c>
      <c r="M20" s="34">
        <f t="shared" si="3"/>
        <v>1</v>
      </c>
      <c r="N20" s="62">
        <f t="shared" si="4"/>
        <v>2</v>
      </c>
      <c r="O20" s="77">
        <f>IF(N20=2,1,0)</f>
        <v>1</v>
      </c>
      <c r="P20" s="78">
        <f t="shared" si="6"/>
        <v>21</v>
      </c>
    </row>
    <row r="21" spans="2:16">
      <c r="B21" s="62">
        <f>Total!AM23</f>
        <v>20</v>
      </c>
      <c r="C21" s="77">
        <f>Total!G23</f>
        <v>7.6224852480409624E-2</v>
      </c>
      <c r="D21" s="34">
        <f>Total!N23</f>
        <v>0.55722029609053669</v>
      </c>
      <c r="E21" s="34">
        <f>Total!T23</f>
        <v>0.9420166509786384</v>
      </c>
      <c r="F21" s="34">
        <f>Total!Z23</f>
        <v>0.99011619533965134</v>
      </c>
      <c r="G21" s="34">
        <f>Total!AF23</f>
        <v>0.84581756225661298</v>
      </c>
      <c r="H21" s="34">
        <f>Total!AL23</f>
        <v>0.36482211864648589</v>
      </c>
      <c r="I21" s="78">
        <f>Total!AR23</f>
        <v>2.8125308119396921E-2</v>
      </c>
      <c r="J21" s="105">
        <f t="shared" si="5"/>
        <v>0.54347756913024736</v>
      </c>
      <c r="K21" s="77"/>
      <c r="L21" s="34">
        <f t="shared" si="2"/>
        <v>1</v>
      </c>
      <c r="M21" s="34">
        <f t="shared" si="3"/>
        <v>1</v>
      </c>
      <c r="N21" s="62">
        <f t="shared" si="4"/>
        <v>2</v>
      </c>
      <c r="O21" s="77">
        <f t="shared" ref="O21:O40" si="7">IF(N21=2,1,0)</f>
        <v>1</v>
      </c>
      <c r="P21" s="78">
        <f t="shared" si="6"/>
        <v>20</v>
      </c>
    </row>
    <row r="22" spans="2:16">
      <c r="B22" s="62">
        <f>Total!AM24</f>
        <v>19</v>
      </c>
      <c r="C22" s="77">
        <f>Total!G24</f>
        <v>8.0857617475751584E-2</v>
      </c>
      <c r="D22" s="34">
        <f>Total!N24</f>
        <v>0.55834139416940942</v>
      </c>
      <c r="E22" s="34">
        <f>Total!T24</f>
        <v>0.94032841552433577</v>
      </c>
      <c r="F22" s="34">
        <f>Total!Z24</f>
        <v>0.98807679319370179</v>
      </c>
      <c r="G22" s="34">
        <f>Total!AF24</f>
        <v>0.84483166018560418</v>
      </c>
      <c r="H22" s="34">
        <f>Total!AL24</f>
        <v>0.36734788349194636</v>
      </c>
      <c r="I22" s="78">
        <f>Total!AR24</f>
        <v>3.3109239806385783E-2</v>
      </c>
      <c r="J22" s="105">
        <f t="shared" si="5"/>
        <v>0.54469900054959075</v>
      </c>
      <c r="K22" s="77"/>
      <c r="L22" s="34">
        <f t="shared" si="2"/>
        <v>1</v>
      </c>
      <c r="M22" s="34">
        <f t="shared" si="3"/>
        <v>1</v>
      </c>
      <c r="N22" s="62">
        <f t="shared" si="4"/>
        <v>2</v>
      </c>
      <c r="O22" s="77">
        <f t="shared" si="7"/>
        <v>1</v>
      </c>
      <c r="P22" s="78">
        <f t="shared" si="6"/>
        <v>19</v>
      </c>
    </row>
    <row r="23" spans="2:16">
      <c r="B23" s="62">
        <f>Total!AM25</f>
        <v>18</v>
      </c>
      <c r="C23" s="77">
        <f>Total!G25</f>
        <v>8.4042902507473649E-2</v>
      </c>
      <c r="D23" s="34">
        <f>Total!N25</f>
        <v>0.55785285400174955</v>
      </c>
      <c r="E23" s="34">
        <f>Total!T25</f>
        <v>0.93690081519717028</v>
      </c>
      <c r="F23" s="34">
        <f>Total!Z25</f>
        <v>0.98428181034659801</v>
      </c>
      <c r="G23" s="34">
        <f>Total!AF25</f>
        <v>0.84213882489831515</v>
      </c>
      <c r="H23" s="34">
        <f>Total!AL25</f>
        <v>0.36832887340403919</v>
      </c>
      <c r="I23" s="78">
        <f>Total!AR25</f>
        <v>3.6661907358046059E-2</v>
      </c>
      <c r="J23" s="105">
        <f t="shared" si="5"/>
        <v>0.54431542681619882</v>
      </c>
      <c r="K23" s="77"/>
      <c r="L23" s="34">
        <f t="shared" si="2"/>
        <v>1</v>
      </c>
      <c r="M23" s="34">
        <f t="shared" si="3"/>
        <v>1</v>
      </c>
      <c r="N23" s="62">
        <f t="shared" si="4"/>
        <v>2</v>
      </c>
      <c r="O23" s="77">
        <f t="shared" si="7"/>
        <v>1</v>
      </c>
      <c r="P23" s="78">
        <f t="shared" si="6"/>
        <v>18</v>
      </c>
    </row>
    <row r="24" spans="2:16">
      <c r="B24" s="62">
        <f>Total!AM26</f>
        <v>17</v>
      </c>
      <c r="C24" s="77">
        <f>Total!G26</f>
        <v>8.6147909846576096E-2</v>
      </c>
      <c r="D24" s="34">
        <f>Total!N26</f>
        <v>0.55610472479240936</v>
      </c>
      <c r="E24" s="34">
        <f>Total!T26</f>
        <v>0.93207017674907588</v>
      </c>
      <c r="F24" s="34">
        <f>Total!Z26</f>
        <v>0.97906585824365944</v>
      </c>
      <c r="G24" s="34">
        <f>Total!AF26</f>
        <v>0.83807881375990934</v>
      </c>
      <c r="H24" s="34">
        <f>Total!AL26</f>
        <v>0.36812199881407603</v>
      </c>
      <c r="I24" s="78">
        <f>Total!AR26</f>
        <v>3.9152228351992779E-2</v>
      </c>
      <c r="J24" s="105">
        <f t="shared" si="5"/>
        <v>0.54267738722252845</v>
      </c>
      <c r="K24" s="77"/>
      <c r="L24" s="34">
        <f t="shared" si="2"/>
        <v>1</v>
      </c>
      <c r="M24" s="34">
        <f t="shared" si="3"/>
        <v>1</v>
      </c>
      <c r="N24" s="62">
        <f t="shared" si="4"/>
        <v>2</v>
      </c>
      <c r="O24" s="77">
        <f t="shared" si="7"/>
        <v>1</v>
      </c>
      <c r="P24" s="78">
        <f t="shared" si="6"/>
        <v>17</v>
      </c>
    </row>
    <row r="25" spans="2:16">
      <c r="B25" s="62">
        <f>Total!AM27</f>
        <v>16</v>
      </c>
      <c r="C25" s="77">
        <f>Total!G27</f>
        <v>8.7444394392821409E-2</v>
      </c>
      <c r="D25" s="34">
        <f>Total!N27</f>
        <v>0.55334864729017497</v>
      </c>
      <c r="E25" s="34">
        <f>Total!T27</f>
        <v>0.92607204960805789</v>
      </c>
      <c r="F25" s="34">
        <f>Total!Z27</f>
        <v>0.97266247489779334</v>
      </c>
      <c r="G25" s="34">
        <f>Total!AF27</f>
        <v>0.83289119902858721</v>
      </c>
      <c r="H25" s="34">
        <f>Total!AL27</f>
        <v>0.36698694613123356</v>
      </c>
      <c r="I25" s="78">
        <f>Total!AR27</f>
        <v>4.0853969103086051E-2</v>
      </c>
      <c r="J25" s="105">
        <f t="shared" si="5"/>
        <v>0.54003709720739346</v>
      </c>
      <c r="K25" s="77"/>
      <c r="L25" s="34">
        <f t="shared" si="2"/>
        <v>1</v>
      </c>
      <c r="M25" s="34">
        <f t="shared" si="3"/>
        <v>1</v>
      </c>
      <c r="N25" s="62">
        <f t="shared" si="4"/>
        <v>2</v>
      </c>
      <c r="O25" s="77">
        <f t="shared" si="7"/>
        <v>1</v>
      </c>
      <c r="P25" s="78">
        <f t="shared" si="6"/>
        <v>16</v>
      </c>
    </row>
    <row r="26" spans="2:16">
      <c r="B26" s="62">
        <f>Total!AM28</f>
        <v>15</v>
      </c>
      <c r="C26" s="77">
        <f>Total!G28</f>
        <v>8.8131725851788037E-2</v>
      </c>
      <c r="D26" s="34">
        <f>Total!N28</f>
        <v>0.54976018123054082</v>
      </c>
      <c r="E26" s="34">
        <f>Total!T28</f>
        <v>0.91906294553354306</v>
      </c>
      <c r="F26" s="34">
        <f>Total!Z28</f>
        <v>0.96522579107141848</v>
      </c>
      <c r="G26" s="34">
        <f>Total!AF28</f>
        <v>0.82673725445779256</v>
      </c>
      <c r="H26" s="34">
        <f>Total!AL28</f>
        <v>0.36510879907903976</v>
      </c>
      <c r="I26" s="78">
        <f>Total!AR28</f>
        <v>4.1968880313912757E-2</v>
      </c>
      <c r="J26" s="105">
        <f t="shared" si="5"/>
        <v>0.53657079679114783</v>
      </c>
      <c r="K26" s="77"/>
      <c r="L26" s="34">
        <f t="shared" si="2"/>
        <v>1</v>
      </c>
      <c r="M26" s="34">
        <f t="shared" si="3"/>
        <v>1</v>
      </c>
      <c r="N26" s="62">
        <f t="shared" si="4"/>
        <v>2</v>
      </c>
      <c r="O26" s="77">
        <f t="shared" si="7"/>
        <v>1</v>
      </c>
      <c r="P26" s="78">
        <f t="shared" si="6"/>
        <v>15</v>
      </c>
    </row>
    <row r="27" spans="2:16">
      <c r="B27" s="62">
        <f>Total!AM29</f>
        <v>14</v>
      </c>
      <c r="C27" s="77">
        <f>Total!G29</f>
        <v>8.8354747334501063E-2</v>
      </c>
      <c r="D27" s="34">
        <f>Total!N29</f>
        <v>0.54545568373194286</v>
      </c>
      <c r="E27" s="34">
        <f>Total!T29</f>
        <v>0.91113643284989632</v>
      </c>
      <c r="F27" s="34">
        <f>Total!Z29</f>
        <v>0.95684652648964064</v>
      </c>
      <c r="G27" s="34">
        <f>Total!AF29</f>
        <v>0.8197162455704079</v>
      </c>
      <c r="H27" s="34">
        <f>Total!AL29</f>
        <v>0.36261530917296614</v>
      </c>
      <c r="I27" s="78">
        <f>Total!AR29</f>
        <v>4.2644653694756889E-2</v>
      </c>
      <c r="J27" s="105">
        <f t="shared" si="5"/>
        <v>0.53239565697773028</v>
      </c>
      <c r="K27" s="77"/>
      <c r="L27" s="34">
        <f t="shared" si="2"/>
        <v>1</v>
      </c>
      <c r="M27" s="34">
        <f t="shared" si="3"/>
        <v>1</v>
      </c>
      <c r="N27" s="62">
        <f t="shared" si="4"/>
        <v>2</v>
      </c>
      <c r="O27" s="77">
        <f t="shared" si="7"/>
        <v>1</v>
      </c>
      <c r="P27" s="78">
        <f t="shared" si="6"/>
        <v>14</v>
      </c>
    </row>
    <row r="28" spans="2:16">
      <c r="B28" s="62">
        <f>Total!AM30</f>
        <v>13</v>
      </c>
      <c r="C28" s="77">
        <f>Total!G30</f>
        <v>8.8217284372136592E-2</v>
      </c>
      <c r="D28" s="34">
        <f>Total!N30</f>
        <v>0.54050448638477222</v>
      </c>
      <c r="E28" s="34">
        <f>Total!T30</f>
        <v>0.90233424799488071</v>
      </c>
      <c r="F28" s="34">
        <f>Total!Z30</f>
        <v>0.94756296819614438</v>
      </c>
      <c r="G28" s="34">
        <f>Total!AF30</f>
        <v>0.81187680759235359</v>
      </c>
      <c r="H28" s="34">
        <f>Total!AL30</f>
        <v>0.35958960557971797</v>
      </c>
      <c r="I28" s="78">
        <f>Total!AR30</f>
        <v>4.2988564170873031E-2</v>
      </c>
      <c r="J28" s="105">
        <f t="shared" si="5"/>
        <v>0.52758199489869695</v>
      </c>
      <c r="K28" s="77"/>
      <c r="L28" s="34">
        <f t="shared" si="2"/>
        <v>1</v>
      </c>
      <c r="M28" s="34">
        <f t="shared" si="3"/>
        <v>1</v>
      </c>
      <c r="N28" s="62">
        <f t="shared" si="4"/>
        <v>2</v>
      </c>
      <c r="O28" s="77">
        <f t="shared" si="7"/>
        <v>1</v>
      </c>
      <c r="P28" s="78">
        <f t="shared" si="6"/>
        <v>13</v>
      </c>
    </row>
    <row r="29" spans="2:16">
      <c r="B29" s="62">
        <f>Total!AM31</f>
        <v>12</v>
      </c>
      <c r="C29" s="77">
        <f>Total!G31</f>
        <v>8.7792150709672528E-2</v>
      </c>
      <c r="D29" s="34">
        <f>Total!N31</f>
        <v>0.53493705296726402</v>
      </c>
      <c r="E29" s="34">
        <f>Total!T31</f>
        <v>0.89265297477333727</v>
      </c>
      <c r="F29" s="34">
        <f>Total!Z31</f>
        <v>0.93736746499909662</v>
      </c>
      <c r="G29" s="34">
        <f>Total!AF31</f>
        <v>0.80322399432181901</v>
      </c>
      <c r="H29" s="34">
        <f>Total!AL31</f>
        <v>0.3560790920642275</v>
      </c>
      <c r="I29" s="78">
        <f>Total!AR31</f>
        <v>4.3077660483913364E-2</v>
      </c>
      <c r="J29" s="105">
        <f t="shared" si="5"/>
        <v>0.52216148433133291</v>
      </c>
      <c r="K29" s="77"/>
      <c r="L29" s="34">
        <f t="shared" si="2"/>
        <v>1</v>
      </c>
      <c r="M29" s="34">
        <f t="shared" si="3"/>
        <v>1</v>
      </c>
      <c r="N29" s="62">
        <f t="shared" si="4"/>
        <v>2</v>
      </c>
      <c r="O29" s="77">
        <f t="shared" si="7"/>
        <v>1</v>
      </c>
      <c r="P29" s="78">
        <f t="shared" si="6"/>
        <v>12</v>
      </c>
    </row>
    <row r="30" spans="2:16">
      <c r="B30" s="62">
        <f>Total!AM32</f>
        <v>11</v>
      </c>
      <c r="C30" s="77">
        <f>Total!G32</f>
        <v>8.7128368645950444E-2</v>
      </c>
      <c r="D30" s="34">
        <f>Total!N32</f>
        <v>0.52874957325545702</v>
      </c>
      <c r="E30" s="34">
        <f>Total!T32</f>
        <v>0.88204653694306223</v>
      </c>
      <c r="F30" s="34">
        <f>Total!Z32</f>
        <v>0.92620865740401304</v>
      </c>
      <c r="G30" s="34">
        <f>Total!AF32</f>
        <v>0.79372229602116096</v>
      </c>
      <c r="H30" s="34">
        <f>Total!AL32</f>
        <v>0.35210109141165441</v>
      </c>
      <c r="I30" s="78">
        <f>Total!AR32</f>
        <v>4.2966248184999792E-2</v>
      </c>
      <c r="J30" s="105">
        <f t="shared" si="5"/>
        <v>0.5161318245523282</v>
      </c>
      <c r="K30" s="77"/>
      <c r="L30" s="34">
        <f t="shared" si="2"/>
        <v>1</v>
      </c>
      <c r="M30" s="34">
        <f t="shared" si="3"/>
        <v>1</v>
      </c>
      <c r="N30" s="62">
        <f t="shared" si="4"/>
        <v>2</v>
      </c>
      <c r="O30" s="77">
        <f t="shared" si="7"/>
        <v>1</v>
      </c>
      <c r="P30" s="78">
        <f t="shared" si="6"/>
        <v>11</v>
      </c>
    </row>
    <row r="31" spans="2:16">
      <c r="B31" s="62">
        <f>Total!AM33</f>
        <v>10</v>
      </c>
      <c r="C31" s="77">
        <f>Total!G33</f>
        <v>8.6256148128868171E-2</v>
      </c>
      <c r="D31" s="34">
        <f>Total!N33</f>
        <v>0.52190510380967581</v>
      </c>
      <c r="E31" s="34">
        <f>Total!T33</f>
        <v>0.87042426835432185</v>
      </c>
      <c r="F31" s="34">
        <f>Total!Z33</f>
        <v>0.91398916392240281</v>
      </c>
      <c r="G31" s="34">
        <f>Total!AF33</f>
        <v>0.78329447721816037</v>
      </c>
      <c r="H31" s="34">
        <f>Total!AL33</f>
        <v>0.34764552153735273</v>
      </c>
      <c r="I31" s="78">
        <f>Total!AR33</f>
        <v>4.2691252560787409E-2</v>
      </c>
      <c r="J31" s="105">
        <f t="shared" si="5"/>
        <v>0.50945799079022414</v>
      </c>
      <c r="K31" s="77"/>
      <c r="L31" s="34">
        <f t="shared" si="2"/>
        <v>1</v>
      </c>
      <c r="M31" s="34">
        <f t="shared" si="3"/>
        <v>1</v>
      </c>
      <c r="N31" s="62">
        <f t="shared" si="4"/>
        <v>2</v>
      </c>
      <c r="O31" s="77">
        <f t="shared" si="7"/>
        <v>1</v>
      </c>
      <c r="P31" s="78">
        <f t="shared" si="6"/>
        <v>10</v>
      </c>
    </row>
    <row r="32" spans="2:16">
      <c r="B32" s="62">
        <f>Total!AM34</f>
        <v>9</v>
      </c>
      <c r="C32" s="77">
        <f>Total!G34</f>
        <v>8.518997269382364E-2</v>
      </c>
      <c r="D32" s="34">
        <f>Total!N34</f>
        <v>0.51433085812592294</v>
      </c>
      <c r="E32" s="34">
        <f>Total!T34</f>
        <v>0.85764356647160256</v>
      </c>
      <c r="F32" s="34">
        <f>Total!Z34</f>
        <v>0.90055765501481255</v>
      </c>
      <c r="G32" s="34">
        <f>Total!AF34</f>
        <v>0.77181538938518268</v>
      </c>
      <c r="H32" s="34">
        <f>Total!AL34</f>
        <v>0.3426745039530833</v>
      </c>
      <c r="I32" s="78">
        <f>Total!AR34</f>
        <v>4.2275884150613681E-2</v>
      </c>
      <c r="J32" s="105">
        <f t="shared" si="5"/>
        <v>0.50206968997072032</v>
      </c>
      <c r="K32" s="77"/>
      <c r="L32" s="34">
        <f t="shared" si="2"/>
        <v>1</v>
      </c>
      <c r="M32" s="34">
        <f t="shared" si="3"/>
        <v>1</v>
      </c>
      <c r="N32" s="62">
        <f t="shared" si="4"/>
        <v>2</v>
      </c>
      <c r="O32" s="77">
        <f t="shared" si="7"/>
        <v>1</v>
      </c>
      <c r="P32" s="78">
        <f t="shared" si="6"/>
        <v>9</v>
      </c>
    </row>
    <row r="33" spans="2:16">
      <c r="B33" s="62">
        <f>Total!AM35</f>
        <v>8</v>
      </c>
      <c r="C33" s="77">
        <f>Total!G35</f>
        <v>8.392990550502423E-2</v>
      </c>
      <c r="D33" s="34">
        <f>Total!N35</f>
        <v>0.50591041263535308</v>
      </c>
      <c r="E33" s="34">
        <f>Total!T35</f>
        <v>0.84349481833961626</v>
      </c>
      <c r="F33" s="34">
        <f>Total!Z35</f>
        <v>0.88569286905264932</v>
      </c>
      <c r="G33" s="34">
        <f>Total!AF35</f>
        <v>0.75909871691355058</v>
      </c>
      <c r="H33" s="34">
        <f>Total!AL35</f>
        <v>0.33711820978322166</v>
      </c>
      <c r="I33" s="78">
        <f>Total!AR35</f>
        <v>4.1731854791991332E-2</v>
      </c>
      <c r="J33" s="105">
        <f t="shared" si="5"/>
        <v>0.49385382671734385</v>
      </c>
      <c r="K33" s="77"/>
      <c r="L33" s="34">
        <f t="shared" si="2"/>
        <v>1</v>
      </c>
      <c r="M33" s="34">
        <f t="shared" si="3"/>
        <v>1</v>
      </c>
      <c r="N33" s="62">
        <f t="shared" si="4"/>
        <v>2</v>
      </c>
      <c r="O33" s="77">
        <f t="shared" si="7"/>
        <v>1</v>
      </c>
      <c r="P33" s="78">
        <f t="shared" si="6"/>
        <v>8</v>
      </c>
    </row>
    <row r="34" spans="2:16">
      <c r="B34" s="62">
        <f>Total!AM36</f>
        <v>7</v>
      </c>
      <c r="C34" s="77">
        <f>Total!G36</f>
        <v>8.2460889732692208E-2</v>
      </c>
      <c r="D34" s="34">
        <f>Total!N36</f>
        <v>0.49646802478504615</v>
      </c>
      <c r="E34" s="34">
        <f>Total!T36</f>
        <v>0.82767373282692946</v>
      </c>
      <c r="F34" s="34">
        <f>Total!Z36</f>
        <v>0.86907444633216502</v>
      </c>
      <c r="G34" s="34">
        <f>Total!AF36</f>
        <v>0.74487230581645869</v>
      </c>
      <c r="H34" s="34">
        <f>Total!AL36</f>
        <v>0.3308651707641046</v>
      </c>
      <c r="I34" s="78">
        <f>Total!AR36</f>
        <v>4.1060176227456821E-2</v>
      </c>
      <c r="J34" s="105">
        <f t="shared" si="5"/>
        <v>0.48463924949783616</v>
      </c>
      <c r="K34" s="77"/>
      <c r="L34" s="34">
        <f t="shared" si="2"/>
        <v>1</v>
      </c>
      <c r="M34" s="34">
        <f t="shared" si="3"/>
        <v>1</v>
      </c>
      <c r="N34" s="62">
        <f t="shared" si="4"/>
        <v>2</v>
      </c>
      <c r="O34" s="77">
        <f t="shared" si="7"/>
        <v>1</v>
      </c>
      <c r="P34" s="78">
        <f t="shared" si="6"/>
        <v>7</v>
      </c>
    </row>
    <row r="35" spans="2:16">
      <c r="B35" s="62">
        <f>Total!AM37</f>
        <v>6</v>
      </c>
      <c r="C35" s="77">
        <f>Total!G37</f>
        <v>8.0749200372407917E-2</v>
      </c>
      <c r="D35" s="34">
        <f>Total!N37</f>
        <v>0.48573891970208011</v>
      </c>
      <c r="E35" s="34">
        <f>Total!T37</f>
        <v>0.80973069516581786</v>
      </c>
      <c r="F35" s="34">
        <f>Total!Z37</f>
        <v>0.85022966709878522</v>
      </c>
      <c r="G35" s="34">
        <f>Total!AF37</f>
        <v>0.72873275129988346</v>
      </c>
      <c r="H35" s="34">
        <f>Total!AL37</f>
        <v>0.32374303197021126</v>
      </c>
      <c r="I35" s="78">
        <f>Total!AR37</f>
        <v>4.0250228439440712E-2</v>
      </c>
      <c r="J35" s="105">
        <f t="shared" si="5"/>
        <v>0.47416778486408945</v>
      </c>
      <c r="K35" s="77"/>
      <c r="L35" s="34">
        <f t="shared" si="2"/>
        <v>1</v>
      </c>
      <c r="M35" s="34">
        <f t="shared" si="3"/>
        <v>1</v>
      </c>
      <c r="N35" s="62">
        <f t="shared" si="4"/>
        <v>2</v>
      </c>
      <c r="O35" s="77">
        <f t="shared" si="7"/>
        <v>1</v>
      </c>
      <c r="P35" s="78">
        <f t="shared" si="6"/>
        <v>6</v>
      </c>
    </row>
    <row r="36" spans="2:16">
      <c r="B36" s="62">
        <f>Total!AM38</f>
        <v>5</v>
      </c>
      <c r="C36" s="77">
        <f>Total!G38</f>
        <v>7.8733823228785582E-2</v>
      </c>
      <c r="D36" s="34">
        <f>Total!N38</f>
        <v>0.47331139170075093</v>
      </c>
      <c r="E36" s="34">
        <f>Total!T38</f>
        <v>0.78897344647832302</v>
      </c>
      <c r="F36" s="34">
        <f>Total!Z38</f>
        <v>0.82843120332551967</v>
      </c>
      <c r="G36" s="34">
        <f>Total!AF38</f>
        <v>0.71005793278393003</v>
      </c>
      <c r="H36" s="34">
        <f>Total!AL38</f>
        <v>0.3154803643119648</v>
      </c>
      <c r="I36" s="78">
        <f>Total!AR38</f>
        <v>3.9276066381589043E-2</v>
      </c>
      <c r="J36" s="105">
        <f t="shared" si="5"/>
        <v>0.46203774688726618</v>
      </c>
      <c r="K36" s="77"/>
      <c r="L36" s="34">
        <f t="shared" si="2"/>
        <v>1</v>
      </c>
      <c r="M36" s="34">
        <f t="shared" si="3"/>
        <v>1</v>
      </c>
      <c r="N36" s="62">
        <f t="shared" si="4"/>
        <v>2</v>
      </c>
      <c r="O36" s="77">
        <f t="shared" si="7"/>
        <v>1</v>
      </c>
      <c r="P36" s="78">
        <f t="shared" si="6"/>
        <v>5</v>
      </c>
    </row>
    <row r="37" spans="2:16">
      <c r="B37" s="62">
        <f>Total!AM39</f>
        <v>4</v>
      </c>
      <c r="C37" s="77">
        <f>Total!G39</f>
        <v>7.6306835001122883E-2</v>
      </c>
      <c r="D37" s="34">
        <f>Total!N39</f>
        <v>0.45850456616714597</v>
      </c>
      <c r="E37" s="34">
        <f>Total!T39</f>
        <v>0.76426275109996455</v>
      </c>
      <c r="F37" s="34">
        <f>Total!Z39</f>
        <v>0.80248252421656696</v>
      </c>
      <c r="G37" s="34">
        <f>Total!AF39</f>
        <v>0.68782320486675996</v>
      </c>
      <c r="H37" s="34">
        <f>Total!AL39</f>
        <v>0.30562547370073673</v>
      </c>
      <c r="I37" s="78">
        <f>Total!AR39</f>
        <v>3.8087061884520587E-2</v>
      </c>
      <c r="J37" s="105">
        <f t="shared" si="5"/>
        <v>0.44758463099097395</v>
      </c>
      <c r="K37" s="77"/>
      <c r="L37" s="34">
        <f t="shared" si="2"/>
        <v>1</v>
      </c>
      <c r="M37" s="34">
        <f t="shared" si="3"/>
        <v>1</v>
      </c>
      <c r="N37" s="62">
        <f t="shared" si="4"/>
        <v>2</v>
      </c>
      <c r="O37" s="77">
        <f t="shared" si="7"/>
        <v>1</v>
      </c>
      <c r="P37" s="78">
        <f t="shared" si="6"/>
        <v>4</v>
      </c>
    </row>
    <row r="38" spans="2:16">
      <c r="B38" s="62">
        <f>Total!AM40</f>
        <v>3</v>
      </c>
      <c r="C38" s="77">
        <f>Total!G40</f>
        <v>7.3264819726660727E-2</v>
      </c>
      <c r="D38" s="34">
        <f>Total!N40</f>
        <v>0.44007359230714249</v>
      </c>
      <c r="E38" s="34">
        <f>Total!T40</f>
        <v>0.73352061037152794</v>
      </c>
      <c r="F38" s="34">
        <f>Total!Z40</f>
        <v>0.77020148762957619</v>
      </c>
      <c r="G38" s="34">
        <f>Total!AF40</f>
        <v>0.66015885585543155</v>
      </c>
      <c r="H38" s="34">
        <f>Total!AL40</f>
        <v>0.29335008327494982</v>
      </c>
      <c r="I38" s="78">
        <f>Total!AR40</f>
        <v>3.6583942468612553E-2</v>
      </c>
      <c r="J38" s="105">
        <f t="shared" si="5"/>
        <v>0.42959334166198593</v>
      </c>
      <c r="K38" s="77"/>
      <c r="L38" s="34">
        <f t="shared" si="2"/>
        <v>1</v>
      </c>
      <c r="M38" s="34">
        <f t="shared" si="3"/>
        <v>0</v>
      </c>
      <c r="N38" s="62">
        <f t="shared" si="4"/>
        <v>1</v>
      </c>
      <c r="O38" s="77">
        <f t="shared" si="7"/>
        <v>0</v>
      </c>
      <c r="P38" s="78" t="b">
        <f t="shared" si="6"/>
        <v>0</v>
      </c>
    </row>
    <row r="39" spans="2:16">
      <c r="B39" s="62">
        <f>Total!AM41</f>
        <v>2</v>
      </c>
      <c r="C39" s="77">
        <f>Total!G41</f>
        <v>6.9162303331807493E-2</v>
      </c>
      <c r="D39" s="34">
        <f>Total!N41</f>
        <v>0.41532783287684949</v>
      </c>
      <c r="E39" s="34">
        <f>Total!T41</f>
        <v>0.69226025651288314</v>
      </c>
      <c r="F39" s="34">
        <f>Total!Z41</f>
        <v>0.72687680946738742</v>
      </c>
      <c r="G39" s="34">
        <f>Total!AF41</f>
        <v>0.62302715060387481</v>
      </c>
      <c r="H39" s="34">
        <f>Total!AL41</f>
        <v>0.27686162105883272</v>
      </c>
      <c r="I39" s="78">
        <f>Total!AR41</f>
        <v>3.4545750377303293E-2</v>
      </c>
      <c r="J39" s="105">
        <f t="shared" si="5"/>
        <v>0.4054373891755626</v>
      </c>
      <c r="K39" s="77"/>
      <c r="L39" s="34">
        <f t="shared" si="2"/>
        <v>1</v>
      </c>
      <c r="M39" s="34">
        <f t="shared" si="3"/>
        <v>0</v>
      </c>
      <c r="N39" s="62">
        <f t="shared" si="4"/>
        <v>1</v>
      </c>
      <c r="O39" s="77">
        <f t="shared" si="7"/>
        <v>0</v>
      </c>
      <c r="P39" s="78" t="b">
        <f t="shared" si="6"/>
        <v>0</v>
      </c>
    </row>
    <row r="40" spans="2:16" ht="15.75" thickBot="1">
      <c r="B40" s="63">
        <f>Total!AM42</f>
        <v>1</v>
      </c>
      <c r="C40" s="83">
        <f>Total!G42</f>
        <v>6.2654347367904983E-2</v>
      </c>
      <c r="D40" s="84">
        <f>Total!N42</f>
        <v>0.376184659229296</v>
      </c>
      <c r="E40" s="84">
        <f>Total!T42</f>
        <v>0.62700890871840897</v>
      </c>
      <c r="F40" s="84">
        <f>Total!Z42</f>
        <v>0.65836193990454817</v>
      </c>
      <c r="G40" s="84">
        <f>Total!AF42</f>
        <v>0.5643028463461307</v>
      </c>
      <c r="H40" s="84">
        <f>Total!AL42</f>
        <v>0.25077253448473963</v>
      </c>
      <c r="I40" s="85">
        <f>Total!AR42</f>
        <v>3.1301316181765876E-2</v>
      </c>
      <c r="J40" s="106">
        <f t="shared" si="5"/>
        <v>0.36722665031897062</v>
      </c>
      <c r="K40" s="83"/>
      <c r="L40" s="84">
        <f t="shared" si="2"/>
        <v>1</v>
      </c>
      <c r="M40" s="84">
        <f t="shared" si="3"/>
        <v>0</v>
      </c>
      <c r="N40" s="63">
        <f t="shared" si="4"/>
        <v>1</v>
      </c>
      <c r="O40" s="83">
        <f t="shared" si="7"/>
        <v>0</v>
      </c>
      <c r="P40" s="78" t="b">
        <f t="shared" si="6"/>
        <v>0</v>
      </c>
    </row>
    <row r="41" spans="2:16" ht="15.75" thickBot="1"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79" t="s">
        <v>78</v>
      </c>
      <c r="O41" s="80">
        <f>SUM(O3:O40)</f>
        <v>23</v>
      </c>
      <c r="P41" s="61">
        <f>SUM(P3:P40)</f>
        <v>345</v>
      </c>
    </row>
    <row r="42" spans="2:16" ht="15.75" thickBot="1"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79" t="s">
        <v>75</v>
      </c>
      <c r="M42" s="15">
        <f>Inputs!C16</f>
        <v>15</v>
      </c>
      <c r="N42" s="75" t="s">
        <v>77</v>
      </c>
      <c r="O42" s="76">
        <f>P41/O41</f>
        <v>15</v>
      </c>
      <c r="P42" s="107"/>
    </row>
    <row r="43" spans="2:16" ht="15.75" thickBot="1"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9" t="s">
        <v>74</v>
      </c>
      <c r="M43" s="21">
        <f>M42/100</f>
        <v>0.15</v>
      </c>
      <c r="N43" s="108" t="s">
        <v>76</v>
      </c>
      <c r="O43" s="85">
        <f>SUM(MAX(P3:P40)-MIN(P3:P40))</f>
        <v>22</v>
      </c>
      <c r="P43" s="107"/>
    </row>
    <row r="44" spans="2:16"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2:16"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</row>
  </sheetData>
  <conditionalFormatting sqref="N3:N40">
    <cfRule type="colorScale" priority="1">
      <colorScale>
        <cfvo type="num" val="1"/>
        <cfvo type="num" val="2"/>
        <color rgb="FFFF0000"/>
        <color rgb="FF00B050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BV83"/>
  <sheetViews>
    <sheetView zoomScale="75" zoomScaleNormal="75" workbookViewId="0">
      <selection activeCell="M88" sqref="M88"/>
    </sheetView>
  </sheetViews>
  <sheetFormatPr baseColWidth="10" defaultColWidth="9.140625" defaultRowHeight="15"/>
  <cols>
    <col min="1" max="1" width="13.28515625" customWidth="1"/>
    <col min="2" max="4" width="9.28515625" bestFit="1" customWidth="1"/>
    <col min="5" max="5" width="13.42578125" bestFit="1" customWidth="1"/>
    <col min="6" max="6" width="20" customWidth="1"/>
    <col min="7" max="11" width="9.28515625" bestFit="1" customWidth="1"/>
    <col min="12" max="12" width="13.42578125" bestFit="1" customWidth="1"/>
    <col min="13" max="17" width="9.28515625" bestFit="1" customWidth="1"/>
    <col min="18" max="18" width="13.42578125" bestFit="1" customWidth="1"/>
    <col min="19" max="23" width="9.28515625" bestFit="1" customWidth="1"/>
    <col min="24" max="24" width="13.42578125" bestFit="1" customWidth="1"/>
  </cols>
  <sheetData>
    <row r="1" spans="2:74" ht="15.75" thickBot="1">
      <c r="B1" s="138" t="str">
        <f>Neaps!C2</f>
        <v>Hw-6</v>
      </c>
      <c r="C1" s="141"/>
      <c r="D1" s="141"/>
      <c r="E1" s="141"/>
      <c r="F1" s="141"/>
      <c r="G1" s="141"/>
      <c r="H1" s="139"/>
      <c r="I1" s="138" t="str">
        <f>Neaps!E2</f>
        <v>Hw-5</v>
      </c>
      <c r="J1" s="141"/>
      <c r="K1" s="141"/>
      <c r="L1" s="141"/>
      <c r="M1" s="141"/>
      <c r="N1" s="139"/>
      <c r="O1" s="138" t="str">
        <f>Neaps!G2</f>
        <v>Hw-4</v>
      </c>
      <c r="P1" s="141"/>
      <c r="Q1" s="141"/>
      <c r="R1" s="141"/>
      <c r="S1" s="141"/>
      <c r="T1" s="139"/>
      <c r="U1" s="138" t="str">
        <f>Neaps!I2</f>
        <v>Hw-3</v>
      </c>
      <c r="V1" s="141"/>
      <c r="W1" s="141"/>
      <c r="X1" s="141"/>
      <c r="Y1" s="141"/>
      <c r="Z1" s="139"/>
      <c r="AA1" s="138" t="str">
        <f>Neaps!K2</f>
        <v>Hw-2</v>
      </c>
      <c r="AB1" s="141"/>
      <c r="AC1" s="141"/>
      <c r="AD1" s="141"/>
      <c r="AE1" s="141"/>
      <c r="AF1" s="139"/>
      <c r="AG1" s="138" t="str">
        <f>Neaps!M2</f>
        <v>Hw-1</v>
      </c>
      <c r="AH1" s="141"/>
      <c r="AI1" s="141"/>
      <c r="AJ1" s="141"/>
      <c r="AK1" s="141"/>
      <c r="AL1" s="139"/>
      <c r="AM1" s="138" t="str">
        <f>Neaps!O2</f>
        <v>Hw</v>
      </c>
      <c r="AN1" s="141"/>
      <c r="AO1" s="141"/>
      <c r="AP1" s="141"/>
      <c r="AQ1" s="141"/>
      <c r="AR1" s="139"/>
      <c r="AS1" s="138" t="str">
        <f>Neaps!Q2</f>
        <v>Hw+1</v>
      </c>
      <c r="AT1" s="141"/>
      <c r="AU1" s="141"/>
      <c r="AV1" s="141"/>
      <c r="AW1" s="141"/>
      <c r="AX1" s="139"/>
      <c r="AY1" s="138" t="str">
        <f>Neaps!S2</f>
        <v>Hw+2</v>
      </c>
      <c r="AZ1" s="141"/>
      <c r="BA1" s="141"/>
      <c r="BB1" s="141"/>
      <c r="BC1" s="141"/>
      <c r="BD1" s="139"/>
      <c r="BE1" s="138" t="str">
        <f>Neaps!U2</f>
        <v>Hw+3</v>
      </c>
      <c r="BF1" s="141"/>
      <c r="BG1" s="141"/>
      <c r="BH1" s="141"/>
      <c r="BI1" s="141"/>
      <c r="BJ1" s="139"/>
      <c r="BK1" s="138" t="str">
        <f>Neaps!W2</f>
        <v>Hw+4</v>
      </c>
      <c r="BL1" s="141"/>
      <c r="BM1" s="141"/>
      <c r="BN1" s="141"/>
      <c r="BO1" s="141"/>
      <c r="BP1" s="139"/>
      <c r="BQ1" s="138" t="str">
        <f>Neaps!Y2</f>
        <v>Hw+5</v>
      </c>
      <c r="BR1" s="141"/>
      <c r="BS1" s="141"/>
      <c r="BT1" s="141"/>
      <c r="BU1" s="141"/>
      <c r="BV1" s="139"/>
    </row>
    <row r="2" spans="2:74" ht="15.75" thickBot="1">
      <c r="B2" s="134" t="str">
        <f>Neaps!C3</f>
        <v>Surface speed</v>
      </c>
      <c r="C2" s="140"/>
      <c r="D2" s="140"/>
      <c r="E2" s="140"/>
      <c r="F2" s="140"/>
      <c r="G2" s="140"/>
      <c r="H2" s="135"/>
      <c r="I2" s="134" t="str">
        <f>B2</f>
        <v>Surface speed</v>
      </c>
      <c r="J2" s="140"/>
      <c r="K2" s="140"/>
      <c r="L2" s="140"/>
      <c r="M2" s="140"/>
      <c r="N2" s="135"/>
      <c r="O2" s="134" t="s">
        <v>53</v>
      </c>
      <c r="P2" s="140"/>
      <c r="Q2" s="140"/>
      <c r="R2" s="140"/>
      <c r="S2" s="140"/>
      <c r="T2" s="135"/>
      <c r="U2" s="138" t="str">
        <f>Neaps!I3</f>
        <v>Surface speed</v>
      </c>
      <c r="V2" s="141"/>
      <c r="W2" s="141"/>
      <c r="X2" s="141"/>
      <c r="Y2" s="141"/>
      <c r="Z2" s="139"/>
      <c r="AA2" s="138" t="str">
        <f>Neaps!K3</f>
        <v>Surface speed</v>
      </c>
      <c r="AB2" s="141"/>
      <c r="AC2" s="141"/>
      <c r="AD2" s="141"/>
      <c r="AE2" s="141"/>
      <c r="AF2" s="139"/>
      <c r="AG2" s="138" t="str">
        <f>Neaps!M3</f>
        <v>Surface speed</v>
      </c>
      <c r="AH2" s="141"/>
      <c r="AI2" s="141"/>
      <c r="AJ2" s="141"/>
      <c r="AK2" s="141"/>
      <c r="AL2" s="139"/>
      <c r="AM2" s="138" t="str">
        <f>Neaps!O3</f>
        <v>Surface speed</v>
      </c>
      <c r="AN2" s="141"/>
      <c r="AO2" s="141"/>
      <c r="AP2" s="141"/>
      <c r="AQ2" s="141"/>
      <c r="AR2" s="139"/>
      <c r="AS2" s="138" t="str">
        <f>Neaps!Q3</f>
        <v>Surface speed</v>
      </c>
      <c r="AT2" s="141"/>
      <c r="AU2" s="141"/>
      <c r="AV2" s="141"/>
      <c r="AW2" s="141"/>
      <c r="AX2" s="139"/>
      <c r="AY2" s="138" t="str">
        <f>Neaps!S3</f>
        <v>Surface speed</v>
      </c>
      <c r="AZ2" s="141"/>
      <c r="BA2" s="141"/>
      <c r="BB2" s="141"/>
      <c r="BC2" s="141"/>
      <c r="BD2" s="139"/>
      <c r="BE2" s="138" t="str">
        <f>Neaps!U3</f>
        <v>Surface speed</v>
      </c>
      <c r="BF2" s="141"/>
      <c r="BG2" s="141"/>
      <c r="BH2" s="141"/>
      <c r="BI2" s="141"/>
      <c r="BJ2" s="139"/>
      <c r="BK2" s="138" t="str">
        <f>Neaps!W3</f>
        <v>Surface speed</v>
      </c>
      <c r="BL2" s="141"/>
      <c r="BM2" s="141"/>
      <c r="BN2" s="141"/>
      <c r="BO2" s="141"/>
      <c r="BP2" s="139"/>
      <c r="BQ2" s="138" t="str">
        <f>Neaps!Y3</f>
        <v>Surface speed</v>
      </c>
      <c r="BR2" s="141"/>
      <c r="BS2" s="141"/>
      <c r="BT2" s="141"/>
      <c r="BU2" s="141"/>
      <c r="BV2" s="139"/>
    </row>
    <row r="3" spans="2:74" ht="15.75" thickBot="1">
      <c r="B3" s="142">
        <f>Neaps!C4</f>
        <v>0.10288</v>
      </c>
      <c r="C3" s="143"/>
      <c r="D3" s="143"/>
      <c r="E3" s="143"/>
      <c r="F3" s="143"/>
      <c r="G3" s="143"/>
      <c r="H3" s="144"/>
      <c r="I3" s="142">
        <f>Neaps!E4</f>
        <v>0.61727999999999994</v>
      </c>
      <c r="J3" s="143"/>
      <c r="K3" s="143"/>
      <c r="L3" s="143"/>
      <c r="M3" s="143"/>
      <c r="N3" s="144"/>
      <c r="O3" s="142">
        <f>Neaps!G4</f>
        <v>1.0287999999999999</v>
      </c>
      <c r="P3" s="143"/>
      <c r="Q3" s="143"/>
      <c r="R3" s="143"/>
      <c r="S3" s="143"/>
      <c r="T3" s="144"/>
      <c r="U3" s="138">
        <f>Neaps!I4</f>
        <v>1.0802400000000001</v>
      </c>
      <c r="V3" s="141"/>
      <c r="W3" s="141"/>
      <c r="X3" s="141"/>
      <c r="Y3" s="141"/>
      <c r="Z3" s="139"/>
      <c r="AA3" s="138">
        <f>Neaps!K4</f>
        <v>0.92591999999999997</v>
      </c>
      <c r="AB3" s="141"/>
      <c r="AC3" s="141"/>
      <c r="AD3" s="141"/>
      <c r="AE3" s="141"/>
      <c r="AF3" s="139"/>
      <c r="AG3" s="138">
        <f>Neaps!M4</f>
        <v>0.41152</v>
      </c>
      <c r="AH3" s="141"/>
      <c r="AI3" s="141"/>
      <c r="AJ3" s="141"/>
      <c r="AK3" s="141"/>
      <c r="AL3" s="139"/>
      <c r="AM3" s="138">
        <f>Neaps!O4</f>
        <v>5.144E-2</v>
      </c>
      <c r="AN3" s="141"/>
      <c r="AO3" s="141"/>
      <c r="AP3" s="141"/>
      <c r="AQ3" s="141"/>
      <c r="AR3" s="139"/>
      <c r="AS3" s="138">
        <f>Neaps!Q4</f>
        <v>0.41152</v>
      </c>
      <c r="AT3" s="141"/>
      <c r="AU3" s="141"/>
      <c r="AV3" s="141"/>
      <c r="AW3" s="141"/>
      <c r="AX3" s="139"/>
      <c r="AY3" s="138">
        <f>Neaps!S4</f>
        <v>0.77159999999999995</v>
      </c>
      <c r="AZ3" s="141"/>
      <c r="BA3" s="141"/>
      <c r="BB3" s="141"/>
      <c r="BC3" s="141"/>
      <c r="BD3" s="139"/>
      <c r="BE3" s="138">
        <f>Neaps!U4</f>
        <v>1.0287999999999999</v>
      </c>
      <c r="BF3" s="141"/>
      <c r="BG3" s="141"/>
      <c r="BH3" s="141"/>
      <c r="BI3" s="141"/>
      <c r="BJ3" s="139"/>
      <c r="BK3" s="138">
        <f>Neaps!W4</f>
        <v>0.9773599999999999</v>
      </c>
      <c r="BL3" s="141"/>
      <c r="BM3" s="141"/>
      <c r="BN3" s="141"/>
      <c r="BO3" s="141"/>
      <c r="BP3" s="139"/>
      <c r="BQ3" s="138">
        <f>Neaps!Y4</f>
        <v>0.66871999999999998</v>
      </c>
      <c r="BR3" s="141"/>
      <c r="BS3" s="141"/>
      <c r="BT3" s="141"/>
      <c r="BU3" s="141"/>
      <c r="BV3" s="139"/>
    </row>
    <row r="4" spans="2:74" ht="15.75" thickBot="1">
      <c r="B4" s="13" t="str">
        <f>Neaps!C5</f>
        <v>Depth M</v>
      </c>
      <c r="C4" s="33" t="str">
        <f>Neaps!D5</f>
        <v>Speed</v>
      </c>
      <c r="D4" s="33" t="s">
        <v>49</v>
      </c>
      <c r="E4" s="14" t="s">
        <v>50</v>
      </c>
      <c r="F4" s="15" t="s">
        <v>51</v>
      </c>
      <c r="G4" s="36" t="s">
        <v>52</v>
      </c>
      <c r="H4" s="15"/>
      <c r="I4" s="13" t="str">
        <f>Neaps!E5</f>
        <v>Depth M</v>
      </c>
      <c r="J4" s="13" t="str">
        <f>Neaps!F5</f>
        <v>Speed</v>
      </c>
      <c r="K4" s="33" t="s">
        <v>49</v>
      </c>
      <c r="L4" s="14" t="s">
        <v>50</v>
      </c>
      <c r="M4" s="15" t="s">
        <v>51</v>
      </c>
      <c r="N4" s="36" t="s">
        <v>52</v>
      </c>
      <c r="O4" s="13" t="str">
        <f>Neaps!G5</f>
        <v>Depth M</v>
      </c>
      <c r="P4" s="13" t="str">
        <f>Neaps!H5</f>
        <v>Speed</v>
      </c>
      <c r="Q4" s="33" t="s">
        <v>49</v>
      </c>
      <c r="R4" s="14" t="s">
        <v>50</v>
      </c>
      <c r="S4" s="15" t="s">
        <v>51</v>
      </c>
      <c r="T4" s="36" t="s">
        <v>52</v>
      </c>
      <c r="U4" s="13" t="str">
        <f>Neaps!I5</f>
        <v>Depth M</v>
      </c>
      <c r="V4" s="13" t="str">
        <f>Neaps!J5</f>
        <v>Speed</v>
      </c>
      <c r="W4" s="33" t="s">
        <v>49</v>
      </c>
      <c r="X4" s="14" t="s">
        <v>50</v>
      </c>
      <c r="Y4" s="15" t="s">
        <v>51</v>
      </c>
      <c r="Z4" s="36" t="s">
        <v>52</v>
      </c>
      <c r="AA4" s="13" t="str">
        <f>Neaps!K5</f>
        <v>Depth M</v>
      </c>
      <c r="AB4" s="13" t="str">
        <f>Neaps!L5</f>
        <v>Speed</v>
      </c>
      <c r="AC4" s="33" t="s">
        <v>49</v>
      </c>
      <c r="AD4" s="14" t="s">
        <v>50</v>
      </c>
      <c r="AE4" s="15" t="s">
        <v>51</v>
      </c>
      <c r="AF4" s="36" t="s">
        <v>52</v>
      </c>
      <c r="AG4" s="13" t="str">
        <f>Neaps!M5</f>
        <v>Depth M</v>
      </c>
      <c r="AH4" s="13" t="str">
        <f>Neaps!N5</f>
        <v>Speed</v>
      </c>
      <c r="AI4" s="33" t="s">
        <v>49</v>
      </c>
      <c r="AJ4" s="14" t="s">
        <v>50</v>
      </c>
      <c r="AK4" s="15" t="s">
        <v>51</v>
      </c>
      <c r="AL4" s="36" t="s">
        <v>52</v>
      </c>
      <c r="AM4" s="13" t="str">
        <f>Neaps!O5</f>
        <v>Depth M</v>
      </c>
      <c r="AN4" s="13" t="str">
        <f>Neaps!P5</f>
        <v>Speed</v>
      </c>
      <c r="AO4" s="33" t="s">
        <v>49</v>
      </c>
      <c r="AP4" s="14" t="s">
        <v>50</v>
      </c>
      <c r="AQ4" s="15" t="s">
        <v>51</v>
      </c>
      <c r="AR4" s="36" t="s">
        <v>52</v>
      </c>
      <c r="AS4" s="13" t="str">
        <f>Neaps!Q5</f>
        <v>Depth M</v>
      </c>
      <c r="AT4" s="13" t="str">
        <f>Neaps!R5</f>
        <v>Speed</v>
      </c>
      <c r="AU4" s="33" t="s">
        <v>49</v>
      </c>
      <c r="AV4" s="14" t="s">
        <v>50</v>
      </c>
      <c r="AW4" s="15" t="s">
        <v>51</v>
      </c>
      <c r="AX4" s="36" t="s">
        <v>52</v>
      </c>
      <c r="AY4" s="13" t="str">
        <f>Neaps!S5</f>
        <v>Depth M</v>
      </c>
      <c r="AZ4" s="13" t="str">
        <f>Neaps!T5</f>
        <v>Speed</v>
      </c>
      <c r="BA4" s="33" t="s">
        <v>49</v>
      </c>
      <c r="BB4" s="14" t="s">
        <v>50</v>
      </c>
      <c r="BC4" s="15" t="s">
        <v>51</v>
      </c>
      <c r="BD4" s="36" t="s">
        <v>52</v>
      </c>
      <c r="BE4" s="13" t="str">
        <f>Neaps!U5</f>
        <v>Depth M</v>
      </c>
      <c r="BF4" s="13" t="str">
        <f>Neaps!V5</f>
        <v>Speed</v>
      </c>
      <c r="BG4" s="33" t="s">
        <v>49</v>
      </c>
      <c r="BH4" s="14" t="s">
        <v>50</v>
      </c>
      <c r="BI4" s="15" t="s">
        <v>51</v>
      </c>
      <c r="BJ4" s="36" t="s">
        <v>52</v>
      </c>
      <c r="BK4" s="13" t="str">
        <f>Neaps!W5</f>
        <v>Depth M</v>
      </c>
      <c r="BL4" s="13" t="str">
        <f>Neaps!X5</f>
        <v>Speed</v>
      </c>
      <c r="BM4" s="33" t="s">
        <v>49</v>
      </c>
      <c r="BN4" s="14" t="s">
        <v>50</v>
      </c>
      <c r="BO4" s="15" t="s">
        <v>51</v>
      </c>
      <c r="BP4" s="36" t="s">
        <v>52</v>
      </c>
      <c r="BQ4" s="13" t="str">
        <f>Neaps!Y5</f>
        <v>Depth M</v>
      </c>
      <c r="BR4" s="13" t="str">
        <f>Neaps!Z5</f>
        <v>Speed</v>
      </c>
      <c r="BS4" s="33" t="s">
        <v>49</v>
      </c>
      <c r="BT4" s="14" t="s">
        <v>50</v>
      </c>
      <c r="BU4" s="15" t="s">
        <v>51</v>
      </c>
      <c r="BV4" s="36" t="s">
        <v>52</v>
      </c>
    </row>
    <row r="5" spans="2:74" ht="15.75" thickBot="1">
      <c r="B5" s="16"/>
      <c r="C5" s="34"/>
      <c r="D5" s="34"/>
      <c r="E5" s="17"/>
      <c r="F5" s="18"/>
      <c r="G5" s="37"/>
      <c r="H5" s="18"/>
      <c r="I5" s="13"/>
      <c r="J5" s="13"/>
      <c r="K5" s="34"/>
      <c r="L5" s="17"/>
      <c r="M5" s="18"/>
      <c r="N5" s="37"/>
      <c r="O5" s="13"/>
      <c r="P5" s="13"/>
      <c r="Q5" s="34"/>
      <c r="R5" s="17"/>
      <c r="S5" s="18"/>
      <c r="T5" s="37"/>
      <c r="U5" s="13"/>
      <c r="V5" s="13"/>
      <c r="W5" s="34"/>
      <c r="X5" s="17"/>
      <c r="Y5" s="18"/>
      <c r="Z5" s="37"/>
      <c r="AA5" s="13"/>
      <c r="AB5" s="13"/>
      <c r="AC5" s="34"/>
      <c r="AD5" s="17"/>
      <c r="AE5" s="18"/>
      <c r="AF5" s="37"/>
      <c r="AG5" s="13"/>
      <c r="AH5" s="13"/>
      <c r="AI5" s="34"/>
      <c r="AJ5" s="17"/>
      <c r="AK5" s="18"/>
      <c r="AL5" s="37"/>
      <c r="AM5" s="13">
        <f>Neaps!O6</f>
        <v>33.380000000000003</v>
      </c>
      <c r="AN5" s="13">
        <f>Neaps!P6</f>
        <v>5.1751201722298523E-2</v>
      </c>
      <c r="AO5" s="34">
        <f>AM5-Neaps!$A$3</f>
        <v>1.3800000000000026</v>
      </c>
      <c r="AP5" s="17">
        <f>'Wave particle velocity'!$B$15*'Wave particle velocity'!$B$13*((0.5*'Wave particle velocity'!$B$3)^2)*(EXP(2*'Wave particle velocity'!$B$15*AO5))</f>
        <v>1.1347777534706094</v>
      </c>
      <c r="AQ5" s="18">
        <f>0.5*'Wave particle velocity'!$B$13*EXP('Wave particle velocity'!$B$15*AO5)*COS(('Wave particle velocity'!$B$15*'Wave particle velocity'!$B$8)-('Wave particle velocity'!$B$13*'Wave particle velocity'!$B$9))</f>
        <v>-1.353571217394463</v>
      </c>
      <c r="AR5" s="37">
        <f>AN5+AP5+AQ5</f>
        <v>-0.16704226220155505</v>
      </c>
      <c r="AS5" s="13">
        <f>Neaps!Q6</f>
        <v>0</v>
      </c>
      <c r="AT5" s="13">
        <f>Neaps!R6</f>
        <v>0</v>
      </c>
      <c r="AU5" s="34">
        <f>AS5-Neaps!$A$3</f>
        <v>-32</v>
      </c>
      <c r="AV5" s="17">
        <f>'Wave particle velocity'!$B$15*'Wave particle velocity'!$B$13*((0.5*'Wave particle velocity'!$B$3)^2)*(EXP(2*'Wave particle velocity'!$B$15*AU5))</f>
        <v>8.8375986552585947E-10</v>
      </c>
      <c r="AW5" s="18">
        <f>0.5*'Wave particle velocity'!$B$13*EXP('Wave particle velocity'!$B$15*AU5)*COS(('Wave particle velocity'!$B$15*'Wave particle velocity'!$B$8)-('Wave particle velocity'!$B$13*'Wave particle velocity'!$B$9))</f>
        <v>-3.7773988324300511E-5</v>
      </c>
      <c r="AX5" s="37">
        <f t="shared" ref="AX5:AX10" si="0">AT5+AV5+AW5</f>
        <v>-3.7773104564434984E-5</v>
      </c>
      <c r="AY5" s="13">
        <f>Neaps!S6</f>
        <v>0</v>
      </c>
      <c r="AZ5" s="13">
        <f>Neaps!T6</f>
        <v>0</v>
      </c>
      <c r="BA5" s="34">
        <f>AY5-Neaps!$A$3</f>
        <v>-32</v>
      </c>
      <c r="BB5" s="17">
        <f>'Wave particle velocity'!$B$15*'Wave particle velocity'!$B$13*((0.5*'Wave particle velocity'!$B$3)^2)*(EXP(2*'Wave particle velocity'!$B$15*BA5))</f>
        <v>8.8375986552585947E-10</v>
      </c>
      <c r="BC5" s="18">
        <f>0.5*'Wave particle velocity'!$B$13*EXP('Wave particle velocity'!$B$15*BA5)*COS(('Wave particle velocity'!$B$15*'Wave particle velocity'!$B$8)-('Wave particle velocity'!$B$13*'Wave particle velocity'!$B$9))</f>
        <v>-3.7773988324300511E-5</v>
      </c>
      <c r="BD5" s="37">
        <f t="shared" ref="BD5:BD10" si="1">AZ5+BB5+BC5</f>
        <v>-3.7773104564434984E-5</v>
      </c>
      <c r="BE5" s="13">
        <f>Neaps!U6</f>
        <v>0</v>
      </c>
      <c r="BF5" s="13">
        <f>Neaps!V6</f>
        <v>0</v>
      </c>
      <c r="BG5" s="34">
        <f>BE5-Neaps!$A$3</f>
        <v>-32</v>
      </c>
      <c r="BH5" s="17">
        <f>'Wave particle velocity'!$B$15*'Wave particle velocity'!$B$13*((0.5*'Wave particle velocity'!$B$3)^2)*(EXP(2*'Wave particle velocity'!$B$15*BG5))</f>
        <v>8.8375986552585947E-10</v>
      </c>
      <c r="BI5" s="18">
        <f>0.5*'Wave particle velocity'!$B$13*EXP('Wave particle velocity'!$B$15*BG5)*COS(('Wave particle velocity'!$B$15*'Wave particle velocity'!$B$8)-('Wave particle velocity'!$B$13*'Wave particle velocity'!$B$9))</f>
        <v>-3.7773988324300511E-5</v>
      </c>
      <c r="BJ5" s="37">
        <f t="shared" ref="BJ5:BJ10" si="2">BF5+BH5+BI5</f>
        <v>-3.7773104564434984E-5</v>
      </c>
      <c r="BK5" s="13">
        <f>Neaps!W6</f>
        <v>0</v>
      </c>
      <c r="BL5" s="13">
        <f>Neaps!X6</f>
        <v>0</v>
      </c>
      <c r="BM5" s="34">
        <f>BK5-Neaps!$A$3</f>
        <v>-32</v>
      </c>
      <c r="BN5" s="17">
        <f>'Wave particle velocity'!$B$15*'Wave particle velocity'!$B$13*((0.5*'Wave particle velocity'!$B$3)^2)*(EXP(2*'Wave particle velocity'!$B$15*BM5))</f>
        <v>8.8375986552585947E-10</v>
      </c>
      <c r="BO5" s="18">
        <f>0.5*'Wave particle velocity'!$B$13*EXP('Wave particle velocity'!$B$15*BM5)*COS(('Wave particle velocity'!$B$15*'Wave particle velocity'!$B$8)-('Wave particle velocity'!$B$13*'Wave particle velocity'!$B$9))</f>
        <v>-3.7773988324300511E-5</v>
      </c>
      <c r="BP5" s="37">
        <f t="shared" ref="BP5:BP10" si="3">BL5+BN5+BO5</f>
        <v>-3.7773104564434984E-5</v>
      </c>
      <c r="BQ5" s="13">
        <f>Neaps!Y6</f>
        <v>0</v>
      </c>
      <c r="BR5" s="13">
        <f>Neaps!Z6</f>
        <v>0</v>
      </c>
      <c r="BS5" s="34">
        <f>BQ5-Neaps!$A$3</f>
        <v>-32</v>
      </c>
      <c r="BT5" s="17">
        <f>'Wave particle velocity'!$B$15*'Wave particle velocity'!$B$13*((0.5*'Wave particle velocity'!$B$3)^2)*(EXP(2*'Wave particle velocity'!$B$15*BS5))</f>
        <v>8.8375986552585947E-10</v>
      </c>
      <c r="BU5" s="18">
        <f>0.5*'Wave particle velocity'!$B$13*EXP('Wave particle velocity'!$B$15*BS5)*COS(('Wave particle velocity'!$B$15*'Wave particle velocity'!$B$8)-('Wave particle velocity'!$B$13*'Wave particle velocity'!$B$9))</f>
        <v>-3.7773988324300511E-5</v>
      </c>
      <c r="BV5" s="37">
        <f t="shared" ref="BV5:BV10" si="4">BR5+BT5+BU5</f>
        <v>-3.7773104564434984E-5</v>
      </c>
    </row>
    <row r="6" spans="2:74" ht="15.75" thickBot="1">
      <c r="B6" s="16"/>
      <c r="C6" s="34"/>
      <c r="D6" s="34"/>
      <c r="E6" s="17"/>
      <c r="F6" s="18"/>
      <c r="G6" s="37"/>
      <c r="H6" s="18"/>
      <c r="I6" s="13"/>
      <c r="J6" s="13"/>
      <c r="K6" s="34"/>
      <c r="L6" s="17"/>
      <c r="M6" s="18"/>
      <c r="N6" s="37"/>
      <c r="O6" s="13"/>
      <c r="P6" s="13"/>
      <c r="Q6" s="34"/>
      <c r="R6" s="17"/>
      <c r="S6" s="18"/>
      <c r="T6" s="37"/>
      <c r="U6" s="13"/>
      <c r="V6" s="13"/>
      <c r="W6" s="34"/>
      <c r="X6" s="17"/>
      <c r="Y6" s="18"/>
      <c r="Z6" s="37"/>
      <c r="AA6" s="13"/>
      <c r="AB6" s="13"/>
      <c r="AC6" s="34"/>
      <c r="AD6" s="17"/>
      <c r="AE6" s="18"/>
      <c r="AF6" s="37"/>
      <c r="AG6" s="13">
        <f>Neaps!M7</f>
        <v>33.299999999999997</v>
      </c>
      <c r="AH6" s="13">
        <f>Neaps!N7</f>
        <v>0.41386772026169333</v>
      </c>
      <c r="AI6" s="34">
        <f>AG6-Neaps!$A$3</f>
        <v>1.2999999999999972</v>
      </c>
      <c r="AJ6" s="17">
        <f>'Wave particle velocity'!$B$15*'Wave particle velocity'!$B$13*((0.5*'Wave particle velocity'!$B$3)^2)*(EXP(2*'Wave particle velocity'!$B$15*AI6))</f>
        <v>1.079147456618311</v>
      </c>
      <c r="AK6" s="18">
        <f>0.5*'Wave particle velocity'!$B$13*EXP('Wave particle velocity'!$B$15*AI6)*COS(('Wave particle velocity'!$B$15*'Wave particle velocity'!$B$8)-('Wave particle velocity'!$B$13*'Wave particle velocity'!$B$9))</f>
        <v>-1.3199761980690048</v>
      </c>
      <c r="AL6" s="37">
        <f>AH6+AJ6+AK6</f>
        <v>0.17303897881099961</v>
      </c>
      <c r="AM6" s="13">
        <f>Neaps!O7</f>
        <v>33.33</v>
      </c>
      <c r="AN6" s="13">
        <f>Neaps!P7</f>
        <v>5.1740120567055861E-2</v>
      </c>
      <c r="AO6" s="34">
        <f>AM6-Neaps!$A$3</f>
        <v>1.3299999999999983</v>
      </c>
      <c r="AP6" s="17">
        <f>'Wave particle velocity'!$B$15*'Wave particle velocity'!$B$13*((0.5*'Wave particle velocity'!$B$3)^2)*(EXP(2*'Wave particle velocity'!$B$15*AO6))</f>
        <v>1.0996818308724829</v>
      </c>
      <c r="AQ6" s="18">
        <f>0.5*'Wave particle velocity'!$B$13*EXP('Wave particle velocity'!$B$15*AO6)*COS(('Wave particle velocity'!$B$15*'Wave particle velocity'!$B$8)-('Wave particle velocity'!$B$13*'Wave particle velocity'!$B$9))</f>
        <v>-1.3324754896510598</v>
      </c>
      <c r="AR6" s="37">
        <f t="shared" ref="AR6:AR42" si="5">AN6+AP6+AQ6</f>
        <v>-0.18105353821152104</v>
      </c>
      <c r="AS6" s="13">
        <f>Neaps!Q7</f>
        <v>33.33</v>
      </c>
      <c r="AT6" s="13">
        <f>Neaps!R7</f>
        <v>0.41392096453644689</v>
      </c>
      <c r="AU6" s="34">
        <f>AS6-Neaps!$A$3</f>
        <v>1.3299999999999983</v>
      </c>
      <c r="AV6" s="17">
        <f>'Wave particle velocity'!$B$15*'Wave particle velocity'!$B$13*((0.5*'Wave particle velocity'!$B$3)^2)*(EXP(2*'Wave particle velocity'!$B$15*AU6))</f>
        <v>1.0996818308724829</v>
      </c>
      <c r="AW6" s="18">
        <f>0.5*'Wave particle velocity'!$B$13*EXP('Wave particle velocity'!$B$15*AU6)*COS(('Wave particle velocity'!$B$15*'Wave particle velocity'!$B$8)-('Wave particle velocity'!$B$13*'Wave particle velocity'!$B$9))</f>
        <v>-1.3324754896510598</v>
      </c>
      <c r="AX6" s="37">
        <f t="shared" si="0"/>
        <v>0.18112730575787017</v>
      </c>
      <c r="AY6" s="13">
        <f>Neaps!S7</f>
        <v>0</v>
      </c>
      <c r="AZ6" s="13">
        <f>Neaps!T7</f>
        <v>0</v>
      </c>
      <c r="BA6" s="34">
        <f>AY6-Neaps!$A$3</f>
        <v>-32</v>
      </c>
      <c r="BB6" s="17">
        <f>'Wave particle velocity'!$B$15*'Wave particle velocity'!$B$13*((0.5*'Wave particle velocity'!$B$3)^2)*(EXP(2*'Wave particle velocity'!$B$15*BA6))</f>
        <v>8.8375986552585947E-10</v>
      </c>
      <c r="BC6" s="18">
        <f>0.5*'Wave particle velocity'!$B$13*EXP('Wave particle velocity'!$B$15*BA6)*COS(('Wave particle velocity'!$B$15*'Wave particle velocity'!$B$8)-('Wave particle velocity'!$B$13*'Wave particle velocity'!$B$9))</f>
        <v>-3.7773988324300511E-5</v>
      </c>
      <c r="BD6" s="37">
        <f t="shared" si="1"/>
        <v>-3.7773104564434984E-5</v>
      </c>
      <c r="BE6" s="13">
        <f>Neaps!U7</f>
        <v>0</v>
      </c>
      <c r="BF6" s="13">
        <f>Neaps!V7</f>
        <v>0</v>
      </c>
      <c r="BG6" s="34">
        <f>BE6-Neaps!$A$3</f>
        <v>-32</v>
      </c>
      <c r="BH6" s="17">
        <f>'Wave particle velocity'!$B$15*'Wave particle velocity'!$B$13*((0.5*'Wave particle velocity'!$B$3)^2)*(EXP(2*'Wave particle velocity'!$B$15*BG6))</f>
        <v>8.8375986552585947E-10</v>
      </c>
      <c r="BI6" s="18">
        <f>0.5*'Wave particle velocity'!$B$13*EXP('Wave particle velocity'!$B$15*BG6)*COS(('Wave particle velocity'!$B$15*'Wave particle velocity'!$B$8)-('Wave particle velocity'!$B$13*'Wave particle velocity'!$B$9))</f>
        <v>-3.7773988324300511E-5</v>
      </c>
      <c r="BJ6" s="37">
        <f t="shared" si="2"/>
        <v>-3.7773104564434984E-5</v>
      </c>
      <c r="BK6" s="13">
        <f>Neaps!W7</f>
        <v>0</v>
      </c>
      <c r="BL6" s="13">
        <f>Neaps!X7</f>
        <v>0</v>
      </c>
      <c r="BM6" s="34">
        <f>BK6-Neaps!$A$3</f>
        <v>-32</v>
      </c>
      <c r="BN6" s="17">
        <f>'Wave particle velocity'!$B$15*'Wave particle velocity'!$B$13*((0.5*'Wave particle velocity'!$B$3)^2)*(EXP(2*'Wave particle velocity'!$B$15*BM6))</f>
        <v>8.8375986552585947E-10</v>
      </c>
      <c r="BO6" s="18">
        <f>0.5*'Wave particle velocity'!$B$13*EXP('Wave particle velocity'!$B$15*BM6)*COS(('Wave particle velocity'!$B$15*'Wave particle velocity'!$B$8)-('Wave particle velocity'!$B$13*'Wave particle velocity'!$B$9))</f>
        <v>-3.7773988324300511E-5</v>
      </c>
      <c r="BP6" s="37">
        <f t="shared" si="3"/>
        <v>-3.7773104564434984E-5</v>
      </c>
      <c r="BQ6" s="13">
        <f>Neaps!Y7</f>
        <v>0</v>
      </c>
      <c r="BR6" s="13">
        <f>Neaps!Z7</f>
        <v>0</v>
      </c>
      <c r="BS6" s="34">
        <f>BQ6-Neaps!$A$3</f>
        <v>-32</v>
      </c>
      <c r="BT6" s="17">
        <f>'Wave particle velocity'!$B$15*'Wave particle velocity'!$B$13*((0.5*'Wave particle velocity'!$B$3)^2)*(EXP(2*'Wave particle velocity'!$B$15*BS6))</f>
        <v>8.8375986552585947E-10</v>
      </c>
      <c r="BU6" s="18">
        <f>0.5*'Wave particle velocity'!$B$13*EXP('Wave particle velocity'!$B$15*BS6)*COS(('Wave particle velocity'!$B$15*'Wave particle velocity'!$B$8)-('Wave particle velocity'!$B$13*'Wave particle velocity'!$B$9))</f>
        <v>-3.7773988324300511E-5</v>
      </c>
      <c r="BV6" s="37">
        <f t="shared" si="4"/>
        <v>-3.7773104564434984E-5</v>
      </c>
    </row>
    <row r="7" spans="2:74" ht="15.75" thickBot="1">
      <c r="B7" s="16"/>
      <c r="C7" s="34"/>
      <c r="D7" s="34"/>
      <c r="E7" s="17"/>
      <c r="F7" s="18"/>
      <c r="G7" s="37"/>
      <c r="H7" s="18"/>
      <c r="I7" s="13"/>
      <c r="J7" s="13"/>
      <c r="K7" s="34"/>
      <c r="L7" s="17"/>
      <c r="M7" s="18"/>
      <c r="N7" s="37"/>
      <c r="O7" s="13"/>
      <c r="P7" s="13"/>
      <c r="Q7" s="34"/>
      <c r="R7" s="17"/>
      <c r="S7" s="18"/>
      <c r="T7" s="37"/>
      <c r="U7" s="13"/>
      <c r="V7" s="13"/>
      <c r="W7" s="34"/>
      <c r="X7" s="17"/>
      <c r="Y7" s="18"/>
      <c r="Z7" s="37"/>
      <c r="AA7" s="13">
        <f>Neaps!K8</f>
        <v>33.11</v>
      </c>
      <c r="AB7" s="13">
        <f>Neaps!L8</f>
        <v>0.93044148415216599</v>
      </c>
      <c r="AC7" s="34">
        <f>AA7-Neaps!$A$3</f>
        <v>1.1099999999999994</v>
      </c>
      <c r="AD7" s="17">
        <f>'Wave particle velocity'!$B$15*'Wave particle velocity'!$B$13*((0.5*'Wave particle velocity'!$B$3)^2)*(EXP(2*'Wave particle velocity'!$B$15*AC7))</f>
        <v>0.95771103181008066</v>
      </c>
      <c r="AE7" s="18">
        <f>0.5*'Wave particle velocity'!$B$13*EXP('Wave particle velocity'!$B$15*AC7)*COS(('Wave particle velocity'!$B$15*'Wave particle velocity'!$B$8)-('Wave particle velocity'!$B$13*'Wave particle velocity'!$B$9))</f>
        <v>-1.2434918675244966</v>
      </c>
      <c r="AF7" s="37">
        <f>AB7+AD7+AE7</f>
        <v>0.64466064843774995</v>
      </c>
      <c r="AG7" s="13">
        <f>Neaps!M8</f>
        <v>33.11</v>
      </c>
      <c r="AH7" s="13">
        <f>Neaps!N8</f>
        <v>0.41352954851207374</v>
      </c>
      <c r="AI7" s="34">
        <f>AG7-Neaps!$A$3</f>
        <v>1.1099999999999994</v>
      </c>
      <c r="AJ7" s="17">
        <f>'Wave particle velocity'!$B$15*'Wave particle velocity'!$B$13*((0.5*'Wave particle velocity'!$B$3)^2)*(EXP(2*'Wave particle velocity'!$B$15*AI7))</f>
        <v>0.95771103181008066</v>
      </c>
      <c r="AK7" s="18">
        <f>0.5*'Wave particle velocity'!$B$13*EXP('Wave particle velocity'!$B$15*AI7)*COS(('Wave particle velocity'!$B$15*'Wave particle velocity'!$B$8)-('Wave particle velocity'!$B$13*'Wave particle velocity'!$B$9))</f>
        <v>-1.2434918675244966</v>
      </c>
      <c r="AL7" s="37">
        <f t="shared" ref="AL7:AL42" si="6">AH7+AJ7+AK7</f>
        <v>0.12774871279765776</v>
      </c>
      <c r="AM7" s="13">
        <f>Neaps!O8</f>
        <v>33.18</v>
      </c>
      <c r="AN7" s="13">
        <f>Neaps!P8</f>
        <v>5.1706791395146154E-2</v>
      </c>
      <c r="AO7" s="34">
        <f>AM7-Neaps!$A$3</f>
        <v>1.1799999999999997</v>
      </c>
      <c r="AP7" s="17">
        <f>'Wave particle velocity'!$B$15*'Wave particle velocity'!$B$13*((0.5*'Wave particle velocity'!$B$3)^2)*(EXP(2*'Wave particle velocity'!$B$15*AO7))</f>
        <v>1.0007734126253713</v>
      </c>
      <c r="AQ7" s="18">
        <f>0.5*'Wave particle velocity'!$B$13*EXP('Wave particle velocity'!$B$15*AO7)*COS(('Wave particle velocity'!$B$15*'Wave particle velocity'!$B$8)-('Wave particle velocity'!$B$13*'Wave particle velocity'!$B$9))</f>
        <v>-1.2711405811613037</v>
      </c>
      <c r="AR7" s="37">
        <f t="shared" si="5"/>
        <v>-0.21866037714078623</v>
      </c>
      <c r="AS7" s="13">
        <f>Neaps!Q8</f>
        <v>33.18</v>
      </c>
      <c r="AT7" s="13">
        <f>Neaps!R8</f>
        <v>0.41365433116116923</v>
      </c>
      <c r="AU7" s="34">
        <f>AS7-Neaps!$A$3</f>
        <v>1.1799999999999997</v>
      </c>
      <c r="AV7" s="17">
        <f>'Wave particle velocity'!$B$15*'Wave particle velocity'!$B$13*((0.5*'Wave particle velocity'!$B$3)^2)*(EXP(2*'Wave particle velocity'!$B$15*AU7))</f>
        <v>1.0007734126253713</v>
      </c>
      <c r="AW7" s="18">
        <f>0.5*'Wave particle velocity'!$B$13*EXP('Wave particle velocity'!$B$15*AU7)*COS(('Wave particle velocity'!$B$15*'Wave particle velocity'!$B$8)-('Wave particle velocity'!$B$13*'Wave particle velocity'!$B$9))</f>
        <v>-1.2711405811613037</v>
      </c>
      <c r="AX7" s="37">
        <f t="shared" si="0"/>
        <v>0.143287162625237</v>
      </c>
      <c r="AY7" s="13">
        <f>Neaps!S8</f>
        <v>33.18</v>
      </c>
      <c r="AZ7" s="13">
        <f>Neaps!T8</f>
        <v>0.77560187092719224</v>
      </c>
      <c r="BA7" s="34">
        <f>AY7-Neaps!$A$3</f>
        <v>1.1799999999999997</v>
      </c>
      <c r="BB7" s="17">
        <f>'Wave particle velocity'!$B$15*'Wave particle velocity'!$B$13*((0.5*'Wave particle velocity'!$B$3)^2)*(EXP(2*'Wave particle velocity'!$B$15*BA7))</f>
        <v>1.0007734126253713</v>
      </c>
      <c r="BC7" s="18">
        <f>0.5*'Wave particle velocity'!$B$13*EXP('Wave particle velocity'!$B$15*BA7)*COS(('Wave particle velocity'!$B$15*'Wave particle velocity'!$B$8)-('Wave particle velocity'!$B$13*'Wave particle velocity'!$B$9))</f>
        <v>-1.2711405811613037</v>
      </c>
      <c r="BD7" s="37">
        <f t="shared" si="1"/>
        <v>0.50523470239125978</v>
      </c>
      <c r="BE7" s="13">
        <f>Neaps!U8</f>
        <v>0</v>
      </c>
      <c r="BF7" s="13">
        <f>Neaps!V8</f>
        <v>0</v>
      </c>
      <c r="BG7" s="34">
        <f>BE7-Neaps!$A$3</f>
        <v>-32</v>
      </c>
      <c r="BH7" s="17">
        <f>'Wave particle velocity'!$B$15*'Wave particle velocity'!$B$13*((0.5*'Wave particle velocity'!$B$3)^2)*(EXP(2*'Wave particle velocity'!$B$15*BG7))</f>
        <v>8.8375986552585947E-10</v>
      </c>
      <c r="BI7" s="18">
        <f>0.5*'Wave particle velocity'!$B$13*EXP('Wave particle velocity'!$B$15*BG7)*COS(('Wave particle velocity'!$B$15*'Wave particle velocity'!$B$8)-('Wave particle velocity'!$B$13*'Wave particle velocity'!$B$9))</f>
        <v>-3.7773988324300511E-5</v>
      </c>
      <c r="BJ7" s="37">
        <f t="shared" si="2"/>
        <v>-3.7773104564434984E-5</v>
      </c>
      <c r="BK7" s="13">
        <f>Neaps!W8</f>
        <v>0</v>
      </c>
      <c r="BL7" s="13">
        <f>Neaps!X8</f>
        <v>0</v>
      </c>
      <c r="BM7" s="34">
        <f>BK7-Neaps!$A$3</f>
        <v>-32</v>
      </c>
      <c r="BN7" s="17">
        <f>'Wave particle velocity'!$B$15*'Wave particle velocity'!$B$13*((0.5*'Wave particle velocity'!$B$3)^2)*(EXP(2*'Wave particle velocity'!$B$15*BM7))</f>
        <v>8.8375986552585947E-10</v>
      </c>
      <c r="BO7" s="18">
        <f>0.5*'Wave particle velocity'!$B$13*EXP('Wave particle velocity'!$B$15*BM7)*COS(('Wave particle velocity'!$B$15*'Wave particle velocity'!$B$8)-('Wave particle velocity'!$B$13*'Wave particle velocity'!$B$9))</f>
        <v>-3.7773988324300511E-5</v>
      </c>
      <c r="BP7" s="37">
        <f t="shared" si="3"/>
        <v>-3.7773104564434984E-5</v>
      </c>
      <c r="BQ7" s="13">
        <f>Neaps!Y8</f>
        <v>0</v>
      </c>
      <c r="BR7" s="13">
        <f>Neaps!Z8</f>
        <v>0</v>
      </c>
      <c r="BS7" s="34">
        <f>BQ7-Neaps!$A$3</f>
        <v>-32</v>
      </c>
      <c r="BT7" s="17">
        <f>'Wave particle velocity'!$B$15*'Wave particle velocity'!$B$13*((0.5*'Wave particle velocity'!$B$3)^2)*(EXP(2*'Wave particle velocity'!$B$15*BS7))</f>
        <v>8.8375986552585947E-10</v>
      </c>
      <c r="BU7" s="18">
        <f>0.5*'Wave particle velocity'!$B$13*EXP('Wave particle velocity'!$B$15*BS7)*COS(('Wave particle velocity'!$B$15*'Wave particle velocity'!$B$8)-('Wave particle velocity'!$B$13*'Wave particle velocity'!$B$9))</f>
        <v>-3.7773988324300511E-5</v>
      </c>
      <c r="BV7" s="37">
        <f t="shared" si="4"/>
        <v>-3.7773104564434984E-5</v>
      </c>
    </row>
    <row r="8" spans="2:74" ht="15.75" thickBot="1">
      <c r="B8" s="16"/>
      <c r="C8" s="34"/>
      <c r="D8" s="34"/>
      <c r="E8" s="17"/>
      <c r="F8" s="18"/>
      <c r="G8" s="37"/>
      <c r="H8" s="18"/>
      <c r="I8" s="13"/>
      <c r="J8" s="13"/>
      <c r="K8" s="34"/>
      <c r="L8" s="17"/>
      <c r="M8" s="18"/>
      <c r="N8" s="37"/>
      <c r="O8" s="13"/>
      <c r="P8" s="13"/>
      <c r="Q8" s="34"/>
      <c r="R8" s="17"/>
      <c r="S8" s="18"/>
      <c r="T8" s="37"/>
      <c r="U8" s="13">
        <f>Neaps!I9</f>
        <v>32.880000000000003</v>
      </c>
      <c r="V8" s="13">
        <f>Neaps!J9</f>
        <v>1.0844346188740772</v>
      </c>
      <c r="W8" s="34">
        <f>U8-Neaps!$A$3</f>
        <v>0.88000000000000256</v>
      </c>
      <c r="X8" s="17">
        <f>'Wave particle velocity'!$B$15*'Wave particle velocity'!$B$13*((0.5*'Wave particle velocity'!$B$3)^2)*(EXP(2*'Wave particle velocity'!$B$15*W8))</f>
        <v>0.82884472487706973</v>
      </c>
      <c r="Y8" s="18">
        <f>0.5*'Wave particle velocity'!$B$13*EXP('Wave particle velocity'!$B$15*W8)*COS(('Wave particle velocity'!$B$15*'Wave particle velocity'!$B$8)-('Wave particle velocity'!$B$13*'Wave particle velocity'!$B$9))</f>
        <v>-1.1568106898029753</v>
      </c>
      <c r="Z8" s="37">
        <f>V8+X8+Y8</f>
        <v>0.75646865394817153</v>
      </c>
      <c r="AA8" s="13">
        <f>Neaps!K9</f>
        <v>32.880000000000003</v>
      </c>
      <c r="AB8" s="13">
        <f>Neaps!L9</f>
        <v>0.92951538760635177</v>
      </c>
      <c r="AC8" s="34">
        <f>AA8-Neaps!$A$3</f>
        <v>0.88000000000000256</v>
      </c>
      <c r="AD8" s="17">
        <f>'Wave particle velocity'!$B$15*'Wave particle velocity'!$B$13*((0.5*'Wave particle velocity'!$B$3)^2)*(EXP(2*'Wave particle velocity'!$B$15*AC8))</f>
        <v>0.82884472487706973</v>
      </c>
      <c r="AE8" s="18">
        <f>0.5*'Wave particle velocity'!$B$13*EXP('Wave particle velocity'!$B$15*AC8)*COS(('Wave particle velocity'!$B$15*'Wave particle velocity'!$B$8)-('Wave particle velocity'!$B$13*'Wave particle velocity'!$B$9))</f>
        <v>-1.1568106898029753</v>
      </c>
      <c r="AF8" s="37">
        <f t="shared" ref="AF8:AF42" si="7">AB8+AD8+AE8</f>
        <v>0.60154942268044609</v>
      </c>
      <c r="AG8" s="13">
        <f>Neaps!M9</f>
        <v>32.880000000000003</v>
      </c>
      <c r="AH8" s="13">
        <f>Neaps!N9</f>
        <v>0.41311795004726748</v>
      </c>
      <c r="AI8" s="34">
        <f>AG8-Neaps!$A$3</f>
        <v>0.88000000000000256</v>
      </c>
      <c r="AJ8" s="17">
        <f>'Wave particle velocity'!$B$15*'Wave particle velocity'!$B$13*((0.5*'Wave particle velocity'!$B$3)^2)*(EXP(2*'Wave particle velocity'!$B$15*AI8))</f>
        <v>0.82884472487706973</v>
      </c>
      <c r="AK8" s="18">
        <f>0.5*'Wave particle velocity'!$B$13*EXP('Wave particle velocity'!$B$15*AI8)*COS(('Wave particle velocity'!$B$15*'Wave particle velocity'!$B$8)-('Wave particle velocity'!$B$13*'Wave particle velocity'!$B$9))</f>
        <v>-1.1568106898029753</v>
      </c>
      <c r="AL8" s="37">
        <f t="shared" si="6"/>
        <v>8.5151985121362017E-2</v>
      </c>
      <c r="AM8" s="13">
        <f>Neaps!O9</f>
        <v>32.979999999999997</v>
      </c>
      <c r="AN8" s="13">
        <f>Neaps!P9</f>
        <v>5.1662151020786883E-2</v>
      </c>
      <c r="AO8" s="34">
        <f>AM8-Neaps!$A$3</f>
        <v>0.97999999999999687</v>
      </c>
      <c r="AP8" s="17">
        <f>'Wave particle velocity'!$B$15*'Wave particle velocity'!$B$13*((0.5*'Wave particle velocity'!$B$3)^2)*(EXP(2*'Wave particle velocity'!$B$15*AO8))</f>
        <v>0.88259345969260938</v>
      </c>
      <c r="AQ8" s="18">
        <f>0.5*'Wave particle velocity'!$B$13*EXP('Wave particle velocity'!$B$15*AO8)*COS(('Wave particle velocity'!$B$15*'Wave particle velocity'!$B$8)-('Wave particle velocity'!$B$13*'Wave particle velocity'!$B$9))</f>
        <v>-1.1937298579570892</v>
      </c>
      <c r="AR8" s="37">
        <f t="shared" si="5"/>
        <v>-0.25947424724369295</v>
      </c>
      <c r="AS8" s="13">
        <f>Neaps!Q9</f>
        <v>32.979999999999997</v>
      </c>
      <c r="AT8" s="13">
        <f>Neaps!R9</f>
        <v>0.41329720816629506</v>
      </c>
      <c r="AU8" s="34">
        <f>AS8-Neaps!$A$3</f>
        <v>0.97999999999999687</v>
      </c>
      <c r="AV8" s="17">
        <f>'Wave particle velocity'!$B$15*'Wave particle velocity'!$B$13*((0.5*'Wave particle velocity'!$B$3)^2)*(EXP(2*'Wave particle velocity'!$B$15*AU8))</f>
        <v>0.88259345969260938</v>
      </c>
      <c r="AW8" s="18">
        <f>0.5*'Wave particle velocity'!$B$13*EXP('Wave particle velocity'!$B$15*AU8)*COS(('Wave particle velocity'!$B$15*'Wave particle velocity'!$B$8)-('Wave particle velocity'!$B$13*'Wave particle velocity'!$B$9))</f>
        <v>-1.1937298579570892</v>
      </c>
      <c r="AX8" s="37">
        <f t="shared" si="0"/>
        <v>0.1021608099018152</v>
      </c>
      <c r="AY8" s="13">
        <f>Neaps!S9</f>
        <v>32.979999999999997</v>
      </c>
      <c r="AZ8" s="13">
        <f>Neaps!T9</f>
        <v>0.77493226531180315</v>
      </c>
      <c r="BA8" s="34">
        <f>AY8-Neaps!$A$3</f>
        <v>0.97999999999999687</v>
      </c>
      <c r="BB8" s="17">
        <f>'Wave particle velocity'!$B$15*'Wave particle velocity'!$B$13*((0.5*'Wave particle velocity'!$B$3)^2)*(EXP(2*'Wave particle velocity'!$B$15*BA8))</f>
        <v>0.88259345969260938</v>
      </c>
      <c r="BC8" s="18">
        <f>0.5*'Wave particle velocity'!$B$13*EXP('Wave particle velocity'!$B$15*BA8)*COS(('Wave particle velocity'!$B$15*'Wave particle velocity'!$B$8)-('Wave particle velocity'!$B$13*'Wave particle velocity'!$B$9))</f>
        <v>-1.1937298579570892</v>
      </c>
      <c r="BD8" s="37">
        <f t="shared" si="1"/>
        <v>0.46379586704732345</v>
      </c>
      <c r="BE8" s="13">
        <f>Neaps!U9</f>
        <v>32.979999999999997</v>
      </c>
      <c r="BF8" s="13">
        <f>Neaps!V9</f>
        <v>1.0332430204157375</v>
      </c>
      <c r="BG8" s="34">
        <f>BE8-Neaps!$A$3</f>
        <v>0.97999999999999687</v>
      </c>
      <c r="BH8" s="17">
        <f>'Wave particle velocity'!$B$15*'Wave particle velocity'!$B$13*((0.5*'Wave particle velocity'!$B$3)^2)*(EXP(2*'Wave particle velocity'!$B$15*BG8))</f>
        <v>0.88259345969260938</v>
      </c>
      <c r="BI8" s="18">
        <f>0.5*'Wave particle velocity'!$B$13*EXP('Wave particle velocity'!$B$15*BG8)*COS(('Wave particle velocity'!$B$15*'Wave particle velocity'!$B$8)-('Wave particle velocity'!$B$13*'Wave particle velocity'!$B$9))</f>
        <v>-1.1937298579570892</v>
      </c>
      <c r="BJ8" s="37">
        <f t="shared" si="2"/>
        <v>0.72210662215125776</v>
      </c>
      <c r="BK8" s="13">
        <f>Neaps!W9</f>
        <v>0</v>
      </c>
      <c r="BL8" s="13">
        <f>Neaps!X9</f>
        <v>0</v>
      </c>
      <c r="BM8" s="34">
        <f>BK8-Neaps!$A$3</f>
        <v>-32</v>
      </c>
      <c r="BN8" s="17">
        <f>'Wave particle velocity'!$B$15*'Wave particle velocity'!$B$13*((0.5*'Wave particle velocity'!$B$3)^2)*(EXP(2*'Wave particle velocity'!$B$15*BM8))</f>
        <v>8.8375986552585947E-10</v>
      </c>
      <c r="BO8" s="18">
        <f>0.5*'Wave particle velocity'!$B$13*EXP('Wave particle velocity'!$B$15*BM8)*COS(('Wave particle velocity'!$B$15*'Wave particle velocity'!$B$8)-('Wave particle velocity'!$B$13*'Wave particle velocity'!$B$9))</f>
        <v>-3.7773988324300511E-5</v>
      </c>
      <c r="BP8" s="37">
        <f t="shared" si="3"/>
        <v>-3.7773104564434984E-5</v>
      </c>
      <c r="BQ8" s="13">
        <f>Neaps!Y9</f>
        <v>0</v>
      </c>
      <c r="BR8" s="13">
        <f>Neaps!Z9</f>
        <v>0</v>
      </c>
      <c r="BS8" s="34">
        <f>BQ8-Neaps!$A$3</f>
        <v>-32</v>
      </c>
      <c r="BT8" s="17">
        <f>'Wave particle velocity'!$B$15*'Wave particle velocity'!$B$13*((0.5*'Wave particle velocity'!$B$3)^2)*(EXP(2*'Wave particle velocity'!$B$15*BS8))</f>
        <v>8.8375986552585947E-10</v>
      </c>
      <c r="BU8" s="18">
        <f>0.5*'Wave particle velocity'!$B$13*EXP('Wave particle velocity'!$B$15*BS8)*COS(('Wave particle velocity'!$B$15*'Wave particle velocity'!$B$8)-('Wave particle velocity'!$B$13*'Wave particle velocity'!$B$9))</f>
        <v>-3.7773988324300511E-5</v>
      </c>
      <c r="BV8" s="37">
        <f t="shared" si="4"/>
        <v>-3.7773104564434984E-5</v>
      </c>
    </row>
    <row r="9" spans="2:74" ht="15.75" thickBot="1">
      <c r="B9" s="16"/>
      <c r="C9" s="34"/>
      <c r="D9" s="34"/>
      <c r="E9" s="17"/>
      <c r="F9" s="18"/>
      <c r="G9" s="37"/>
      <c r="H9" s="18"/>
      <c r="I9" s="13"/>
      <c r="J9" s="13"/>
      <c r="K9" s="34"/>
      <c r="L9" s="17"/>
      <c r="M9" s="18"/>
      <c r="N9" s="37"/>
      <c r="O9" s="13">
        <f>Neaps!G10</f>
        <v>32.630000000000003</v>
      </c>
      <c r="P9" s="13">
        <f>Neaps!H10</f>
        <v>1.0316693795165646</v>
      </c>
      <c r="Q9" s="34">
        <f>O9-Neaps!$A$3</f>
        <v>0.63000000000000256</v>
      </c>
      <c r="R9" s="17">
        <f>'Wave particle velocity'!$B$15*'Wave particle velocity'!$B$13*((0.5*'Wave particle velocity'!$B$3)^2)*(EXP(2*'Wave particle velocity'!$B$15*Q9))</f>
        <v>0.70836053958820122</v>
      </c>
      <c r="S9" s="18">
        <f>0.5*'Wave particle velocity'!$B$13*EXP('Wave particle velocity'!$B$15*Q9)*COS(('Wave particle velocity'!$B$15*'Wave particle velocity'!$B$8)-('Wave particle velocity'!$B$13*'Wave particle velocity'!$B$9))</f>
        <v>-1.0694312839866369</v>
      </c>
      <c r="T9" s="37">
        <f>P9+R9+S9</f>
        <v>0.67059863511812901</v>
      </c>
      <c r="U9" s="13">
        <f>Neaps!I10</f>
        <v>32.630000000000003</v>
      </c>
      <c r="V9" s="13">
        <f>Neaps!J10</f>
        <v>1.0832528484923929</v>
      </c>
      <c r="W9" s="34">
        <f>U9-Neaps!$A$3</f>
        <v>0.63000000000000256</v>
      </c>
      <c r="X9" s="17">
        <f>'Wave particle velocity'!$B$15*'Wave particle velocity'!$B$13*((0.5*'Wave particle velocity'!$B$3)^2)*(EXP(2*'Wave particle velocity'!$B$15*W9))</f>
        <v>0.70836053958820122</v>
      </c>
      <c r="Y9" s="18">
        <f>0.5*'Wave particle velocity'!$B$13*EXP('Wave particle velocity'!$B$15*W9)*COS(('Wave particle velocity'!$B$15*'Wave particle velocity'!$B$8)-('Wave particle velocity'!$B$13*'Wave particle velocity'!$B$9))</f>
        <v>-1.0694312839866369</v>
      </c>
      <c r="Z9" s="37">
        <f t="shared" ref="Z9:Z42" si="8">V9+X9+Y9</f>
        <v>0.72218210409395733</v>
      </c>
      <c r="AA9" s="13">
        <f>Neaps!K10</f>
        <v>32.630000000000003</v>
      </c>
      <c r="AB9" s="13">
        <f>Neaps!L10</f>
        <v>0.92850244156490802</v>
      </c>
      <c r="AC9" s="34">
        <f>AA9-Neaps!$A$3</f>
        <v>0.63000000000000256</v>
      </c>
      <c r="AD9" s="17">
        <f>'Wave particle velocity'!$B$15*'Wave particle velocity'!$B$13*((0.5*'Wave particle velocity'!$B$3)^2)*(EXP(2*'Wave particle velocity'!$B$15*AC9))</f>
        <v>0.70836053958820122</v>
      </c>
      <c r="AE9" s="18">
        <f>0.5*'Wave particle velocity'!$B$13*EXP('Wave particle velocity'!$B$15*AC9)*COS(('Wave particle velocity'!$B$15*'Wave particle velocity'!$B$8)-('Wave particle velocity'!$B$13*'Wave particle velocity'!$B$9))</f>
        <v>-1.0694312839866369</v>
      </c>
      <c r="AF9" s="37">
        <f t="shared" si="7"/>
        <v>0.56743169716647235</v>
      </c>
      <c r="AG9" s="13">
        <f>Neaps!M10</f>
        <v>32.630000000000003</v>
      </c>
      <c r="AH9" s="13">
        <f>Neaps!N10</f>
        <v>0.41266775180662585</v>
      </c>
      <c r="AI9" s="34">
        <f>AG9-Neaps!$A$3</f>
        <v>0.63000000000000256</v>
      </c>
      <c r="AJ9" s="17">
        <f>'Wave particle velocity'!$B$15*'Wave particle velocity'!$B$13*((0.5*'Wave particle velocity'!$B$3)^2)*(EXP(2*'Wave particle velocity'!$B$15*AI9))</f>
        <v>0.70836053958820122</v>
      </c>
      <c r="AK9" s="18">
        <f>0.5*'Wave particle velocity'!$B$13*EXP('Wave particle velocity'!$B$15*AI9)*COS(('Wave particle velocity'!$B$15*'Wave particle velocity'!$B$8)-('Wave particle velocity'!$B$13*'Wave particle velocity'!$B$9))</f>
        <v>-1.0694312839866369</v>
      </c>
      <c r="AL9" s="37">
        <f t="shared" si="6"/>
        <v>5.1597007408190176E-2</v>
      </c>
      <c r="AM9" s="13">
        <f>Neaps!O10</f>
        <v>32.72</v>
      </c>
      <c r="AN9" s="13">
        <f>Neaps!P10</f>
        <v>5.1603770336172868E-2</v>
      </c>
      <c r="AO9" s="34">
        <f>AM9-Neaps!$A$3</f>
        <v>0.71999999999999886</v>
      </c>
      <c r="AP9" s="17">
        <f>'Wave particle velocity'!$B$15*'Wave particle velocity'!$B$13*((0.5*'Wave particle velocity'!$B$3)^2)*(EXP(2*'Wave particle velocity'!$B$15*AO9))</f>
        <v>0.74957161889994983</v>
      </c>
      <c r="AQ9" s="18">
        <f>0.5*'Wave particle velocity'!$B$13*EXP('Wave particle velocity'!$B$15*AO9)*COS(('Wave particle velocity'!$B$15*'Wave particle velocity'!$B$8)-('Wave particle velocity'!$B$13*'Wave particle velocity'!$B$9))</f>
        <v>-1.1001002706228065</v>
      </c>
      <c r="AR9" s="37">
        <f t="shared" si="5"/>
        <v>-0.29892488138668372</v>
      </c>
      <c r="AS9" s="13">
        <f>Neaps!Q10</f>
        <v>32.72</v>
      </c>
      <c r="AT9" s="13">
        <f>Neaps!R10</f>
        <v>0.41283016268938294</v>
      </c>
      <c r="AU9" s="34">
        <f>AS9-Neaps!$A$3</f>
        <v>0.71999999999999886</v>
      </c>
      <c r="AV9" s="17">
        <f>'Wave particle velocity'!$B$15*'Wave particle velocity'!$B$13*((0.5*'Wave particle velocity'!$B$3)^2)*(EXP(2*'Wave particle velocity'!$B$15*AU9))</f>
        <v>0.74957161889994983</v>
      </c>
      <c r="AW9" s="18">
        <f>0.5*'Wave particle velocity'!$B$13*EXP('Wave particle velocity'!$B$15*AU9)*COS(('Wave particle velocity'!$B$15*'Wave particle velocity'!$B$8)-('Wave particle velocity'!$B$13*'Wave particle velocity'!$B$9))</f>
        <v>-1.1001002706228065</v>
      </c>
      <c r="AX9" s="37">
        <f t="shared" si="0"/>
        <v>6.2301510966526363E-2</v>
      </c>
      <c r="AY9" s="13">
        <f>Neaps!S10</f>
        <v>32.72</v>
      </c>
      <c r="AZ9" s="13">
        <f>Neaps!T10</f>
        <v>0.77405655504259296</v>
      </c>
      <c r="BA9" s="34">
        <f>AY9-Neaps!$A$3</f>
        <v>0.71999999999999886</v>
      </c>
      <c r="BB9" s="17">
        <f>'Wave particle velocity'!$B$15*'Wave particle velocity'!$B$13*((0.5*'Wave particle velocity'!$B$3)^2)*(EXP(2*'Wave particle velocity'!$B$15*BA9))</f>
        <v>0.74957161889994983</v>
      </c>
      <c r="BC9" s="18">
        <f>0.5*'Wave particle velocity'!$B$13*EXP('Wave particle velocity'!$B$15*BA9)*COS(('Wave particle velocity'!$B$15*'Wave particle velocity'!$B$8)-('Wave particle velocity'!$B$13*'Wave particle velocity'!$B$9))</f>
        <v>-1.1001002706228065</v>
      </c>
      <c r="BD9" s="37">
        <f t="shared" si="1"/>
        <v>0.42352790331973633</v>
      </c>
      <c r="BE9" s="13">
        <f>Neaps!U10</f>
        <v>32.72</v>
      </c>
      <c r="BF9" s="13">
        <f>Neaps!V10</f>
        <v>1.0320754067234572</v>
      </c>
      <c r="BG9" s="34">
        <f>BE9-Neaps!$A$3</f>
        <v>0.71999999999999886</v>
      </c>
      <c r="BH9" s="17">
        <f>'Wave particle velocity'!$B$15*'Wave particle velocity'!$B$13*((0.5*'Wave particle velocity'!$B$3)^2)*(EXP(2*'Wave particle velocity'!$B$15*BG9))</f>
        <v>0.74957161889994983</v>
      </c>
      <c r="BI9" s="18">
        <f>0.5*'Wave particle velocity'!$B$13*EXP('Wave particle velocity'!$B$15*BG9)*COS(('Wave particle velocity'!$B$15*'Wave particle velocity'!$B$8)-('Wave particle velocity'!$B$13*'Wave particle velocity'!$B$9))</f>
        <v>-1.1001002706228065</v>
      </c>
      <c r="BJ9" s="37">
        <f t="shared" si="2"/>
        <v>0.68154675500060047</v>
      </c>
      <c r="BK9" s="13">
        <f>Neaps!W10</f>
        <v>32.72</v>
      </c>
      <c r="BL9" s="13">
        <f>Neaps!X10</f>
        <v>0.98047163638728441</v>
      </c>
      <c r="BM9" s="34">
        <f>BK9-Neaps!$A$3</f>
        <v>0.71999999999999886</v>
      </c>
      <c r="BN9" s="17">
        <f>'Wave particle velocity'!$B$15*'Wave particle velocity'!$B$13*((0.5*'Wave particle velocity'!$B$3)^2)*(EXP(2*'Wave particle velocity'!$B$15*BM9))</f>
        <v>0.74957161889994983</v>
      </c>
      <c r="BO9" s="18">
        <f>0.5*'Wave particle velocity'!$B$13*EXP('Wave particle velocity'!$B$15*BM9)*COS(('Wave particle velocity'!$B$15*'Wave particle velocity'!$B$8)-('Wave particle velocity'!$B$13*'Wave particle velocity'!$B$9))</f>
        <v>-1.1001002706228065</v>
      </c>
      <c r="BP9" s="37">
        <f t="shared" si="3"/>
        <v>0.62994298466442777</v>
      </c>
      <c r="BQ9" s="13">
        <f>Neaps!Y10</f>
        <v>0</v>
      </c>
      <c r="BR9" s="13">
        <f>Neaps!Z10</f>
        <v>0</v>
      </c>
      <c r="BS9" s="34">
        <f>BQ9-Neaps!$A$3</f>
        <v>-32</v>
      </c>
      <c r="BT9" s="17">
        <f>'Wave particle velocity'!$B$15*'Wave particle velocity'!$B$13*((0.5*'Wave particle velocity'!$B$3)^2)*(EXP(2*'Wave particle velocity'!$B$15*BS9))</f>
        <v>8.8375986552585947E-10</v>
      </c>
      <c r="BU9" s="18">
        <f>0.5*'Wave particle velocity'!$B$13*EXP('Wave particle velocity'!$B$15*BS9)*COS(('Wave particle velocity'!$B$15*'Wave particle velocity'!$B$8)-('Wave particle velocity'!$B$13*'Wave particle velocity'!$B$9))</f>
        <v>-3.7773988324300511E-5</v>
      </c>
      <c r="BV9" s="37">
        <f t="shared" si="4"/>
        <v>-3.7773104564434984E-5</v>
      </c>
    </row>
    <row r="10" spans="2:74" ht="15.75" thickBot="1">
      <c r="B10" s="16"/>
      <c r="C10" s="34"/>
      <c r="D10" s="34"/>
      <c r="E10" s="17"/>
      <c r="F10" s="18"/>
      <c r="G10" s="37"/>
      <c r="H10" s="18"/>
      <c r="I10" s="13">
        <f>Neaps!E11</f>
        <v>32.43</v>
      </c>
      <c r="J10" s="13">
        <f>Neaps!F11</f>
        <v>0.61845818928586194</v>
      </c>
      <c r="K10" s="34">
        <f>I10-Neaps!$A$3</f>
        <v>0.42999999999999972</v>
      </c>
      <c r="L10" s="17">
        <f>'Wave particle velocity'!$B$15*'Wave particle velocity'!$B$13*((0.5*'Wave particle velocity'!$B$3)^2)*(EXP(2*'Wave particle velocity'!$B$15*K10))</f>
        <v>0.62471121980026945</v>
      </c>
      <c r="M10" s="18">
        <f>0.5*'Wave particle velocity'!$B$13*EXP('Wave particle velocity'!$B$15*K10)*COS(('Wave particle velocity'!$B$15*'Wave particle velocity'!$B$8)-('Wave particle velocity'!$B$13*'Wave particle velocity'!$B$9))</f>
        <v>-1.0043043811581669</v>
      </c>
      <c r="N10" s="37">
        <f>J10+L10+M10</f>
        <v>0.23886502792796449</v>
      </c>
      <c r="O10" s="13">
        <f>Neaps!G11</f>
        <v>32.43</v>
      </c>
      <c r="P10" s="13">
        <f>Neaps!H11</f>
        <v>1.03076364880977</v>
      </c>
      <c r="Q10" s="34">
        <f>O10-Neaps!$A$3</f>
        <v>0.42999999999999972</v>
      </c>
      <c r="R10" s="17">
        <f>'Wave particle velocity'!$B$15*'Wave particle velocity'!$B$13*((0.5*'Wave particle velocity'!$B$3)^2)*(EXP(2*'Wave particle velocity'!$B$15*Q10))</f>
        <v>0.62471121980026945</v>
      </c>
      <c r="S10" s="18">
        <f>0.5*'Wave particle velocity'!$B$13*EXP('Wave particle velocity'!$B$15*Q10)*COS(('Wave particle velocity'!$B$15*'Wave particle velocity'!$B$8)-('Wave particle velocity'!$B$13*'Wave particle velocity'!$B$9))</f>
        <v>-1.0043043811581669</v>
      </c>
      <c r="T10" s="37">
        <f t="shared" ref="T10:T42" si="9">P10+R10+S10</f>
        <v>0.65117048745187245</v>
      </c>
      <c r="U10" s="13">
        <f>Neaps!I11</f>
        <v>32.43</v>
      </c>
      <c r="V10" s="13">
        <f>Neaps!J11</f>
        <v>1.0823018312502586</v>
      </c>
      <c r="W10" s="34">
        <f>U10-Neaps!$A$3</f>
        <v>0.42999999999999972</v>
      </c>
      <c r="X10" s="17">
        <f>'Wave particle velocity'!$B$15*'Wave particle velocity'!$B$13*((0.5*'Wave particle velocity'!$B$3)^2)*(EXP(2*'Wave particle velocity'!$B$15*W10))</f>
        <v>0.62471121980026945</v>
      </c>
      <c r="Y10" s="18">
        <f>0.5*'Wave particle velocity'!$B$13*EXP('Wave particle velocity'!$B$15*W10)*COS(('Wave particle velocity'!$B$15*'Wave particle velocity'!$B$8)-('Wave particle velocity'!$B$13*'Wave particle velocity'!$B$9))</f>
        <v>-1.0043043811581669</v>
      </c>
      <c r="Z10" s="37">
        <f t="shared" si="8"/>
        <v>0.70270866989236125</v>
      </c>
      <c r="AA10" s="13">
        <f>Neaps!K11</f>
        <v>32.43</v>
      </c>
      <c r="AB10" s="13">
        <f>Neaps!L11</f>
        <v>0.92768728392879296</v>
      </c>
      <c r="AC10" s="34">
        <f>AA10-Neaps!$A$3</f>
        <v>0.42999999999999972</v>
      </c>
      <c r="AD10" s="17">
        <f>'Wave particle velocity'!$B$15*'Wave particle velocity'!$B$13*((0.5*'Wave particle velocity'!$B$3)^2)*(EXP(2*'Wave particle velocity'!$B$15*AC10))</f>
        <v>0.62471121980026945</v>
      </c>
      <c r="AE10" s="18">
        <f>0.5*'Wave particle velocity'!$B$13*EXP('Wave particle velocity'!$B$15*AC10)*COS(('Wave particle velocity'!$B$15*'Wave particle velocity'!$B$8)-('Wave particle velocity'!$B$13*'Wave particle velocity'!$B$9))</f>
        <v>-1.0043043811581669</v>
      </c>
      <c r="AF10" s="37">
        <f t="shared" si="7"/>
        <v>0.54809412257089551</v>
      </c>
      <c r="AG10" s="13">
        <f>Neaps!M11</f>
        <v>32.43</v>
      </c>
      <c r="AH10" s="13">
        <f>Neaps!N11</f>
        <v>0.41230545952390796</v>
      </c>
      <c r="AI10" s="34">
        <f>AG10-Neaps!$A$3</f>
        <v>0.42999999999999972</v>
      </c>
      <c r="AJ10" s="17">
        <f>'Wave particle velocity'!$B$15*'Wave particle velocity'!$B$13*((0.5*'Wave particle velocity'!$B$3)^2)*(EXP(2*'Wave particle velocity'!$B$15*AI10))</f>
        <v>0.62471121980026945</v>
      </c>
      <c r="AK10" s="18">
        <f>0.5*'Wave particle velocity'!$B$13*EXP('Wave particle velocity'!$B$15*AI10)*COS(('Wave particle velocity'!$B$15*'Wave particle velocity'!$B$8)-('Wave particle velocity'!$B$13*'Wave particle velocity'!$B$9))</f>
        <v>-1.0043043811581669</v>
      </c>
      <c r="AL10" s="37">
        <f t="shared" si="6"/>
        <v>3.2712298166010401E-2</v>
      </c>
      <c r="AM10" s="13">
        <f>Neaps!O11</f>
        <v>32.53</v>
      </c>
      <c r="AN10" s="13">
        <f>Neaps!P11</f>
        <v>5.1560855539925329E-2</v>
      </c>
      <c r="AO10" s="34">
        <f>AM10-Neaps!$A$3</f>
        <v>0.53000000000000114</v>
      </c>
      <c r="AP10" s="17">
        <f>'Wave particle velocity'!$B$15*'Wave particle velocity'!$B$13*((0.5*'Wave particle velocity'!$B$3)^2)*(EXP(2*'Wave particle velocity'!$B$15*AO10))</f>
        <v>0.66522235135668906</v>
      </c>
      <c r="AQ10" s="18">
        <f>0.5*'Wave particle velocity'!$B$13*EXP('Wave particle velocity'!$B$15*AO10)*COS(('Wave particle velocity'!$B$15*'Wave particle velocity'!$B$8)-('Wave particle velocity'!$B$13*'Wave particle velocity'!$B$9))</f>
        <v>-1.0363563691391988</v>
      </c>
      <c r="AR10" s="37">
        <f t="shared" si="5"/>
        <v>-0.31957316224258447</v>
      </c>
      <c r="AS10" s="13">
        <f>Neaps!Q11</f>
        <v>32.53</v>
      </c>
      <c r="AT10" s="13">
        <f>Neaps!R11</f>
        <v>0.41248684431940263</v>
      </c>
      <c r="AU10" s="34">
        <f>AS10-Neaps!$A$3</f>
        <v>0.53000000000000114</v>
      </c>
      <c r="AV10" s="17">
        <f>'Wave particle velocity'!$B$15*'Wave particle velocity'!$B$13*((0.5*'Wave particle velocity'!$B$3)^2)*(EXP(2*'Wave particle velocity'!$B$15*AU10))</f>
        <v>0.66522235135668906</v>
      </c>
      <c r="AW10" s="18">
        <f>0.5*'Wave particle velocity'!$B$13*EXP('Wave particle velocity'!$B$15*AU10)*COS(('Wave particle velocity'!$B$15*'Wave particle velocity'!$B$8)-('Wave particle velocity'!$B$13*'Wave particle velocity'!$B$9))</f>
        <v>-1.0363563691391988</v>
      </c>
      <c r="AX10" s="37">
        <f t="shared" si="0"/>
        <v>4.1352826536892984E-2</v>
      </c>
      <c r="AY10" s="13">
        <f>Neaps!S11</f>
        <v>32.53</v>
      </c>
      <c r="AZ10" s="13">
        <f>Neaps!T11</f>
        <v>0.77341283309887987</v>
      </c>
      <c r="BA10" s="34">
        <f>AY10-Neaps!$A$3</f>
        <v>0.53000000000000114</v>
      </c>
      <c r="BB10" s="17">
        <f>'Wave particle velocity'!$B$15*'Wave particle velocity'!$B$13*((0.5*'Wave particle velocity'!$B$3)^2)*(EXP(2*'Wave particle velocity'!$B$15*BA10))</f>
        <v>0.66522235135668906</v>
      </c>
      <c r="BC10" s="18">
        <f>0.5*'Wave particle velocity'!$B$13*EXP('Wave particle velocity'!$B$15*BA10)*COS(('Wave particle velocity'!$B$15*'Wave particle velocity'!$B$8)-('Wave particle velocity'!$B$13*'Wave particle velocity'!$B$9))</f>
        <v>-1.0363563691391988</v>
      </c>
      <c r="BD10" s="37">
        <f t="shared" si="1"/>
        <v>0.40227881531637011</v>
      </c>
      <c r="BE10" s="13">
        <f>Neaps!U11</f>
        <v>32.53</v>
      </c>
      <c r="BF10" s="13">
        <f>Neaps!V11</f>
        <v>1.0312171107985066</v>
      </c>
      <c r="BG10" s="34">
        <f>BE10-Neaps!$A$3</f>
        <v>0.53000000000000114</v>
      </c>
      <c r="BH10" s="17">
        <f>'Wave particle velocity'!$B$15*'Wave particle velocity'!$B$13*((0.5*'Wave particle velocity'!$B$3)^2)*(EXP(2*'Wave particle velocity'!$B$15*BG10))</f>
        <v>0.66522235135668906</v>
      </c>
      <c r="BI10" s="18">
        <f>0.5*'Wave particle velocity'!$B$13*EXP('Wave particle velocity'!$B$15*BG10)*COS(('Wave particle velocity'!$B$15*'Wave particle velocity'!$B$8)-('Wave particle velocity'!$B$13*'Wave particle velocity'!$B$9))</f>
        <v>-1.0363563691391988</v>
      </c>
      <c r="BJ10" s="37">
        <f t="shared" si="2"/>
        <v>0.66008309301599688</v>
      </c>
      <c r="BK10" s="13">
        <f>Neaps!W11</f>
        <v>32.53</v>
      </c>
      <c r="BL10" s="13">
        <f>Neaps!X11</f>
        <v>0.97965625525858113</v>
      </c>
      <c r="BM10" s="34">
        <f>BK10-Neaps!$A$3</f>
        <v>0.53000000000000114</v>
      </c>
      <c r="BN10" s="17">
        <f>'Wave particle velocity'!$B$15*'Wave particle velocity'!$B$13*((0.5*'Wave particle velocity'!$B$3)^2)*(EXP(2*'Wave particle velocity'!$B$15*BM10))</f>
        <v>0.66522235135668906</v>
      </c>
      <c r="BO10" s="18">
        <f>0.5*'Wave particle velocity'!$B$13*EXP('Wave particle velocity'!$B$15*BM10)*COS(('Wave particle velocity'!$B$15*'Wave particle velocity'!$B$8)-('Wave particle velocity'!$B$13*'Wave particle velocity'!$B$9))</f>
        <v>-1.0363563691391988</v>
      </c>
      <c r="BP10" s="37">
        <f t="shared" si="3"/>
        <v>0.60852223747607148</v>
      </c>
      <c r="BQ10" s="13">
        <f>Neaps!Y11</f>
        <v>32.53</v>
      </c>
      <c r="BR10" s="13">
        <f>Neaps!Z11</f>
        <v>0.6702911220190293</v>
      </c>
      <c r="BS10" s="34">
        <f>BQ10-Neaps!$A$3</f>
        <v>0.53000000000000114</v>
      </c>
      <c r="BT10" s="17">
        <f>'Wave particle velocity'!$B$15*'Wave particle velocity'!$B$13*((0.5*'Wave particle velocity'!$B$3)^2)*(EXP(2*'Wave particle velocity'!$B$15*BS10))</f>
        <v>0.66522235135668906</v>
      </c>
      <c r="BU10" s="18">
        <f>0.5*'Wave particle velocity'!$B$13*EXP('Wave particle velocity'!$B$15*BS10)*COS(('Wave particle velocity'!$B$15*'Wave particle velocity'!$B$8)-('Wave particle velocity'!$B$13*'Wave particle velocity'!$B$9))</f>
        <v>-1.0363563691391988</v>
      </c>
      <c r="BV10" s="37">
        <f t="shared" si="4"/>
        <v>0.29915710423651953</v>
      </c>
    </row>
    <row r="11" spans="2:74" ht="15.75" thickBot="1">
      <c r="B11" s="16">
        <f>Neaps!C12</f>
        <v>32</v>
      </c>
      <c r="C11" s="34">
        <f>Neaps!D12</f>
        <v>0.10288</v>
      </c>
      <c r="D11" s="34">
        <f>B11-Neaps!$A$3</f>
        <v>0</v>
      </c>
      <c r="E11" s="17">
        <f>'Wave particle velocity'!$B$15*'Wave particle velocity'!$B$13*((0.5*'Wave particle velocity'!$B$3)^2)*(EXP(2*'Wave particle velocity'!$B$15*D11))</f>
        <v>0.4768073478687242</v>
      </c>
      <c r="F11" s="18">
        <f>0.5*'Wave particle velocity'!$B$13*EXP('Wave particle velocity'!$B$15*D11)*COS(('Wave particle velocity'!$B$15*'Wave particle velocity'!$B$8)-('Wave particle velocity'!$B$13*'Wave particle velocity'!$B$9))</f>
        <v>-0.87739907868937839</v>
      </c>
      <c r="G11" s="37">
        <f>C11+E11+F11</f>
        <v>-0.29771173082065416</v>
      </c>
      <c r="H11" s="18">
        <f>Neaps!I12</f>
        <v>32</v>
      </c>
      <c r="I11" s="13">
        <f>Neaps!E12</f>
        <v>32</v>
      </c>
      <c r="J11" s="13">
        <f>Neaps!F12</f>
        <v>0.61727999999999994</v>
      </c>
      <c r="K11" s="34">
        <f>I11-Neaps!$A$3</f>
        <v>0</v>
      </c>
      <c r="L11" s="17">
        <f>'Wave particle velocity'!$B$15*'Wave particle velocity'!$B$13*((0.5*'Wave particle velocity'!$B$3)^2)*(EXP(2*'Wave particle velocity'!$B$15*K11))</f>
        <v>0.4768073478687242</v>
      </c>
      <c r="M11" s="18">
        <f>0.5*'Wave particle velocity'!$B$13*EXP('Wave particle velocity'!$B$15*K11)*COS(('Wave particle velocity'!$B$15*'Wave particle velocity'!$B$8)-('Wave particle velocity'!$B$13*'Wave particle velocity'!$B$9))</f>
        <v>-0.87739907868937839</v>
      </c>
      <c r="N11" s="37">
        <f t="shared" ref="N11:N42" si="10">J11+L11+M11</f>
        <v>0.21668826917934569</v>
      </c>
      <c r="O11" s="13">
        <f>Neaps!G12</f>
        <v>32</v>
      </c>
      <c r="P11" s="13">
        <f>Neaps!H12</f>
        <v>1.0287999999999999</v>
      </c>
      <c r="Q11" s="34">
        <f>O11-Neaps!$A$3</f>
        <v>0</v>
      </c>
      <c r="R11" s="17">
        <f>'Wave particle velocity'!$B$15*'Wave particle velocity'!$B$13*((0.5*'Wave particle velocity'!$B$3)^2)*(EXP(2*'Wave particle velocity'!$B$15*Q11))</f>
        <v>0.4768073478687242</v>
      </c>
      <c r="S11" s="18">
        <f>0.5*'Wave particle velocity'!$B$13*EXP('Wave particle velocity'!$B$15*Q11)*COS(('Wave particle velocity'!$B$15*'Wave particle velocity'!$B$8)-('Wave particle velocity'!$B$13*'Wave particle velocity'!$B$9))</f>
        <v>-0.87739907868937839</v>
      </c>
      <c r="T11" s="37">
        <f t="shared" si="9"/>
        <v>0.6282082691793458</v>
      </c>
      <c r="U11" s="13">
        <f>Neaps!I12</f>
        <v>32</v>
      </c>
      <c r="V11" s="13">
        <f>Neaps!J12</f>
        <v>1.0802400000000001</v>
      </c>
      <c r="W11" s="34">
        <f>U11-Neaps!$A$3</f>
        <v>0</v>
      </c>
      <c r="X11" s="17">
        <f>'Wave particle velocity'!$B$15*'Wave particle velocity'!$B$13*((0.5*'Wave particle velocity'!$B$3)^2)*(EXP(2*'Wave particle velocity'!$B$15*W11))</f>
        <v>0.4768073478687242</v>
      </c>
      <c r="Y11" s="18">
        <f>0.5*'Wave particle velocity'!$B$13*EXP('Wave particle velocity'!$B$15*W11)*COS(('Wave particle velocity'!$B$15*'Wave particle velocity'!$B$8)-('Wave particle velocity'!$B$13*'Wave particle velocity'!$B$9))</f>
        <v>-0.87739907868937839</v>
      </c>
      <c r="Z11" s="37">
        <f t="shared" si="8"/>
        <v>0.67964826917934595</v>
      </c>
      <c r="AA11" s="13">
        <f>Neaps!K12</f>
        <v>32</v>
      </c>
      <c r="AB11" s="57">
        <f>Neaps!L12</f>
        <v>0.92591999999999997</v>
      </c>
      <c r="AC11" s="34">
        <f>AA11-Neaps!$A$3</f>
        <v>0</v>
      </c>
      <c r="AD11" s="17">
        <f>'Wave particle velocity'!$B$15*'Wave particle velocity'!$B$13*((0.5*'Wave particle velocity'!$B$3)^2)*(EXP(2*'Wave particle velocity'!$B$15*AC11))</f>
        <v>0.4768073478687242</v>
      </c>
      <c r="AE11" s="18">
        <f>0.5*'Wave particle velocity'!$B$13*EXP('Wave particle velocity'!$B$15*AC11)*COS(('Wave particle velocity'!$B$15*'Wave particle velocity'!$B$8)-('Wave particle velocity'!$B$13*'Wave particle velocity'!$B$9))</f>
        <v>-0.87739907868937839</v>
      </c>
      <c r="AF11" s="37">
        <f t="shared" si="7"/>
        <v>0.52532826917934572</v>
      </c>
      <c r="AG11" s="13">
        <f>Neaps!M12</f>
        <v>32</v>
      </c>
      <c r="AH11" s="57">
        <f>Neaps!N12</f>
        <v>0.41152</v>
      </c>
      <c r="AI11" s="34">
        <f>AG11-Neaps!$A$3</f>
        <v>0</v>
      </c>
      <c r="AJ11" s="17">
        <f>'Wave particle velocity'!$B$15*'Wave particle velocity'!$B$13*((0.5*'Wave particle velocity'!$B$3)^2)*(EXP(2*'Wave particle velocity'!$B$15*AI11))</f>
        <v>0.4768073478687242</v>
      </c>
      <c r="AK11" s="18">
        <f>0.5*'Wave particle velocity'!$B$13*EXP('Wave particle velocity'!$B$15*AI11)*COS(('Wave particle velocity'!$B$15*'Wave particle velocity'!$B$8)-('Wave particle velocity'!$B$13*'Wave particle velocity'!$B$9))</f>
        <v>-0.87739907868937839</v>
      </c>
      <c r="AL11" s="37">
        <f t="shared" si="6"/>
        <v>1.0928269179345751E-2</v>
      </c>
      <c r="AM11" s="13">
        <f>Neaps!O12</f>
        <v>32</v>
      </c>
      <c r="AN11" s="57">
        <f>Neaps!P12</f>
        <v>5.144E-2</v>
      </c>
      <c r="AO11" s="34">
        <f>AM11-Neaps!$A$3</f>
        <v>0</v>
      </c>
      <c r="AP11" s="17">
        <f>'Wave particle velocity'!$B$15*'Wave particle velocity'!$B$13*((0.5*'Wave particle velocity'!$B$3)^2)*(EXP(2*'Wave particle velocity'!$B$15*AO11))</f>
        <v>0.4768073478687242</v>
      </c>
      <c r="AQ11" s="18">
        <f>0.5*'Wave particle velocity'!$B$13*EXP('Wave particle velocity'!$B$15*AO11)*COS(('Wave particle velocity'!$B$15*'Wave particle velocity'!$B$8)-('Wave particle velocity'!$B$13*'Wave particle velocity'!$B$9))</f>
        <v>-0.87739907868937839</v>
      </c>
      <c r="AR11" s="37">
        <f t="shared" si="5"/>
        <v>-0.3491517308206542</v>
      </c>
      <c r="AS11" s="13">
        <f>Neaps!Q12</f>
        <v>32</v>
      </c>
      <c r="AT11" s="13">
        <f>Neaps!R12</f>
        <v>0.41152</v>
      </c>
      <c r="AU11" s="34">
        <f>AS11-Neaps!$A$3</f>
        <v>0</v>
      </c>
      <c r="AV11" s="17">
        <f>'Wave particle velocity'!$B$15*'Wave particle velocity'!$B$13*((0.5*'Wave particle velocity'!$B$3)^2)*(EXP(2*'Wave particle velocity'!$B$15*AU11))</f>
        <v>0.4768073478687242</v>
      </c>
      <c r="AW11" s="18">
        <f>0.5*'Wave particle velocity'!$B$13*EXP('Wave particle velocity'!$B$15*AU11)*COS(('Wave particle velocity'!$B$15*'Wave particle velocity'!$B$8)-('Wave particle velocity'!$B$13*'Wave particle velocity'!$B$9))</f>
        <v>-0.87739907868937839</v>
      </c>
      <c r="AX11" s="37">
        <f>AT11+AV11+AW11</f>
        <v>1.0928269179345751E-2</v>
      </c>
      <c r="AY11" s="13">
        <f>Neaps!S12</f>
        <v>32</v>
      </c>
      <c r="AZ11" s="13">
        <f>Neaps!T12</f>
        <v>0.77159999999999995</v>
      </c>
      <c r="BA11" s="34">
        <f>AY11-Neaps!$A$3</f>
        <v>0</v>
      </c>
      <c r="BB11" s="17">
        <f>'Wave particle velocity'!$B$15*'Wave particle velocity'!$B$13*((0.5*'Wave particle velocity'!$B$3)^2)*(EXP(2*'Wave particle velocity'!$B$15*BA11))</f>
        <v>0.4768073478687242</v>
      </c>
      <c r="BC11" s="18">
        <f>0.5*'Wave particle velocity'!$B$13*EXP('Wave particle velocity'!$B$15*BA11)*COS(('Wave particle velocity'!$B$15*'Wave particle velocity'!$B$8)-('Wave particle velocity'!$B$13*'Wave particle velocity'!$B$9))</f>
        <v>-0.87739907868937839</v>
      </c>
      <c r="BD11" s="37">
        <f>AZ11+BB11+BC11</f>
        <v>0.37100826917934571</v>
      </c>
      <c r="BE11" s="13">
        <f>Neaps!U12</f>
        <v>32</v>
      </c>
      <c r="BF11" s="13">
        <f>Neaps!V12</f>
        <v>1.0287999999999999</v>
      </c>
      <c r="BG11" s="34">
        <f>BE11-Neaps!$A$3</f>
        <v>0</v>
      </c>
      <c r="BH11" s="17">
        <f>'Wave particle velocity'!$B$15*'Wave particle velocity'!$B$13*((0.5*'Wave particle velocity'!$B$3)^2)*(EXP(2*'Wave particle velocity'!$B$15*BG11))</f>
        <v>0.4768073478687242</v>
      </c>
      <c r="BI11" s="18">
        <f>0.5*'Wave particle velocity'!$B$13*EXP('Wave particle velocity'!$B$15*BG11)*COS(('Wave particle velocity'!$B$15*'Wave particle velocity'!$B$8)-('Wave particle velocity'!$B$13*'Wave particle velocity'!$B$9))</f>
        <v>-0.87739907868937839</v>
      </c>
      <c r="BJ11" s="37">
        <f>BF11+BH11+BI11</f>
        <v>0.6282082691793458</v>
      </c>
      <c r="BK11" s="13">
        <f>Neaps!W12</f>
        <v>32</v>
      </c>
      <c r="BL11" s="13">
        <f>Neaps!X12</f>
        <v>0.9773599999999999</v>
      </c>
      <c r="BM11" s="34">
        <f>BK11-Neaps!$A$3</f>
        <v>0</v>
      </c>
      <c r="BN11" s="17">
        <f>'Wave particle velocity'!$B$15*'Wave particle velocity'!$B$13*((0.5*'Wave particle velocity'!$B$3)^2)*(EXP(2*'Wave particle velocity'!$B$15*BM11))</f>
        <v>0.4768073478687242</v>
      </c>
      <c r="BO11" s="18">
        <f>0.5*'Wave particle velocity'!$B$13*EXP('Wave particle velocity'!$B$15*BM11)*COS(('Wave particle velocity'!$B$15*'Wave particle velocity'!$B$8)-('Wave particle velocity'!$B$13*'Wave particle velocity'!$B$9))</f>
        <v>-0.87739907868937839</v>
      </c>
      <c r="BP11" s="37">
        <f>BL11+BN11+BO11</f>
        <v>0.57676826917934565</v>
      </c>
      <c r="BQ11" s="13">
        <f>Neaps!Y12</f>
        <v>32</v>
      </c>
      <c r="BR11" s="13">
        <f>Neaps!Z12</f>
        <v>0.66871999999999998</v>
      </c>
      <c r="BS11" s="34">
        <f>BQ11-Neaps!$A$3</f>
        <v>0</v>
      </c>
      <c r="BT11" s="17">
        <f>'Wave particle velocity'!$B$15*'Wave particle velocity'!$B$13*((0.5*'Wave particle velocity'!$B$3)^2)*(EXP(2*'Wave particle velocity'!$B$15*BS11))</f>
        <v>0.4768073478687242</v>
      </c>
      <c r="BU11" s="18">
        <f>0.5*'Wave particle velocity'!$B$13*EXP('Wave particle velocity'!$B$15*BS11)*COS(('Wave particle velocity'!$B$15*'Wave particle velocity'!$B$8)-('Wave particle velocity'!$B$13*'Wave particle velocity'!$B$9))</f>
        <v>-0.87739907868937839</v>
      </c>
      <c r="BV11" s="37">
        <f>BR11+BT11+BU11</f>
        <v>0.26812826917934585</v>
      </c>
    </row>
    <row r="12" spans="2:74" ht="15.75" thickBot="1">
      <c r="B12" s="16">
        <f>Neaps!C13</f>
        <v>31</v>
      </c>
      <c r="C12" s="34">
        <f>Neaps!D13</f>
        <v>0.10241444142048996</v>
      </c>
      <c r="D12" s="34">
        <f>B12-Neaps!$A$3</f>
        <v>-1</v>
      </c>
      <c r="E12" s="17">
        <f>'Wave particle velocity'!$B$15*'Wave particle velocity'!$B$13*((0.5*'Wave particle velocity'!$B$3)^2)*(EXP(2*'Wave particle velocity'!$B$15*D12))</f>
        <v>0.25437104183269732</v>
      </c>
      <c r="F12" s="18">
        <f>0.5*'Wave particle velocity'!$B$13*EXP('Wave particle velocity'!$B$15*D12)*COS(('Wave particle velocity'!$B$15*'Wave particle velocity'!$B$8)-('Wave particle velocity'!$B$13*'Wave particle velocity'!$B$9))</f>
        <v>-0.64085464819832438</v>
      </c>
      <c r="G12" s="37">
        <f t="shared" ref="G12:G42" si="11">C12+E12+F12</f>
        <v>-0.28406916494513712</v>
      </c>
      <c r="H12" s="18">
        <f>Neaps!I13</f>
        <v>31</v>
      </c>
      <c r="I12" s="13">
        <f>Neaps!E13</f>
        <v>31</v>
      </c>
      <c r="J12" s="13">
        <f>Neaps!F13</f>
        <v>0.61448664852293966</v>
      </c>
      <c r="K12" s="34">
        <f>I12-Neaps!$A$3</f>
        <v>-1</v>
      </c>
      <c r="L12" s="17">
        <f>'Wave particle velocity'!$B$15*'Wave particle velocity'!$B$13*((0.5*'Wave particle velocity'!$B$3)^2)*(EXP(2*'Wave particle velocity'!$B$15*K12))</f>
        <v>0.25437104183269732</v>
      </c>
      <c r="M12" s="18">
        <f>0.5*'Wave particle velocity'!$B$13*EXP('Wave particle velocity'!$B$15*K12)*COS(('Wave particle velocity'!$B$15*'Wave particle velocity'!$B$8)-('Wave particle velocity'!$B$13*'Wave particle velocity'!$B$9))</f>
        <v>-0.64085464819832438</v>
      </c>
      <c r="N12" s="37">
        <f t="shared" si="10"/>
        <v>0.2280030421573126</v>
      </c>
      <c r="O12" s="13">
        <f>Neaps!G13</f>
        <v>31</v>
      </c>
      <c r="P12" s="13">
        <f>Neaps!H13</f>
        <v>1.0241444142048994</v>
      </c>
      <c r="Q12" s="34">
        <f>O12-Neaps!$A$3</f>
        <v>-1</v>
      </c>
      <c r="R12" s="17">
        <f>'Wave particle velocity'!$B$15*'Wave particle velocity'!$B$13*((0.5*'Wave particle velocity'!$B$3)^2)*(EXP(2*'Wave particle velocity'!$B$15*Q12))</f>
        <v>0.25437104183269732</v>
      </c>
      <c r="S12" s="18">
        <f>0.5*'Wave particle velocity'!$B$13*EXP('Wave particle velocity'!$B$15*Q12)*COS(('Wave particle velocity'!$B$15*'Wave particle velocity'!$B$8)-('Wave particle velocity'!$B$13*'Wave particle velocity'!$B$9))</f>
        <v>-0.64085464819832438</v>
      </c>
      <c r="T12" s="37">
        <f t="shared" si="9"/>
        <v>0.63766080783927226</v>
      </c>
      <c r="U12" s="13">
        <f>Neaps!I13</f>
        <v>31</v>
      </c>
      <c r="V12" s="13">
        <f>Neaps!J13</f>
        <v>1.0753516349151446</v>
      </c>
      <c r="W12" s="34">
        <f>U12-Neaps!$A$3</f>
        <v>-1</v>
      </c>
      <c r="X12" s="17">
        <f>'Wave particle velocity'!$B$15*'Wave particle velocity'!$B$13*((0.5*'Wave particle velocity'!$B$3)^2)*(EXP(2*'Wave particle velocity'!$B$15*W12))</f>
        <v>0.25437104183269732</v>
      </c>
      <c r="Y12" s="18">
        <f>0.5*'Wave particle velocity'!$B$13*EXP('Wave particle velocity'!$B$15*W12)*COS(('Wave particle velocity'!$B$15*'Wave particle velocity'!$B$8)-('Wave particle velocity'!$B$13*'Wave particle velocity'!$B$9))</f>
        <v>-0.64085464819832438</v>
      </c>
      <c r="Z12" s="37">
        <f t="shared" si="8"/>
        <v>0.68886802854951767</v>
      </c>
      <c r="AA12" s="13">
        <f>Neaps!K13</f>
        <v>31</v>
      </c>
      <c r="AB12" s="57">
        <f>Neaps!L13</f>
        <v>0.92172997278440949</v>
      </c>
      <c r="AC12" s="34">
        <f>AA12-Neaps!$A$3</f>
        <v>-1</v>
      </c>
      <c r="AD12" s="17">
        <f>'Wave particle velocity'!$B$15*'Wave particle velocity'!$B$13*((0.5*'Wave particle velocity'!$B$3)^2)*(EXP(2*'Wave particle velocity'!$B$15*AC12))</f>
        <v>0.25437104183269732</v>
      </c>
      <c r="AE12" s="18">
        <f>0.5*'Wave particle velocity'!$B$13*EXP('Wave particle velocity'!$B$15*AC12)*COS(('Wave particle velocity'!$B$15*'Wave particle velocity'!$B$8)-('Wave particle velocity'!$B$13*'Wave particle velocity'!$B$9))</f>
        <v>-0.64085464819832438</v>
      </c>
      <c r="AF12" s="37">
        <f t="shared" si="7"/>
        <v>0.53524636641878232</v>
      </c>
      <c r="AG12" s="13">
        <f>Neaps!M13</f>
        <v>31</v>
      </c>
      <c r="AH12" s="57">
        <f>Neaps!N13</f>
        <v>0.40965776568195983</v>
      </c>
      <c r="AI12" s="34">
        <f>AG12-Neaps!$A$3</f>
        <v>-1</v>
      </c>
      <c r="AJ12" s="17">
        <f>'Wave particle velocity'!$B$15*'Wave particle velocity'!$B$13*((0.5*'Wave particle velocity'!$B$3)^2)*(EXP(2*'Wave particle velocity'!$B$15*AI12))</f>
        <v>0.25437104183269732</v>
      </c>
      <c r="AK12" s="18">
        <f>0.5*'Wave particle velocity'!$B$13*EXP('Wave particle velocity'!$B$15*AI12)*COS(('Wave particle velocity'!$B$15*'Wave particle velocity'!$B$8)-('Wave particle velocity'!$B$13*'Wave particle velocity'!$B$9))</f>
        <v>-0.64085464819832438</v>
      </c>
      <c r="AL12" s="37">
        <f t="shared" si="6"/>
        <v>2.3174159316332821E-2</v>
      </c>
      <c r="AM12" s="13">
        <f>Neaps!O13</f>
        <v>31</v>
      </c>
      <c r="AN12" s="57">
        <f>Neaps!P13</f>
        <v>5.1207220710244979E-2</v>
      </c>
      <c r="AO12" s="34">
        <f>AM12-Neaps!$A$3</f>
        <v>-1</v>
      </c>
      <c r="AP12" s="17">
        <f>'Wave particle velocity'!$B$15*'Wave particle velocity'!$B$13*((0.5*'Wave particle velocity'!$B$3)^2)*(EXP(2*'Wave particle velocity'!$B$15*AO12))</f>
        <v>0.25437104183269732</v>
      </c>
      <c r="AQ12" s="18">
        <f>0.5*'Wave particle velocity'!$B$13*EXP('Wave particle velocity'!$B$15*AO12)*COS(('Wave particle velocity'!$B$15*'Wave particle velocity'!$B$8)-('Wave particle velocity'!$B$13*'Wave particle velocity'!$B$9))</f>
        <v>-0.64085464819832438</v>
      </c>
      <c r="AR12" s="37">
        <f t="shared" si="5"/>
        <v>-0.33527638565538209</v>
      </c>
      <c r="AS12" s="13">
        <f>Neaps!Q13</f>
        <v>31</v>
      </c>
      <c r="AT12" s="13">
        <f>Neaps!R13</f>
        <v>0.40965776568195983</v>
      </c>
      <c r="AU12" s="34">
        <f>AS12-Neaps!$A$3</f>
        <v>-1</v>
      </c>
      <c r="AV12" s="17">
        <f>'Wave particle velocity'!$B$15*'Wave particle velocity'!$B$13*((0.5*'Wave particle velocity'!$B$3)^2)*(EXP(2*'Wave particle velocity'!$B$15*AU12))</f>
        <v>0.25437104183269732</v>
      </c>
      <c r="AW12" s="18">
        <f>0.5*'Wave particle velocity'!$B$13*EXP('Wave particle velocity'!$B$15*AU12)*COS(('Wave particle velocity'!$B$15*'Wave particle velocity'!$B$8)-('Wave particle velocity'!$B$13*'Wave particle velocity'!$B$9))</f>
        <v>-0.64085464819832438</v>
      </c>
      <c r="AX12" s="37">
        <f t="shared" ref="AX12:AX14" si="12">AT12+AV12+AW12</f>
        <v>2.3174159316332821E-2</v>
      </c>
      <c r="AY12" s="13">
        <f>Neaps!S13</f>
        <v>31</v>
      </c>
      <c r="AZ12" s="13">
        <f>Neaps!T13</f>
        <v>0.76810831065367458</v>
      </c>
      <c r="BA12" s="34">
        <f>AY12-Neaps!$A$3</f>
        <v>-1</v>
      </c>
      <c r="BB12" s="17">
        <f>'Wave particle velocity'!$B$15*'Wave particle velocity'!$B$13*((0.5*'Wave particle velocity'!$B$3)^2)*(EXP(2*'Wave particle velocity'!$B$15*BA12))</f>
        <v>0.25437104183269732</v>
      </c>
      <c r="BC12" s="18">
        <f>0.5*'Wave particle velocity'!$B$13*EXP('Wave particle velocity'!$B$15*BA12)*COS(('Wave particle velocity'!$B$15*'Wave particle velocity'!$B$8)-('Wave particle velocity'!$B$13*'Wave particle velocity'!$B$9))</f>
        <v>-0.64085464819832438</v>
      </c>
      <c r="BD12" s="37">
        <f t="shared" ref="BD12:BD14" si="13">AZ12+BB12+BC12</f>
        <v>0.3816247042880474</v>
      </c>
      <c r="BE12" s="13">
        <f>Neaps!U13</f>
        <v>31</v>
      </c>
      <c r="BF12" s="13">
        <f>Neaps!V13</f>
        <v>1.0241444142048994</v>
      </c>
      <c r="BG12" s="34">
        <f>BE12-Neaps!$A$3</f>
        <v>-1</v>
      </c>
      <c r="BH12" s="17">
        <f>'Wave particle velocity'!$B$15*'Wave particle velocity'!$B$13*((0.5*'Wave particle velocity'!$B$3)^2)*(EXP(2*'Wave particle velocity'!$B$15*BG12))</f>
        <v>0.25437104183269732</v>
      </c>
      <c r="BI12" s="18">
        <f>0.5*'Wave particle velocity'!$B$13*EXP('Wave particle velocity'!$B$15*BG12)*COS(('Wave particle velocity'!$B$15*'Wave particle velocity'!$B$8)-('Wave particle velocity'!$B$13*'Wave particle velocity'!$B$9))</f>
        <v>-0.64085464819832438</v>
      </c>
      <c r="BJ12" s="37">
        <f t="shared" ref="BJ12:BJ14" si="14">BF12+BH12+BI12</f>
        <v>0.63766080783927226</v>
      </c>
      <c r="BK12" s="13">
        <f>Neaps!W13</f>
        <v>31</v>
      </c>
      <c r="BL12" s="13">
        <f>Neaps!X13</f>
        <v>0.97293719349465446</v>
      </c>
      <c r="BM12" s="34">
        <f>BK12-Neaps!$A$3</f>
        <v>-1</v>
      </c>
      <c r="BN12" s="17">
        <f>'Wave particle velocity'!$B$15*'Wave particle velocity'!$B$13*((0.5*'Wave particle velocity'!$B$3)^2)*(EXP(2*'Wave particle velocity'!$B$15*BM12))</f>
        <v>0.25437104183269732</v>
      </c>
      <c r="BO12" s="18">
        <f>0.5*'Wave particle velocity'!$B$13*EXP('Wave particle velocity'!$B$15*BM12)*COS(('Wave particle velocity'!$B$15*'Wave particle velocity'!$B$8)-('Wave particle velocity'!$B$13*'Wave particle velocity'!$B$9))</f>
        <v>-0.64085464819832438</v>
      </c>
      <c r="BP12" s="37">
        <f t="shared" ref="BP12:BP14" si="15">BL12+BN12+BO12</f>
        <v>0.58645358712902729</v>
      </c>
      <c r="BQ12" s="13">
        <f>Neaps!Y13</f>
        <v>31</v>
      </c>
      <c r="BR12" s="13">
        <f>Neaps!Z13</f>
        <v>0.66569386923318463</v>
      </c>
      <c r="BS12" s="34">
        <f>BQ12-Neaps!$A$3</f>
        <v>-1</v>
      </c>
      <c r="BT12" s="17">
        <f>'Wave particle velocity'!$B$15*'Wave particle velocity'!$B$13*((0.5*'Wave particle velocity'!$B$3)^2)*(EXP(2*'Wave particle velocity'!$B$15*BS12))</f>
        <v>0.25437104183269732</v>
      </c>
      <c r="BU12" s="18">
        <f>0.5*'Wave particle velocity'!$B$13*EXP('Wave particle velocity'!$B$15*BS12)*COS(('Wave particle velocity'!$B$15*'Wave particle velocity'!$B$8)-('Wave particle velocity'!$B$13*'Wave particle velocity'!$B$9))</f>
        <v>-0.64085464819832438</v>
      </c>
      <c r="BV12" s="37">
        <f t="shared" ref="BV12:BV14" si="16">BR12+BT12+BU12</f>
        <v>0.27921026286755757</v>
      </c>
    </row>
    <row r="13" spans="2:74" ht="15.75" thickBot="1">
      <c r="B13" s="16">
        <f>Neaps!C14</f>
        <v>30</v>
      </c>
      <c r="C13" s="34">
        <f>Neaps!D14</f>
        <v>0.10193582735942408</v>
      </c>
      <c r="D13" s="34">
        <f>B13-Neaps!$A$3</f>
        <v>-2</v>
      </c>
      <c r="E13" s="17">
        <f>'Wave particle velocity'!$B$15*'Wave particle velocity'!$B$13*((0.5*'Wave particle velocity'!$B$3)^2)*(EXP(2*'Wave particle velocity'!$B$15*D13))</f>
        <v>0.13570392153618085</v>
      </c>
      <c r="F13" s="18">
        <f>0.5*'Wave particle velocity'!$B$13*EXP('Wave particle velocity'!$B$15*D13)*COS(('Wave particle velocity'!$B$15*'Wave particle velocity'!$B$8)-('Wave particle velocity'!$B$13*'Wave particle velocity'!$B$9))</f>
        <v>-0.46808195961508919</v>
      </c>
      <c r="G13" s="37">
        <f t="shared" si="11"/>
        <v>-0.23044221071948426</v>
      </c>
      <c r="H13" s="18">
        <f>Neaps!I14</f>
        <v>30</v>
      </c>
      <c r="I13" s="13">
        <f>Neaps!E14</f>
        <v>30</v>
      </c>
      <c r="J13" s="13">
        <f>Neaps!F14</f>
        <v>0.61161496415654448</v>
      </c>
      <c r="K13" s="34">
        <f>I13-Neaps!$A$3</f>
        <v>-2</v>
      </c>
      <c r="L13" s="17">
        <f>'Wave particle velocity'!$B$15*'Wave particle velocity'!$B$13*((0.5*'Wave particle velocity'!$B$3)^2)*(EXP(2*'Wave particle velocity'!$B$15*K13))</f>
        <v>0.13570392153618085</v>
      </c>
      <c r="M13" s="18">
        <f>0.5*'Wave particle velocity'!$B$13*EXP('Wave particle velocity'!$B$15*K13)*COS(('Wave particle velocity'!$B$15*'Wave particle velocity'!$B$8)-('Wave particle velocity'!$B$13*'Wave particle velocity'!$B$9))</f>
        <v>-0.46808195961508919</v>
      </c>
      <c r="N13" s="37">
        <f t="shared" si="10"/>
        <v>0.27923692607763612</v>
      </c>
      <c r="O13" s="13">
        <f>Neaps!G14</f>
        <v>30</v>
      </c>
      <c r="P13" s="13">
        <f>Neaps!H14</f>
        <v>1.0193582735942408</v>
      </c>
      <c r="Q13" s="34">
        <f>O13-Neaps!$A$3</f>
        <v>-2</v>
      </c>
      <c r="R13" s="17">
        <f>'Wave particle velocity'!$B$15*'Wave particle velocity'!$B$13*((0.5*'Wave particle velocity'!$B$3)^2)*(EXP(2*'Wave particle velocity'!$B$15*Q13))</f>
        <v>0.13570392153618085</v>
      </c>
      <c r="S13" s="18">
        <f>0.5*'Wave particle velocity'!$B$13*EXP('Wave particle velocity'!$B$15*Q13)*COS(('Wave particle velocity'!$B$15*'Wave particle velocity'!$B$8)-('Wave particle velocity'!$B$13*'Wave particle velocity'!$B$9))</f>
        <v>-0.46808195961508919</v>
      </c>
      <c r="T13" s="37">
        <f t="shared" si="9"/>
        <v>0.68698023551533249</v>
      </c>
      <c r="U13" s="13">
        <f>Neaps!I14</f>
        <v>30</v>
      </c>
      <c r="V13" s="13">
        <f>Neaps!J14</f>
        <v>1.0703261872739529</v>
      </c>
      <c r="W13" s="34">
        <f>U13-Neaps!$A$3</f>
        <v>-2</v>
      </c>
      <c r="X13" s="17">
        <f>'Wave particle velocity'!$B$15*'Wave particle velocity'!$B$13*((0.5*'Wave particle velocity'!$B$3)^2)*(EXP(2*'Wave particle velocity'!$B$15*W13))</f>
        <v>0.13570392153618085</v>
      </c>
      <c r="Y13" s="18">
        <f>0.5*'Wave particle velocity'!$B$13*EXP('Wave particle velocity'!$B$15*W13)*COS(('Wave particle velocity'!$B$15*'Wave particle velocity'!$B$8)-('Wave particle velocity'!$B$13*'Wave particle velocity'!$B$9))</f>
        <v>-0.46808195961508919</v>
      </c>
      <c r="Z13" s="37">
        <f t="shared" si="8"/>
        <v>0.73794814919504459</v>
      </c>
      <c r="AA13" s="13">
        <f>Neaps!K14</f>
        <v>30</v>
      </c>
      <c r="AB13" s="57">
        <f>Neaps!L14</f>
        <v>0.91742244623481672</v>
      </c>
      <c r="AC13" s="34">
        <f>AA13-Neaps!$A$3</f>
        <v>-2</v>
      </c>
      <c r="AD13" s="17">
        <f>'Wave particle velocity'!$B$15*'Wave particle velocity'!$B$13*((0.5*'Wave particle velocity'!$B$3)^2)*(EXP(2*'Wave particle velocity'!$B$15*AC13))</f>
        <v>0.13570392153618085</v>
      </c>
      <c r="AE13" s="18">
        <f>0.5*'Wave particle velocity'!$B$13*EXP('Wave particle velocity'!$B$15*AC13)*COS(('Wave particle velocity'!$B$15*'Wave particle velocity'!$B$8)-('Wave particle velocity'!$B$13*'Wave particle velocity'!$B$9))</f>
        <v>-0.46808195961508919</v>
      </c>
      <c r="AF13" s="37">
        <f t="shared" si="7"/>
        <v>0.58504440815590852</v>
      </c>
      <c r="AG13" s="13">
        <f>Neaps!M14</f>
        <v>30</v>
      </c>
      <c r="AH13" s="57">
        <f>Neaps!N14</f>
        <v>0.40774330943769632</v>
      </c>
      <c r="AI13" s="34">
        <f>AG13-Neaps!$A$3</f>
        <v>-2</v>
      </c>
      <c r="AJ13" s="17">
        <f>'Wave particle velocity'!$B$15*'Wave particle velocity'!$B$13*((0.5*'Wave particle velocity'!$B$3)^2)*(EXP(2*'Wave particle velocity'!$B$15*AI13))</f>
        <v>0.13570392153618085</v>
      </c>
      <c r="AK13" s="18">
        <f>0.5*'Wave particle velocity'!$B$13*EXP('Wave particle velocity'!$B$15*AI13)*COS(('Wave particle velocity'!$B$15*'Wave particle velocity'!$B$8)-('Wave particle velocity'!$B$13*'Wave particle velocity'!$B$9))</f>
        <v>-0.46808195961508919</v>
      </c>
      <c r="AL13" s="37">
        <f t="shared" si="6"/>
        <v>7.5365271358787955E-2</v>
      </c>
      <c r="AM13" s="13">
        <f>Neaps!O14</f>
        <v>30</v>
      </c>
      <c r="AN13" s="57">
        <f>Neaps!P14</f>
        <v>5.096791367971204E-2</v>
      </c>
      <c r="AO13" s="34">
        <f>AM13-Neaps!$A$3</f>
        <v>-2</v>
      </c>
      <c r="AP13" s="17">
        <f>'Wave particle velocity'!$B$15*'Wave particle velocity'!$B$13*((0.5*'Wave particle velocity'!$B$3)^2)*(EXP(2*'Wave particle velocity'!$B$15*AO13))</f>
        <v>0.13570392153618085</v>
      </c>
      <c r="AQ13" s="18">
        <f>0.5*'Wave particle velocity'!$B$13*EXP('Wave particle velocity'!$B$15*AO13)*COS(('Wave particle velocity'!$B$15*'Wave particle velocity'!$B$8)-('Wave particle velocity'!$B$13*'Wave particle velocity'!$B$9))</f>
        <v>-0.46808195961508919</v>
      </c>
      <c r="AR13" s="37">
        <f t="shared" si="5"/>
        <v>-0.28141012439919633</v>
      </c>
      <c r="AS13" s="13">
        <f>Neaps!Q14</f>
        <v>30</v>
      </c>
      <c r="AT13" s="13">
        <f>Neaps!R14</f>
        <v>0.40774330943769632</v>
      </c>
      <c r="AU13" s="34">
        <f>AS13-Neaps!$A$3</f>
        <v>-2</v>
      </c>
      <c r="AV13" s="17">
        <f>'Wave particle velocity'!$B$15*'Wave particle velocity'!$B$13*((0.5*'Wave particle velocity'!$B$3)^2)*(EXP(2*'Wave particle velocity'!$B$15*AU13))</f>
        <v>0.13570392153618085</v>
      </c>
      <c r="AW13" s="18">
        <f>0.5*'Wave particle velocity'!$B$13*EXP('Wave particle velocity'!$B$15*AU13)*COS(('Wave particle velocity'!$B$15*'Wave particle velocity'!$B$8)-('Wave particle velocity'!$B$13*'Wave particle velocity'!$B$9))</f>
        <v>-0.46808195961508919</v>
      </c>
      <c r="AX13" s="37">
        <f t="shared" si="12"/>
        <v>7.5365271358787955E-2</v>
      </c>
      <c r="AY13" s="13">
        <f>Neaps!S14</f>
        <v>30</v>
      </c>
      <c r="AZ13" s="13">
        <f>Neaps!T14</f>
        <v>0.76451870519568055</v>
      </c>
      <c r="BA13" s="34">
        <f>AY13-Neaps!$A$3</f>
        <v>-2</v>
      </c>
      <c r="BB13" s="17">
        <f>'Wave particle velocity'!$B$15*'Wave particle velocity'!$B$13*((0.5*'Wave particle velocity'!$B$3)^2)*(EXP(2*'Wave particle velocity'!$B$15*BA13))</f>
        <v>0.13570392153618085</v>
      </c>
      <c r="BC13" s="18">
        <f>0.5*'Wave particle velocity'!$B$13*EXP('Wave particle velocity'!$B$15*BA13)*COS(('Wave particle velocity'!$B$15*'Wave particle velocity'!$B$8)-('Wave particle velocity'!$B$13*'Wave particle velocity'!$B$9))</f>
        <v>-0.46808195961508919</v>
      </c>
      <c r="BD13" s="37">
        <f t="shared" si="13"/>
        <v>0.43214066711677218</v>
      </c>
      <c r="BE13" s="13">
        <f>Neaps!U14</f>
        <v>30</v>
      </c>
      <c r="BF13" s="13">
        <f>Neaps!V14</f>
        <v>1.0193582735942408</v>
      </c>
      <c r="BG13" s="34">
        <f>BE13-Neaps!$A$3</f>
        <v>-2</v>
      </c>
      <c r="BH13" s="17">
        <f>'Wave particle velocity'!$B$15*'Wave particle velocity'!$B$13*((0.5*'Wave particle velocity'!$B$3)^2)*(EXP(2*'Wave particle velocity'!$B$15*BG13))</f>
        <v>0.13570392153618085</v>
      </c>
      <c r="BI13" s="18">
        <f>0.5*'Wave particle velocity'!$B$13*EXP('Wave particle velocity'!$B$15*BG13)*COS(('Wave particle velocity'!$B$15*'Wave particle velocity'!$B$8)-('Wave particle velocity'!$B$13*'Wave particle velocity'!$B$9))</f>
        <v>-0.46808195961508919</v>
      </c>
      <c r="BJ13" s="37">
        <f t="shared" si="14"/>
        <v>0.68698023551533249</v>
      </c>
      <c r="BK13" s="13">
        <f>Neaps!W14</f>
        <v>30</v>
      </c>
      <c r="BL13" s="13">
        <f>Neaps!X14</f>
        <v>0.96839035991452871</v>
      </c>
      <c r="BM13" s="34">
        <f>BK13-Neaps!$A$3</f>
        <v>-2</v>
      </c>
      <c r="BN13" s="17">
        <f>'Wave particle velocity'!$B$15*'Wave particle velocity'!$B$13*((0.5*'Wave particle velocity'!$B$3)^2)*(EXP(2*'Wave particle velocity'!$B$15*BM13))</f>
        <v>0.13570392153618085</v>
      </c>
      <c r="BO13" s="18">
        <f>0.5*'Wave particle velocity'!$B$13*EXP('Wave particle velocity'!$B$15*BM13)*COS(('Wave particle velocity'!$B$15*'Wave particle velocity'!$B$8)-('Wave particle velocity'!$B$13*'Wave particle velocity'!$B$9))</f>
        <v>-0.46808195961508919</v>
      </c>
      <c r="BP13" s="37">
        <f t="shared" si="15"/>
        <v>0.6360123218356204</v>
      </c>
      <c r="BQ13" s="13">
        <f>Neaps!Y14</f>
        <v>30</v>
      </c>
      <c r="BR13" s="13">
        <f>Neaps!Z14</f>
        <v>0.66258287783625647</v>
      </c>
      <c r="BS13" s="34">
        <f>BQ13-Neaps!$A$3</f>
        <v>-2</v>
      </c>
      <c r="BT13" s="17">
        <f>'Wave particle velocity'!$B$15*'Wave particle velocity'!$B$13*((0.5*'Wave particle velocity'!$B$3)^2)*(EXP(2*'Wave particle velocity'!$B$15*BS13))</f>
        <v>0.13570392153618085</v>
      </c>
      <c r="BU13" s="18">
        <f>0.5*'Wave particle velocity'!$B$13*EXP('Wave particle velocity'!$B$15*BS13)*COS(('Wave particle velocity'!$B$15*'Wave particle velocity'!$B$8)-('Wave particle velocity'!$B$13*'Wave particle velocity'!$B$9))</f>
        <v>-0.46808195961508919</v>
      </c>
      <c r="BV13" s="37">
        <f t="shared" si="16"/>
        <v>0.3302048397573481</v>
      </c>
    </row>
    <row r="14" spans="2:74" ht="15.75" thickBot="1">
      <c r="B14" s="16">
        <f>Neaps!C15</f>
        <v>29</v>
      </c>
      <c r="C14" s="34">
        <f>Neaps!D15</f>
        <v>0.1014433376597204</v>
      </c>
      <c r="D14" s="34">
        <f>B14-Neaps!$A$3</f>
        <v>-3</v>
      </c>
      <c r="E14" s="17">
        <f>'Wave particle velocity'!$B$15*'Wave particle velocity'!$B$13*((0.5*'Wave particle velocity'!$B$3)^2)*(EXP(2*'Wave particle velocity'!$B$15*D14))</f>
        <v>7.239642605391397E-2</v>
      </c>
      <c r="F14" s="18">
        <f>0.5*'Wave particle velocity'!$B$13*EXP('Wave particle velocity'!$B$15*D14)*COS(('Wave particle velocity'!$B$15*'Wave particle velocity'!$B$8)-('Wave particle velocity'!$B$13*'Wave particle velocity'!$B$9))</f>
        <v>-0.34188832293418459</v>
      </c>
      <c r="G14" s="37">
        <f t="shared" si="11"/>
        <v>-0.16804855922055023</v>
      </c>
      <c r="H14" s="18">
        <f>Neaps!I15</f>
        <v>29</v>
      </c>
      <c r="I14" s="13">
        <f>Neaps!E15</f>
        <v>29</v>
      </c>
      <c r="J14" s="13">
        <f>Neaps!F15</f>
        <v>0.60866002595832236</v>
      </c>
      <c r="K14" s="34">
        <f>I14-Neaps!$A$3</f>
        <v>-3</v>
      </c>
      <c r="L14" s="17">
        <f>'Wave particle velocity'!$B$15*'Wave particle velocity'!$B$13*((0.5*'Wave particle velocity'!$B$3)^2)*(EXP(2*'Wave particle velocity'!$B$15*K14))</f>
        <v>7.239642605391397E-2</v>
      </c>
      <c r="M14" s="18">
        <f>0.5*'Wave particle velocity'!$B$13*EXP('Wave particle velocity'!$B$15*K14)*COS(('Wave particle velocity'!$B$15*'Wave particle velocity'!$B$8)-('Wave particle velocity'!$B$13*'Wave particle velocity'!$B$9))</f>
        <v>-0.34188832293418459</v>
      </c>
      <c r="N14" s="37">
        <f t="shared" si="10"/>
        <v>0.33916812907805172</v>
      </c>
      <c r="O14" s="13">
        <f>Neaps!G15</f>
        <v>29</v>
      </c>
      <c r="P14" s="13">
        <f>Neaps!H15</f>
        <v>1.014433376597204</v>
      </c>
      <c r="Q14" s="34">
        <f>O14-Neaps!$A$3</f>
        <v>-3</v>
      </c>
      <c r="R14" s="17">
        <f>'Wave particle velocity'!$B$15*'Wave particle velocity'!$B$13*((0.5*'Wave particle velocity'!$B$3)^2)*(EXP(2*'Wave particle velocity'!$B$15*Q14))</f>
        <v>7.239642605391397E-2</v>
      </c>
      <c r="S14" s="18">
        <f>0.5*'Wave particle velocity'!$B$13*EXP('Wave particle velocity'!$B$15*Q14)*COS(('Wave particle velocity'!$B$15*'Wave particle velocity'!$B$8)-('Wave particle velocity'!$B$13*'Wave particle velocity'!$B$9))</f>
        <v>-0.34188832293418459</v>
      </c>
      <c r="T14" s="37">
        <f t="shared" si="9"/>
        <v>0.74494147971693347</v>
      </c>
      <c r="U14" s="13">
        <f>Neaps!I15</f>
        <v>29</v>
      </c>
      <c r="V14" s="13">
        <f>Neaps!J15</f>
        <v>1.0651550454270642</v>
      </c>
      <c r="W14" s="34">
        <f>U14-Neaps!$A$3</f>
        <v>-3</v>
      </c>
      <c r="X14" s="17">
        <f>'Wave particle velocity'!$B$15*'Wave particle velocity'!$B$13*((0.5*'Wave particle velocity'!$B$3)^2)*(EXP(2*'Wave particle velocity'!$B$15*W14))</f>
        <v>7.239642605391397E-2</v>
      </c>
      <c r="Y14" s="18">
        <f>0.5*'Wave particle velocity'!$B$13*EXP('Wave particle velocity'!$B$15*W14)*COS(('Wave particle velocity'!$B$15*'Wave particle velocity'!$B$8)-('Wave particle velocity'!$B$13*'Wave particle velocity'!$B$9))</f>
        <v>-0.34188832293418459</v>
      </c>
      <c r="Z14" s="37">
        <f t="shared" si="8"/>
        <v>0.79566314854679365</v>
      </c>
      <c r="AA14" s="13">
        <f>Neaps!K15</f>
        <v>29</v>
      </c>
      <c r="AB14" s="57">
        <f>Neaps!L15</f>
        <v>0.91299003893748354</v>
      </c>
      <c r="AC14" s="34">
        <f>AA14-Neaps!$A$3</f>
        <v>-3</v>
      </c>
      <c r="AD14" s="17">
        <f>'Wave particle velocity'!$B$15*'Wave particle velocity'!$B$13*((0.5*'Wave particle velocity'!$B$3)^2)*(EXP(2*'Wave particle velocity'!$B$15*AC14))</f>
        <v>7.239642605391397E-2</v>
      </c>
      <c r="AE14" s="18">
        <f>0.5*'Wave particle velocity'!$B$13*EXP('Wave particle velocity'!$B$15*AC14)*COS(('Wave particle velocity'!$B$15*'Wave particle velocity'!$B$8)-('Wave particle velocity'!$B$13*'Wave particle velocity'!$B$9))</f>
        <v>-0.34188832293418459</v>
      </c>
      <c r="AF14" s="37">
        <f t="shared" si="7"/>
        <v>0.6434981420572129</v>
      </c>
      <c r="AG14" s="13">
        <f>Neaps!M15</f>
        <v>29</v>
      </c>
      <c r="AH14" s="57">
        <f>Neaps!N15</f>
        <v>0.40577335063888159</v>
      </c>
      <c r="AI14" s="34">
        <f>AG14-Neaps!$A$3</f>
        <v>-3</v>
      </c>
      <c r="AJ14" s="17">
        <f>'Wave particle velocity'!$B$15*'Wave particle velocity'!$B$13*((0.5*'Wave particle velocity'!$B$3)^2)*(EXP(2*'Wave particle velocity'!$B$15*AI14))</f>
        <v>7.239642605391397E-2</v>
      </c>
      <c r="AK14" s="18">
        <f>0.5*'Wave particle velocity'!$B$13*EXP('Wave particle velocity'!$B$15*AI14)*COS(('Wave particle velocity'!$B$15*'Wave particle velocity'!$B$8)-('Wave particle velocity'!$B$13*'Wave particle velocity'!$B$9))</f>
        <v>-0.34188832293418459</v>
      </c>
      <c r="AL14" s="37">
        <f t="shared" si="6"/>
        <v>0.136281453758611</v>
      </c>
      <c r="AM14" s="13">
        <f>Neaps!O15</f>
        <v>29</v>
      </c>
      <c r="AN14" s="57">
        <f>Neaps!P15</f>
        <v>5.0721668829860199E-2</v>
      </c>
      <c r="AO14" s="34">
        <f>AM14-Neaps!$A$3</f>
        <v>-3</v>
      </c>
      <c r="AP14" s="17">
        <f>'Wave particle velocity'!$B$15*'Wave particle velocity'!$B$13*((0.5*'Wave particle velocity'!$B$3)^2)*(EXP(2*'Wave particle velocity'!$B$15*AO14))</f>
        <v>7.239642605391397E-2</v>
      </c>
      <c r="AQ14" s="18">
        <f>0.5*'Wave particle velocity'!$B$13*EXP('Wave particle velocity'!$B$15*AO14)*COS(('Wave particle velocity'!$B$15*'Wave particle velocity'!$B$8)-('Wave particle velocity'!$B$13*'Wave particle velocity'!$B$9))</f>
        <v>-0.34188832293418459</v>
      </c>
      <c r="AR14" s="37">
        <f t="shared" si="5"/>
        <v>-0.21877022805041041</v>
      </c>
      <c r="AS14" s="13">
        <f>Neaps!Q15</f>
        <v>29</v>
      </c>
      <c r="AT14" s="13">
        <f>Neaps!R15</f>
        <v>0.40577335063888159</v>
      </c>
      <c r="AU14" s="34">
        <f>AS14-Neaps!$A$3</f>
        <v>-3</v>
      </c>
      <c r="AV14" s="17">
        <f>'Wave particle velocity'!$B$15*'Wave particle velocity'!$B$13*((0.5*'Wave particle velocity'!$B$3)^2)*(EXP(2*'Wave particle velocity'!$B$15*AU14))</f>
        <v>7.239642605391397E-2</v>
      </c>
      <c r="AW14" s="18">
        <f>0.5*'Wave particle velocity'!$B$13*EXP('Wave particle velocity'!$B$15*AU14)*COS(('Wave particle velocity'!$B$15*'Wave particle velocity'!$B$8)-('Wave particle velocity'!$B$13*'Wave particle velocity'!$B$9))</f>
        <v>-0.34188832293418459</v>
      </c>
      <c r="AX14" s="37">
        <f t="shared" si="12"/>
        <v>0.136281453758611</v>
      </c>
      <c r="AY14" s="13">
        <f>Neaps!S15</f>
        <v>29</v>
      </c>
      <c r="AZ14" s="13">
        <f>Neaps!T15</f>
        <v>0.76082503244790289</v>
      </c>
      <c r="BA14" s="34">
        <f>AY14-Neaps!$A$3</f>
        <v>-3</v>
      </c>
      <c r="BB14" s="17">
        <f>'Wave particle velocity'!$B$15*'Wave particle velocity'!$B$13*((0.5*'Wave particle velocity'!$B$3)^2)*(EXP(2*'Wave particle velocity'!$B$15*BA14))</f>
        <v>7.239642605391397E-2</v>
      </c>
      <c r="BC14" s="18">
        <f>0.5*'Wave particle velocity'!$B$13*EXP('Wave particle velocity'!$B$15*BA14)*COS(('Wave particle velocity'!$B$15*'Wave particle velocity'!$B$8)-('Wave particle velocity'!$B$13*'Wave particle velocity'!$B$9))</f>
        <v>-0.34188832293418459</v>
      </c>
      <c r="BD14" s="37">
        <f t="shared" si="13"/>
        <v>0.49133313556763225</v>
      </c>
      <c r="BE14" s="13">
        <f>Neaps!U15</f>
        <v>29</v>
      </c>
      <c r="BF14" s="13">
        <f>Neaps!V15</f>
        <v>1.014433376597204</v>
      </c>
      <c r="BG14" s="34">
        <f>BE14-Neaps!$A$3</f>
        <v>-3</v>
      </c>
      <c r="BH14" s="17">
        <f>'Wave particle velocity'!$B$15*'Wave particle velocity'!$B$13*((0.5*'Wave particle velocity'!$B$3)^2)*(EXP(2*'Wave particle velocity'!$B$15*BG14))</f>
        <v>7.239642605391397E-2</v>
      </c>
      <c r="BI14" s="18">
        <f>0.5*'Wave particle velocity'!$B$13*EXP('Wave particle velocity'!$B$15*BG14)*COS(('Wave particle velocity'!$B$15*'Wave particle velocity'!$B$8)-('Wave particle velocity'!$B$13*'Wave particle velocity'!$B$9))</f>
        <v>-0.34188832293418459</v>
      </c>
      <c r="BJ14" s="37">
        <f t="shared" si="14"/>
        <v>0.74494147971693347</v>
      </c>
      <c r="BK14" s="13">
        <f>Neaps!W15</f>
        <v>29</v>
      </c>
      <c r="BL14" s="13">
        <f>Neaps!X15</f>
        <v>0.96371170776734372</v>
      </c>
      <c r="BM14" s="34">
        <f>BK14-Neaps!$A$3</f>
        <v>-3</v>
      </c>
      <c r="BN14" s="17">
        <f>'Wave particle velocity'!$B$15*'Wave particle velocity'!$B$13*((0.5*'Wave particle velocity'!$B$3)^2)*(EXP(2*'Wave particle velocity'!$B$15*BM14))</f>
        <v>7.239642605391397E-2</v>
      </c>
      <c r="BO14" s="18">
        <f>0.5*'Wave particle velocity'!$B$13*EXP('Wave particle velocity'!$B$15*BM14)*COS(('Wave particle velocity'!$B$15*'Wave particle velocity'!$B$8)-('Wave particle velocity'!$B$13*'Wave particle velocity'!$B$9))</f>
        <v>-0.34188832293418459</v>
      </c>
      <c r="BP14" s="37">
        <f t="shared" si="15"/>
        <v>0.69421981088707307</v>
      </c>
      <c r="BQ14" s="13">
        <f>Neaps!Y15</f>
        <v>29</v>
      </c>
      <c r="BR14" s="13">
        <f>Neaps!Z15</f>
        <v>0.65938169478818254</v>
      </c>
      <c r="BS14" s="34">
        <f>BQ14-Neaps!$A$3</f>
        <v>-3</v>
      </c>
      <c r="BT14" s="17">
        <f>'Wave particle velocity'!$B$15*'Wave particle velocity'!$B$13*((0.5*'Wave particle velocity'!$B$3)^2)*(EXP(2*'Wave particle velocity'!$B$15*BS14))</f>
        <v>7.239642605391397E-2</v>
      </c>
      <c r="BU14" s="18">
        <f>0.5*'Wave particle velocity'!$B$13*EXP('Wave particle velocity'!$B$15*BS14)*COS(('Wave particle velocity'!$B$15*'Wave particle velocity'!$B$8)-('Wave particle velocity'!$B$13*'Wave particle velocity'!$B$9))</f>
        <v>-0.34188832293418459</v>
      </c>
      <c r="BV14" s="37">
        <f t="shared" si="16"/>
        <v>0.38988979790791189</v>
      </c>
    </row>
    <row r="15" spans="2:74" ht="15.75" thickBot="1">
      <c r="B15" s="16">
        <f>Neaps!C16</f>
        <v>28</v>
      </c>
      <c r="C15" s="34">
        <f>Neaps!D16</f>
        <v>0.10093607011337916</v>
      </c>
      <c r="D15" s="34">
        <f>B15-Neaps!$A$3</f>
        <v>-4</v>
      </c>
      <c r="E15" s="17">
        <f>'Wave particle velocity'!$B$15*'Wave particle velocity'!$B$13*((0.5*'Wave particle velocity'!$B$3)^2)*(EXP(2*'Wave particle velocity'!$B$15*D15))</f>
        <v>3.8622631137320784E-2</v>
      </c>
      <c r="F15" s="18">
        <f>0.5*'Wave particle velocity'!$B$13*EXP('Wave particle velocity'!$B$15*D15)*COS(('Wave particle velocity'!$B$15*'Wave particle velocity'!$B$8)-('Wave particle velocity'!$B$13*'Wave particle velocity'!$B$9))</f>
        <v>-0.24971615110923681</v>
      </c>
      <c r="G15" s="37">
        <f t="shared" si="11"/>
        <v>-0.11015744985853687</v>
      </c>
      <c r="H15" s="18">
        <f>Neaps!I16</f>
        <v>28</v>
      </c>
      <c r="I15" s="13">
        <f>Neaps!E16</f>
        <v>28</v>
      </c>
      <c r="J15" s="13">
        <f>Neaps!F16</f>
        <v>0.60561642068027488</v>
      </c>
      <c r="K15" s="34">
        <f>I15-Neaps!$A$3</f>
        <v>-4</v>
      </c>
      <c r="L15" s="17">
        <f>'Wave particle velocity'!$B$15*'Wave particle velocity'!$B$13*((0.5*'Wave particle velocity'!$B$3)^2)*(EXP(2*'Wave particle velocity'!$B$15*K15))</f>
        <v>3.8622631137320784E-2</v>
      </c>
      <c r="M15" s="18">
        <f>0.5*'Wave particle velocity'!$B$13*EXP('Wave particle velocity'!$B$15*K15)*COS(('Wave particle velocity'!$B$15*'Wave particle velocity'!$B$8)-('Wave particle velocity'!$B$13*'Wave particle velocity'!$B$9))</f>
        <v>-0.24971615110923681</v>
      </c>
      <c r="N15" s="37">
        <f t="shared" si="10"/>
        <v>0.39452290070835883</v>
      </c>
      <c r="O15" s="13">
        <f>Neaps!G16</f>
        <v>28</v>
      </c>
      <c r="P15" s="13">
        <f>Neaps!H16</f>
        <v>1.0093607011337915</v>
      </c>
      <c r="Q15" s="34">
        <f>O15-Neaps!$A$3</f>
        <v>-4</v>
      </c>
      <c r="R15" s="17">
        <f>'Wave particle velocity'!$B$15*'Wave particle velocity'!$B$13*((0.5*'Wave particle velocity'!$B$3)^2)*(EXP(2*'Wave particle velocity'!$B$15*Q15))</f>
        <v>3.8622631137320784E-2</v>
      </c>
      <c r="S15" s="18">
        <f>0.5*'Wave particle velocity'!$B$13*EXP('Wave particle velocity'!$B$15*Q15)*COS(('Wave particle velocity'!$B$15*'Wave particle velocity'!$B$8)-('Wave particle velocity'!$B$13*'Wave particle velocity'!$B$9))</f>
        <v>-0.24971615110923681</v>
      </c>
      <c r="T15" s="37">
        <f t="shared" si="9"/>
        <v>0.79826718116187545</v>
      </c>
      <c r="U15" s="13">
        <f>Neaps!I16</f>
        <v>28</v>
      </c>
      <c r="V15" s="13">
        <f>Neaps!J16</f>
        <v>1.0598287361904812</v>
      </c>
      <c r="W15" s="34">
        <f>U15-Neaps!$A$3</f>
        <v>-4</v>
      </c>
      <c r="X15" s="17">
        <f>'Wave particle velocity'!$B$15*'Wave particle velocity'!$B$13*((0.5*'Wave particle velocity'!$B$3)^2)*(EXP(2*'Wave particle velocity'!$B$15*W15))</f>
        <v>3.8622631137320784E-2</v>
      </c>
      <c r="Y15" s="18">
        <f>0.5*'Wave particle velocity'!$B$13*EXP('Wave particle velocity'!$B$15*W15)*COS(('Wave particle velocity'!$B$15*'Wave particle velocity'!$B$8)-('Wave particle velocity'!$B$13*'Wave particle velocity'!$B$9))</f>
        <v>-0.24971615110923681</v>
      </c>
      <c r="Z15" s="37">
        <f t="shared" si="8"/>
        <v>0.84873521621856518</v>
      </c>
      <c r="AA15" s="13">
        <f>Neaps!K16</f>
        <v>28</v>
      </c>
      <c r="AB15" s="57">
        <f>Neaps!L16</f>
        <v>0.90842463102041238</v>
      </c>
      <c r="AC15" s="34">
        <f>AA15-Neaps!$A$3</f>
        <v>-4</v>
      </c>
      <c r="AD15" s="17">
        <f>'Wave particle velocity'!$B$15*'Wave particle velocity'!$B$13*((0.5*'Wave particle velocity'!$B$3)^2)*(EXP(2*'Wave particle velocity'!$B$15*AC15))</f>
        <v>3.8622631137320784E-2</v>
      </c>
      <c r="AE15" s="18">
        <f>0.5*'Wave particle velocity'!$B$13*EXP('Wave particle velocity'!$B$15*AC15)*COS(('Wave particle velocity'!$B$15*'Wave particle velocity'!$B$8)-('Wave particle velocity'!$B$13*'Wave particle velocity'!$B$9))</f>
        <v>-0.24971615110923681</v>
      </c>
      <c r="AF15" s="37">
        <f t="shared" si="7"/>
        <v>0.69733111104849632</v>
      </c>
      <c r="AG15" s="13">
        <f>Neaps!M16</f>
        <v>28</v>
      </c>
      <c r="AH15" s="57">
        <f>Neaps!N16</f>
        <v>0.40374428045351662</v>
      </c>
      <c r="AI15" s="34">
        <f>AG15-Neaps!$A$3</f>
        <v>-4</v>
      </c>
      <c r="AJ15" s="17">
        <f>'Wave particle velocity'!$B$15*'Wave particle velocity'!$B$13*((0.5*'Wave particle velocity'!$B$3)^2)*(EXP(2*'Wave particle velocity'!$B$15*AI15))</f>
        <v>3.8622631137320784E-2</v>
      </c>
      <c r="AK15" s="18">
        <f>0.5*'Wave particle velocity'!$B$13*EXP('Wave particle velocity'!$B$15*AI15)*COS(('Wave particle velocity'!$B$15*'Wave particle velocity'!$B$8)-('Wave particle velocity'!$B$13*'Wave particle velocity'!$B$9))</f>
        <v>-0.24971615110923681</v>
      </c>
      <c r="AL15" s="37">
        <f t="shared" si="6"/>
        <v>0.1926507604816006</v>
      </c>
      <c r="AM15" s="13">
        <f>Neaps!O16</f>
        <v>28</v>
      </c>
      <c r="AN15" s="57">
        <f>Neaps!P16</f>
        <v>5.0468035056689578E-2</v>
      </c>
      <c r="AO15" s="34">
        <f>AM15-Neaps!$A$3</f>
        <v>-4</v>
      </c>
      <c r="AP15" s="17">
        <f>'Wave particle velocity'!$B$15*'Wave particle velocity'!$B$13*((0.5*'Wave particle velocity'!$B$3)^2)*(EXP(2*'Wave particle velocity'!$B$15*AO15))</f>
        <v>3.8622631137320784E-2</v>
      </c>
      <c r="AQ15" s="18">
        <f>0.5*'Wave particle velocity'!$B$13*EXP('Wave particle velocity'!$B$15*AO15)*COS(('Wave particle velocity'!$B$15*'Wave particle velocity'!$B$8)-('Wave particle velocity'!$B$13*'Wave particle velocity'!$B$9))</f>
        <v>-0.24971615110923681</v>
      </c>
      <c r="AR15" s="37">
        <f t="shared" si="5"/>
        <v>-0.16062548491522644</v>
      </c>
      <c r="AS15" s="13">
        <f>Neaps!Q16</f>
        <v>28</v>
      </c>
      <c r="AT15" s="13">
        <f>Neaps!R16</f>
        <v>0.40374428045351662</v>
      </c>
      <c r="AU15" s="34">
        <f>AS15-Neaps!$A$3</f>
        <v>-4</v>
      </c>
      <c r="AV15" s="17">
        <f>'Wave particle velocity'!$B$15*'Wave particle velocity'!$B$13*((0.5*'Wave particle velocity'!$B$3)^2)*(EXP(2*'Wave particle velocity'!$B$15*AU15))</f>
        <v>3.8622631137320784E-2</v>
      </c>
      <c r="AW15" s="18">
        <f>0.5*'Wave particle velocity'!$B$13*EXP('Wave particle velocity'!$B$15*AU15)*COS(('Wave particle velocity'!$B$15*'Wave particle velocity'!$B$8)-('Wave particle velocity'!$B$13*'Wave particle velocity'!$B$9))</f>
        <v>-0.24971615110923681</v>
      </c>
      <c r="AX15" s="37">
        <f>AT15+AV15+AW15</f>
        <v>0.1926507604816006</v>
      </c>
      <c r="AY15" s="13">
        <f>Neaps!S16</f>
        <v>28</v>
      </c>
      <c r="AZ15" s="13">
        <f>Neaps!T16</f>
        <v>0.75702052585034363</v>
      </c>
      <c r="BA15" s="34">
        <f>AY15-Neaps!$A$3</f>
        <v>-4</v>
      </c>
      <c r="BB15" s="17">
        <f>'Wave particle velocity'!$B$15*'Wave particle velocity'!$B$13*((0.5*'Wave particle velocity'!$B$3)^2)*(EXP(2*'Wave particle velocity'!$B$15*BA15))</f>
        <v>3.8622631137320784E-2</v>
      </c>
      <c r="BC15" s="18">
        <f>0.5*'Wave particle velocity'!$B$13*EXP('Wave particle velocity'!$B$15*BA15)*COS(('Wave particle velocity'!$B$15*'Wave particle velocity'!$B$8)-('Wave particle velocity'!$B$13*'Wave particle velocity'!$B$9))</f>
        <v>-0.24971615110923681</v>
      </c>
      <c r="BD15" s="37">
        <f>AZ15+BB15+BC15</f>
        <v>0.54592700587842757</v>
      </c>
      <c r="BE15" s="13">
        <f>Neaps!U16</f>
        <v>28</v>
      </c>
      <c r="BF15" s="13">
        <f>Neaps!V16</f>
        <v>1.0093607011337915</v>
      </c>
      <c r="BG15" s="34">
        <f>BE15-Neaps!$A$3</f>
        <v>-4</v>
      </c>
      <c r="BH15" s="17">
        <f>'Wave particle velocity'!$B$15*'Wave particle velocity'!$B$13*((0.5*'Wave particle velocity'!$B$3)^2)*(EXP(2*'Wave particle velocity'!$B$15*BG15))</f>
        <v>3.8622631137320784E-2</v>
      </c>
      <c r="BI15" s="18">
        <f>0.5*'Wave particle velocity'!$B$13*EXP('Wave particle velocity'!$B$15*BG15)*COS(('Wave particle velocity'!$B$15*'Wave particle velocity'!$B$8)-('Wave particle velocity'!$B$13*'Wave particle velocity'!$B$9))</f>
        <v>-0.24971615110923681</v>
      </c>
      <c r="BJ15" s="37">
        <f>BF15+BH15+BI15</f>
        <v>0.79826718116187545</v>
      </c>
      <c r="BK15" s="13">
        <f>Neaps!W16</f>
        <v>28</v>
      </c>
      <c r="BL15" s="13">
        <f>Neaps!X16</f>
        <v>0.95889266607710189</v>
      </c>
      <c r="BM15" s="34">
        <f>BK15-Neaps!$A$3</f>
        <v>-4</v>
      </c>
      <c r="BN15" s="17">
        <f>'Wave particle velocity'!$B$15*'Wave particle velocity'!$B$13*((0.5*'Wave particle velocity'!$B$3)^2)*(EXP(2*'Wave particle velocity'!$B$15*BM15))</f>
        <v>3.8622631137320784E-2</v>
      </c>
      <c r="BO15" s="18">
        <f>0.5*'Wave particle velocity'!$B$13*EXP('Wave particle velocity'!$B$15*BM15)*COS(('Wave particle velocity'!$B$15*'Wave particle velocity'!$B$8)-('Wave particle velocity'!$B$13*'Wave particle velocity'!$B$9))</f>
        <v>-0.24971615110923681</v>
      </c>
      <c r="BP15" s="37">
        <f>BL15+BN15+BO15</f>
        <v>0.74779914610518583</v>
      </c>
      <c r="BQ15" s="13">
        <f>Neaps!Y16</f>
        <v>28</v>
      </c>
      <c r="BR15" s="13">
        <f>Neaps!Z16</f>
        <v>0.6560844557369645</v>
      </c>
      <c r="BS15" s="34">
        <f>BQ15-Neaps!$A$3</f>
        <v>-4</v>
      </c>
      <c r="BT15" s="17">
        <f>'Wave particle velocity'!$B$15*'Wave particle velocity'!$B$13*((0.5*'Wave particle velocity'!$B$3)^2)*(EXP(2*'Wave particle velocity'!$B$15*BS15))</f>
        <v>3.8622631137320784E-2</v>
      </c>
      <c r="BU15" s="18">
        <f>0.5*'Wave particle velocity'!$B$13*EXP('Wave particle velocity'!$B$15*BS15)*COS(('Wave particle velocity'!$B$15*'Wave particle velocity'!$B$8)-('Wave particle velocity'!$B$13*'Wave particle velocity'!$B$9))</f>
        <v>-0.24971615110923681</v>
      </c>
      <c r="BV15" s="37">
        <f>BR15+BT15+BU15</f>
        <v>0.44499093576504845</v>
      </c>
    </row>
    <row r="16" spans="2:74" ht="15.75" thickBot="1">
      <c r="B16" s="16">
        <f>Neaps!C17</f>
        <v>27</v>
      </c>
      <c r="C16" s="34">
        <f>Neaps!D17</f>
        <v>0.10041302897631173</v>
      </c>
      <c r="D16" s="34">
        <f>B16-Neaps!$A$3</f>
        <v>-5</v>
      </c>
      <c r="E16" s="17">
        <f>'Wave particle velocity'!$B$15*'Wave particle velocity'!$B$13*((0.5*'Wave particle velocity'!$B$3)^2)*(EXP(2*'Wave particle velocity'!$B$15*D16))</f>
        <v>2.0604713758365072E-2</v>
      </c>
      <c r="F16" s="18">
        <f>0.5*'Wave particle velocity'!$B$13*EXP('Wave particle velocity'!$B$15*D16)*COS(('Wave particle velocity'!$B$15*'Wave particle velocity'!$B$8)-('Wave particle velocity'!$B$13*'Wave particle velocity'!$B$9))</f>
        <v>-0.1823933487684968</v>
      </c>
      <c r="G16" s="37">
        <f t="shared" si="11"/>
        <v>-6.1375606033820002E-2</v>
      </c>
      <c r="H16" s="18">
        <f>Neaps!I17</f>
        <v>27</v>
      </c>
      <c r="I16" s="13">
        <f>Neaps!E17</f>
        <v>27</v>
      </c>
      <c r="J16" s="13">
        <f>Neaps!F17</f>
        <v>0.60247817385787028</v>
      </c>
      <c r="K16" s="34">
        <f>I16-Neaps!$A$3</f>
        <v>-5</v>
      </c>
      <c r="L16" s="17">
        <f>'Wave particle velocity'!$B$15*'Wave particle velocity'!$B$13*((0.5*'Wave particle velocity'!$B$3)^2)*(EXP(2*'Wave particle velocity'!$B$15*K16))</f>
        <v>2.0604713758365072E-2</v>
      </c>
      <c r="M16" s="18">
        <f>0.5*'Wave particle velocity'!$B$13*EXP('Wave particle velocity'!$B$15*K16)*COS(('Wave particle velocity'!$B$15*'Wave particle velocity'!$B$8)-('Wave particle velocity'!$B$13*'Wave particle velocity'!$B$9))</f>
        <v>-0.1823933487684968</v>
      </c>
      <c r="N16" s="37">
        <f t="shared" si="10"/>
        <v>0.44068953884773854</v>
      </c>
      <c r="O16" s="13">
        <f>Neaps!G17</f>
        <v>27</v>
      </c>
      <c r="P16" s="13">
        <f>Neaps!H17</f>
        <v>1.0041302897631172</v>
      </c>
      <c r="Q16" s="34">
        <f>O16-Neaps!$A$3</f>
        <v>-5</v>
      </c>
      <c r="R16" s="17">
        <f>'Wave particle velocity'!$B$15*'Wave particle velocity'!$B$13*((0.5*'Wave particle velocity'!$B$3)^2)*(EXP(2*'Wave particle velocity'!$B$15*Q16))</f>
        <v>2.0604713758365072E-2</v>
      </c>
      <c r="S16" s="18">
        <f>0.5*'Wave particle velocity'!$B$13*EXP('Wave particle velocity'!$B$15*Q16)*COS(('Wave particle velocity'!$B$15*'Wave particle velocity'!$B$8)-('Wave particle velocity'!$B$13*'Wave particle velocity'!$B$9))</f>
        <v>-0.1823933487684968</v>
      </c>
      <c r="T16" s="37">
        <f t="shared" si="9"/>
        <v>0.84234165475298561</v>
      </c>
      <c r="U16" s="13">
        <f>Neaps!I17</f>
        <v>27</v>
      </c>
      <c r="V16" s="13">
        <f>Neaps!J17</f>
        <v>1.0543368042512733</v>
      </c>
      <c r="W16" s="34">
        <f>U16-Neaps!$A$3</f>
        <v>-5</v>
      </c>
      <c r="X16" s="17">
        <f>'Wave particle velocity'!$B$15*'Wave particle velocity'!$B$13*((0.5*'Wave particle velocity'!$B$3)^2)*(EXP(2*'Wave particle velocity'!$B$15*W16))</f>
        <v>2.0604713758365072E-2</v>
      </c>
      <c r="Y16" s="18">
        <f>0.5*'Wave particle velocity'!$B$13*EXP('Wave particle velocity'!$B$15*W16)*COS(('Wave particle velocity'!$B$15*'Wave particle velocity'!$B$8)-('Wave particle velocity'!$B$13*'Wave particle velocity'!$B$9))</f>
        <v>-0.1823933487684968</v>
      </c>
      <c r="Z16" s="37">
        <f t="shared" si="8"/>
        <v>0.89254816924114166</v>
      </c>
      <c r="AA16" s="13">
        <f>Neaps!K17</f>
        <v>27</v>
      </c>
      <c r="AB16" s="57">
        <f>Neaps!L17</f>
        <v>0.90371726078680548</v>
      </c>
      <c r="AC16" s="34">
        <f>AA16-Neaps!$A$3</f>
        <v>-5</v>
      </c>
      <c r="AD16" s="17">
        <f>'Wave particle velocity'!$B$15*'Wave particle velocity'!$B$13*((0.5*'Wave particle velocity'!$B$3)^2)*(EXP(2*'Wave particle velocity'!$B$15*AC16))</f>
        <v>2.0604713758365072E-2</v>
      </c>
      <c r="AE16" s="18">
        <f>0.5*'Wave particle velocity'!$B$13*EXP('Wave particle velocity'!$B$15*AC16)*COS(('Wave particle velocity'!$B$15*'Wave particle velocity'!$B$8)-('Wave particle velocity'!$B$13*'Wave particle velocity'!$B$9))</f>
        <v>-0.1823933487684968</v>
      </c>
      <c r="AF16" s="37">
        <f t="shared" si="7"/>
        <v>0.74192862577667373</v>
      </c>
      <c r="AG16" s="13">
        <f>Neaps!M17</f>
        <v>27</v>
      </c>
      <c r="AH16" s="57">
        <f>Neaps!N17</f>
        <v>0.40165211590524691</v>
      </c>
      <c r="AI16" s="34">
        <f>AG16-Neaps!$A$3</f>
        <v>-5</v>
      </c>
      <c r="AJ16" s="17">
        <f>'Wave particle velocity'!$B$15*'Wave particle velocity'!$B$13*((0.5*'Wave particle velocity'!$B$3)^2)*(EXP(2*'Wave particle velocity'!$B$15*AI16))</f>
        <v>2.0604713758365072E-2</v>
      </c>
      <c r="AK16" s="18">
        <f>0.5*'Wave particle velocity'!$B$13*EXP('Wave particle velocity'!$B$15*AI16)*COS(('Wave particle velocity'!$B$15*'Wave particle velocity'!$B$8)-('Wave particle velocity'!$B$13*'Wave particle velocity'!$B$9))</f>
        <v>-0.1823933487684968</v>
      </c>
      <c r="AL16" s="37">
        <f t="shared" si="6"/>
        <v>0.23986348089511519</v>
      </c>
      <c r="AM16" s="13">
        <f>Neaps!O17</f>
        <v>27</v>
      </c>
      <c r="AN16" s="57">
        <f>Neaps!P17</f>
        <v>5.0206514488155864E-2</v>
      </c>
      <c r="AO16" s="34">
        <f>AM16-Neaps!$A$3</f>
        <v>-5</v>
      </c>
      <c r="AP16" s="17">
        <f>'Wave particle velocity'!$B$15*'Wave particle velocity'!$B$13*((0.5*'Wave particle velocity'!$B$3)^2)*(EXP(2*'Wave particle velocity'!$B$15*AO16))</f>
        <v>2.0604713758365072E-2</v>
      </c>
      <c r="AQ16" s="18">
        <f>0.5*'Wave particle velocity'!$B$13*EXP('Wave particle velocity'!$B$15*AO16)*COS(('Wave particle velocity'!$B$15*'Wave particle velocity'!$B$8)-('Wave particle velocity'!$B$13*'Wave particle velocity'!$B$9))</f>
        <v>-0.1823933487684968</v>
      </c>
      <c r="AR16" s="37">
        <f t="shared" si="5"/>
        <v>-0.11158212052197587</v>
      </c>
      <c r="AS16" s="13">
        <f>Neaps!Q17</f>
        <v>27</v>
      </c>
      <c r="AT16" s="13">
        <f>Neaps!R17</f>
        <v>0.40165211590524691</v>
      </c>
      <c r="AU16" s="34">
        <f>AS16-Neaps!$A$3</f>
        <v>-5</v>
      </c>
      <c r="AV16" s="17">
        <f>'Wave particle velocity'!$B$15*'Wave particle velocity'!$B$13*((0.5*'Wave particle velocity'!$B$3)^2)*(EXP(2*'Wave particle velocity'!$B$15*AU16))</f>
        <v>2.0604713758365072E-2</v>
      </c>
      <c r="AW16" s="18">
        <f>0.5*'Wave particle velocity'!$B$13*EXP('Wave particle velocity'!$B$15*AU16)*COS(('Wave particle velocity'!$B$15*'Wave particle velocity'!$B$8)-('Wave particle velocity'!$B$13*'Wave particle velocity'!$B$9))</f>
        <v>-0.1823933487684968</v>
      </c>
      <c r="AX16" s="37">
        <f t="shared" ref="AX16:AX42" si="17">AT16+AV16+AW16</f>
        <v>0.23986348089511519</v>
      </c>
      <c r="AY16" s="13">
        <f>Neaps!S17</f>
        <v>27</v>
      </c>
      <c r="AZ16" s="13">
        <f>Neaps!T17</f>
        <v>0.75309771732233788</v>
      </c>
      <c r="BA16" s="34">
        <f>AY16-Neaps!$A$3</f>
        <v>-5</v>
      </c>
      <c r="BB16" s="17">
        <f>'Wave particle velocity'!$B$15*'Wave particle velocity'!$B$13*((0.5*'Wave particle velocity'!$B$3)^2)*(EXP(2*'Wave particle velocity'!$B$15*BA16))</f>
        <v>2.0604713758365072E-2</v>
      </c>
      <c r="BC16" s="18">
        <f>0.5*'Wave particle velocity'!$B$13*EXP('Wave particle velocity'!$B$15*BA16)*COS(('Wave particle velocity'!$B$15*'Wave particle velocity'!$B$8)-('Wave particle velocity'!$B$13*'Wave particle velocity'!$B$9))</f>
        <v>-0.1823933487684968</v>
      </c>
      <c r="BD16" s="37">
        <f t="shared" ref="BD16:BD42" si="18">AZ16+BB16+BC16</f>
        <v>0.59130908231220614</v>
      </c>
      <c r="BE16" s="13">
        <f>Neaps!U17</f>
        <v>27</v>
      </c>
      <c r="BF16" s="13">
        <f>Neaps!V17</f>
        <v>1.0041302897631172</v>
      </c>
      <c r="BG16" s="34">
        <f>BE16-Neaps!$A$3</f>
        <v>-5</v>
      </c>
      <c r="BH16" s="17">
        <f>'Wave particle velocity'!$B$15*'Wave particle velocity'!$B$13*((0.5*'Wave particle velocity'!$B$3)^2)*(EXP(2*'Wave particle velocity'!$B$15*BG16))</f>
        <v>2.0604713758365072E-2</v>
      </c>
      <c r="BI16" s="18">
        <f>0.5*'Wave particle velocity'!$B$13*EXP('Wave particle velocity'!$B$15*BG16)*COS(('Wave particle velocity'!$B$15*'Wave particle velocity'!$B$8)-('Wave particle velocity'!$B$13*'Wave particle velocity'!$B$9))</f>
        <v>-0.1823933487684968</v>
      </c>
      <c r="BJ16" s="37">
        <f t="shared" ref="BJ16:BJ42" si="19">BF16+BH16+BI16</f>
        <v>0.84234165475298561</v>
      </c>
      <c r="BK16" s="13">
        <f>Neaps!W17</f>
        <v>27</v>
      </c>
      <c r="BL16" s="13">
        <f>Neaps!X17</f>
        <v>0.95392377527496131</v>
      </c>
      <c r="BM16" s="34">
        <f>BK16-Neaps!$A$3</f>
        <v>-5</v>
      </c>
      <c r="BN16" s="17">
        <f>'Wave particle velocity'!$B$15*'Wave particle velocity'!$B$13*((0.5*'Wave particle velocity'!$B$3)^2)*(EXP(2*'Wave particle velocity'!$B$15*BM16))</f>
        <v>2.0604713758365072E-2</v>
      </c>
      <c r="BO16" s="18">
        <f>0.5*'Wave particle velocity'!$B$13*EXP('Wave particle velocity'!$B$15*BM16)*COS(('Wave particle velocity'!$B$15*'Wave particle velocity'!$B$8)-('Wave particle velocity'!$B$13*'Wave particle velocity'!$B$9))</f>
        <v>-0.1823933487684968</v>
      </c>
      <c r="BP16" s="37">
        <f t="shared" ref="BP16:BP42" si="20">BL16+BN16+BO16</f>
        <v>0.79213514026482956</v>
      </c>
      <c r="BQ16" s="13">
        <f>Neaps!Y17</f>
        <v>27</v>
      </c>
      <c r="BR16" s="13">
        <f>Neaps!Z17</f>
        <v>0.65268468834602622</v>
      </c>
      <c r="BS16" s="34">
        <f>BQ16-Neaps!$A$3</f>
        <v>-5</v>
      </c>
      <c r="BT16" s="17">
        <f>'Wave particle velocity'!$B$15*'Wave particle velocity'!$B$13*((0.5*'Wave particle velocity'!$B$3)^2)*(EXP(2*'Wave particle velocity'!$B$15*BS16))</f>
        <v>2.0604713758365072E-2</v>
      </c>
      <c r="BU16" s="18">
        <f>0.5*'Wave particle velocity'!$B$13*EXP('Wave particle velocity'!$B$15*BS16)*COS(('Wave particle velocity'!$B$15*'Wave particle velocity'!$B$8)-('Wave particle velocity'!$B$13*'Wave particle velocity'!$B$9))</f>
        <v>-0.1823933487684968</v>
      </c>
      <c r="BV16" s="37">
        <f t="shared" ref="BV16:BV42" si="21">BR16+BT16+BU16</f>
        <v>0.49089605333589448</v>
      </c>
    </row>
    <row r="17" spans="2:74" ht="15.75" thickBot="1">
      <c r="B17" s="16">
        <f>Neaps!C18</f>
        <v>26</v>
      </c>
      <c r="C17" s="34">
        <f>Neaps!D18</f>
        <v>9.9873111382204033E-2</v>
      </c>
      <c r="D17" s="34">
        <f>B17-Neaps!$A$3</f>
        <v>-6</v>
      </c>
      <c r="E17" s="17">
        <f>'Wave particle velocity'!$B$15*'Wave particle velocity'!$B$13*((0.5*'Wave particle velocity'!$B$3)^2)*(EXP(2*'Wave particle velocity'!$B$15*D17))</f>
        <v>1.0992369410428774E-2</v>
      </c>
      <c r="F17" s="18">
        <f>0.5*'Wave particle velocity'!$B$13*EXP('Wave particle velocity'!$B$15*D17)*COS(('Wave particle velocity'!$B$15*'Wave particle velocity'!$B$8)-('Wave particle velocity'!$B$13*'Wave particle velocity'!$B$9))</f>
        <v>-0.13322059276988424</v>
      </c>
      <c r="G17" s="37">
        <f t="shared" si="11"/>
        <v>-2.235511197725143E-2</v>
      </c>
      <c r="H17" s="18">
        <f>Neaps!I18</f>
        <v>26</v>
      </c>
      <c r="I17" s="13">
        <f>Neaps!E18</f>
        <v>26</v>
      </c>
      <c r="J17" s="13">
        <f>Neaps!F18</f>
        <v>0.59923866829322414</v>
      </c>
      <c r="K17" s="34">
        <f>I17-Neaps!$A$3</f>
        <v>-6</v>
      </c>
      <c r="L17" s="17">
        <f>'Wave particle velocity'!$B$15*'Wave particle velocity'!$B$13*((0.5*'Wave particle velocity'!$B$3)^2)*(EXP(2*'Wave particle velocity'!$B$15*K17))</f>
        <v>1.0992369410428774E-2</v>
      </c>
      <c r="M17" s="18">
        <f>0.5*'Wave particle velocity'!$B$13*EXP('Wave particle velocity'!$B$15*K17)*COS(('Wave particle velocity'!$B$15*'Wave particle velocity'!$B$8)-('Wave particle velocity'!$B$13*'Wave particle velocity'!$B$9))</f>
        <v>-0.13322059276988424</v>
      </c>
      <c r="N17" s="37">
        <f t="shared" si="10"/>
        <v>0.47701044493376871</v>
      </c>
      <c r="O17" s="13">
        <f>Neaps!G18</f>
        <v>26</v>
      </c>
      <c r="P17" s="13">
        <f>Neaps!H18</f>
        <v>0.99873111382204027</v>
      </c>
      <c r="Q17" s="34">
        <f>O17-Neaps!$A$3</f>
        <v>-6</v>
      </c>
      <c r="R17" s="17">
        <f>'Wave particle velocity'!$B$15*'Wave particle velocity'!$B$13*((0.5*'Wave particle velocity'!$B$3)^2)*(EXP(2*'Wave particle velocity'!$B$15*Q17))</f>
        <v>1.0992369410428774E-2</v>
      </c>
      <c r="S17" s="18">
        <f>0.5*'Wave particle velocity'!$B$13*EXP('Wave particle velocity'!$B$15*Q17)*COS(('Wave particle velocity'!$B$15*'Wave particle velocity'!$B$8)-('Wave particle velocity'!$B$13*'Wave particle velocity'!$B$9))</f>
        <v>-0.13322059276988424</v>
      </c>
      <c r="T17" s="37">
        <f t="shared" si="9"/>
        <v>0.87650289046258489</v>
      </c>
      <c r="U17" s="13">
        <f>Neaps!I18</f>
        <v>26</v>
      </c>
      <c r="V17" s="13">
        <f>Neaps!J18</f>
        <v>1.0486676695131425</v>
      </c>
      <c r="W17" s="34">
        <f>U17-Neaps!$A$3</f>
        <v>-6</v>
      </c>
      <c r="X17" s="17">
        <f>'Wave particle velocity'!$B$15*'Wave particle velocity'!$B$13*((0.5*'Wave particle velocity'!$B$3)^2)*(EXP(2*'Wave particle velocity'!$B$15*W17))</f>
        <v>1.0992369410428774E-2</v>
      </c>
      <c r="Y17" s="18">
        <f>0.5*'Wave particle velocity'!$B$13*EXP('Wave particle velocity'!$B$15*W17)*COS(('Wave particle velocity'!$B$15*'Wave particle velocity'!$B$8)-('Wave particle velocity'!$B$13*'Wave particle velocity'!$B$9))</f>
        <v>-0.13322059276988424</v>
      </c>
      <c r="Z17" s="37">
        <f t="shared" si="8"/>
        <v>0.92643944615368712</v>
      </c>
      <c r="AA17" s="13">
        <f>Neaps!K18</f>
        <v>26</v>
      </c>
      <c r="AB17" s="57">
        <f>Neaps!L18</f>
        <v>0.89885800243983627</v>
      </c>
      <c r="AC17" s="34">
        <f>AA17-Neaps!$A$3</f>
        <v>-6</v>
      </c>
      <c r="AD17" s="17">
        <f>'Wave particle velocity'!$B$15*'Wave particle velocity'!$B$13*((0.5*'Wave particle velocity'!$B$3)^2)*(EXP(2*'Wave particle velocity'!$B$15*AC17))</f>
        <v>1.0992369410428774E-2</v>
      </c>
      <c r="AE17" s="18">
        <f>0.5*'Wave particle velocity'!$B$13*EXP('Wave particle velocity'!$B$15*AC17)*COS(('Wave particle velocity'!$B$15*'Wave particle velocity'!$B$8)-('Wave particle velocity'!$B$13*'Wave particle velocity'!$B$9))</f>
        <v>-0.13322059276988424</v>
      </c>
      <c r="AF17" s="37">
        <f t="shared" si="7"/>
        <v>0.77662977908038089</v>
      </c>
      <c r="AG17" s="13">
        <f>Neaps!M18</f>
        <v>26</v>
      </c>
      <c r="AH17" s="57">
        <f>Neaps!N18</f>
        <v>0.39949244552881613</v>
      </c>
      <c r="AI17" s="34">
        <f>AG17-Neaps!$A$3</f>
        <v>-6</v>
      </c>
      <c r="AJ17" s="17">
        <f>'Wave particle velocity'!$B$15*'Wave particle velocity'!$B$13*((0.5*'Wave particle velocity'!$B$3)^2)*(EXP(2*'Wave particle velocity'!$B$15*AI17))</f>
        <v>1.0992369410428774E-2</v>
      </c>
      <c r="AK17" s="18">
        <f>0.5*'Wave particle velocity'!$B$13*EXP('Wave particle velocity'!$B$15*AI17)*COS(('Wave particle velocity'!$B$15*'Wave particle velocity'!$B$8)-('Wave particle velocity'!$B$13*'Wave particle velocity'!$B$9))</f>
        <v>-0.13322059276988424</v>
      </c>
      <c r="AL17" s="37">
        <f t="shared" si="6"/>
        <v>0.27726422216936064</v>
      </c>
      <c r="AM17" s="13">
        <f>Neaps!O18</f>
        <v>26</v>
      </c>
      <c r="AN17" s="57">
        <f>Neaps!P18</f>
        <v>4.9936555691102016E-2</v>
      </c>
      <c r="AO17" s="34">
        <f>AM17-Neaps!$A$3</f>
        <v>-6</v>
      </c>
      <c r="AP17" s="17">
        <f>'Wave particle velocity'!$B$15*'Wave particle velocity'!$B$13*((0.5*'Wave particle velocity'!$B$3)^2)*(EXP(2*'Wave particle velocity'!$B$15*AO17))</f>
        <v>1.0992369410428774E-2</v>
      </c>
      <c r="AQ17" s="18">
        <f>0.5*'Wave particle velocity'!$B$13*EXP('Wave particle velocity'!$B$15*AO17)*COS(('Wave particle velocity'!$B$15*'Wave particle velocity'!$B$8)-('Wave particle velocity'!$B$13*'Wave particle velocity'!$B$9))</f>
        <v>-0.13322059276988424</v>
      </c>
      <c r="AR17" s="37">
        <f t="shared" si="5"/>
        <v>-7.2291667668353446E-2</v>
      </c>
      <c r="AS17" s="13">
        <f>Neaps!Q18</f>
        <v>26</v>
      </c>
      <c r="AT17" s="13">
        <f>Neaps!R18</f>
        <v>0.39949244552881613</v>
      </c>
      <c r="AU17" s="34">
        <f>AS17-Neaps!$A$3</f>
        <v>-6</v>
      </c>
      <c r="AV17" s="17">
        <f>'Wave particle velocity'!$B$15*'Wave particle velocity'!$B$13*((0.5*'Wave particle velocity'!$B$3)^2)*(EXP(2*'Wave particle velocity'!$B$15*AU17))</f>
        <v>1.0992369410428774E-2</v>
      </c>
      <c r="AW17" s="18">
        <f>0.5*'Wave particle velocity'!$B$13*EXP('Wave particle velocity'!$B$15*AU17)*COS(('Wave particle velocity'!$B$15*'Wave particle velocity'!$B$8)-('Wave particle velocity'!$B$13*'Wave particle velocity'!$B$9))</f>
        <v>-0.13322059276988424</v>
      </c>
      <c r="AX17" s="37">
        <f t="shared" si="17"/>
        <v>0.27726422216936064</v>
      </c>
      <c r="AY17" s="13">
        <f>Neaps!S18</f>
        <v>26</v>
      </c>
      <c r="AZ17" s="13">
        <f>Neaps!T18</f>
        <v>0.74904833536653015</v>
      </c>
      <c r="BA17" s="34">
        <f>AY17-Neaps!$A$3</f>
        <v>-6</v>
      </c>
      <c r="BB17" s="17">
        <f>'Wave particle velocity'!$B$15*'Wave particle velocity'!$B$13*((0.5*'Wave particle velocity'!$B$3)^2)*(EXP(2*'Wave particle velocity'!$B$15*BA17))</f>
        <v>1.0992369410428774E-2</v>
      </c>
      <c r="BC17" s="18">
        <f>0.5*'Wave particle velocity'!$B$13*EXP('Wave particle velocity'!$B$15*BA17)*COS(('Wave particle velocity'!$B$15*'Wave particle velocity'!$B$8)-('Wave particle velocity'!$B$13*'Wave particle velocity'!$B$9))</f>
        <v>-0.13322059276988424</v>
      </c>
      <c r="BD17" s="37">
        <f t="shared" si="18"/>
        <v>0.62682011200707466</v>
      </c>
      <c r="BE17" s="13">
        <f>Neaps!U18</f>
        <v>26</v>
      </c>
      <c r="BF17" s="13">
        <f>Neaps!V18</f>
        <v>0.99873111382204027</v>
      </c>
      <c r="BG17" s="34">
        <f>BE17-Neaps!$A$3</f>
        <v>-6</v>
      </c>
      <c r="BH17" s="17">
        <f>'Wave particle velocity'!$B$15*'Wave particle velocity'!$B$13*((0.5*'Wave particle velocity'!$B$3)^2)*(EXP(2*'Wave particle velocity'!$B$15*BG17))</f>
        <v>1.0992369410428774E-2</v>
      </c>
      <c r="BI17" s="18">
        <f>0.5*'Wave particle velocity'!$B$13*EXP('Wave particle velocity'!$B$15*BG17)*COS(('Wave particle velocity'!$B$15*'Wave particle velocity'!$B$8)-('Wave particle velocity'!$B$13*'Wave particle velocity'!$B$9))</f>
        <v>-0.13322059276988424</v>
      </c>
      <c r="BJ17" s="37">
        <f t="shared" si="19"/>
        <v>0.87650289046258489</v>
      </c>
      <c r="BK17" s="13">
        <f>Neaps!W18</f>
        <v>26</v>
      </c>
      <c r="BL17" s="13">
        <f>Neaps!X18</f>
        <v>0.94879455813093816</v>
      </c>
      <c r="BM17" s="34">
        <f>BK17-Neaps!$A$3</f>
        <v>-6</v>
      </c>
      <c r="BN17" s="17">
        <f>'Wave particle velocity'!$B$15*'Wave particle velocity'!$B$13*((0.5*'Wave particle velocity'!$B$3)^2)*(EXP(2*'Wave particle velocity'!$B$15*BM17))</f>
        <v>1.0992369410428774E-2</v>
      </c>
      <c r="BO17" s="18">
        <f>0.5*'Wave particle velocity'!$B$13*EXP('Wave particle velocity'!$B$15*BM17)*COS(('Wave particle velocity'!$B$15*'Wave particle velocity'!$B$8)-('Wave particle velocity'!$B$13*'Wave particle velocity'!$B$9))</f>
        <v>-0.13322059276988424</v>
      </c>
      <c r="BP17" s="37">
        <f t="shared" si="20"/>
        <v>0.82656633477148267</v>
      </c>
      <c r="BQ17" s="13">
        <f>Neaps!Y18</f>
        <v>26</v>
      </c>
      <c r="BR17" s="13">
        <f>Neaps!Z18</f>
        <v>0.64917522398432614</v>
      </c>
      <c r="BS17" s="34">
        <f>BQ17-Neaps!$A$3</f>
        <v>-6</v>
      </c>
      <c r="BT17" s="17">
        <f>'Wave particle velocity'!$B$15*'Wave particle velocity'!$B$13*((0.5*'Wave particle velocity'!$B$3)^2)*(EXP(2*'Wave particle velocity'!$B$15*BS17))</f>
        <v>1.0992369410428774E-2</v>
      </c>
      <c r="BU17" s="18">
        <f>0.5*'Wave particle velocity'!$B$13*EXP('Wave particle velocity'!$B$15*BS17)*COS(('Wave particle velocity'!$B$15*'Wave particle velocity'!$B$8)-('Wave particle velocity'!$B$13*'Wave particle velocity'!$B$9))</f>
        <v>-0.13322059276988424</v>
      </c>
      <c r="BV17" s="37">
        <f t="shared" si="21"/>
        <v>0.52694700062487065</v>
      </c>
    </row>
    <row r="18" spans="2:74" ht="15.75" thickBot="1">
      <c r="B18" s="16">
        <f>Neaps!C19</f>
        <v>25</v>
      </c>
      <c r="C18" s="34">
        <f>Neaps!D19</f>
        <v>9.931509117375438E-2</v>
      </c>
      <c r="D18" s="34">
        <f>B18-Neaps!$A$3</f>
        <v>-7</v>
      </c>
      <c r="E18" s="17">
        <f>'Wave particle velocity'!$B$15*'Wave particle velocity'!$B$13*((0.5*'Wave particle velocity'!$B$3)^2)*(EXP(2*'Wave particle velocity'!$B$15*D18))</f>
        <v>5.8642981733378827E-3</v>
      </c>
      <c r="F18" s="18">
        <f>0.5*'Wave particle velocity'!$B$13*EXP('Wave particle velocity'!$B$15*D18)*COS(('Wave particle velocity'!$B$15*'Wave particle velocity'!$B$8)-('Wave particle velocity'!$B$13*'Wave particle velocity'!$B$9))</f>
        <v>-9.7304679462219199E-2</v>
      </c>
      <c r="G18" s="37">
        <f t="shared" si="11"/>
        <v>7.8747098848730573E-3</v>
      </c>
      <c r="H18" s="18">
        <f>Neaps!I19</f>
        <v>25</v>
      </c>
      <c r="I18" s="13">
        <f>Neaps!E19</f>
        <v>25</v>
      </c>
      <c r="J18" s="13">
        <f>Neaps!F19</f>
        <v>0.5958905470425262</v>
      </c>
      <c r="K18" s="34">
        <f>I18-Neaps!$A$3</f>
        <v>-7</v>
      </c>
      <c r="L18" s="17">
        <f>'Wave particle velocity'!$B$15*'Wave particle velocity'!$B$13*((0.5*'Wave particle velocity'!$B$3)^2)*(EXP(2*'Wave particle velocity'!$B$15*K18))</f>
        <v>5.8642981733378827E-3</v>
      </c>
      <c r="M18" s="18">
        <f>0.5*'Wave particle velocity'!$B$13*EXP('Wave particle velocity'!$B$15*K18)*COS(('Wave particle velocity'!$B$15*'Wave particle velocity'!$B$8)-('Wave particle velocity'!$B$13*'Wave particle velocity'!$B$9))</f>
        <v>-9.7304679462219199E-2</v>
      </c>
      <c r="N18" s="37">
        <f t="shared" si="10"/>
        <v>0.50445016575364487</v>
      </c>
      <c r="O18" s="13">
        <f>Neaps!G19</f>
        <v>25</v>
      </c>
      <c r="P18" s="13">
        <f>Neaps!H19</f>
        <v>0.99315091173754377</v>
      </c>
      <c r="Q18" s="34">
        <f>O18-Neaps!$A$3</f>
        <v>-7</v>
      </c>
      <c r="R18" s="17">
        <f>'Wave particle velocity'!$B$15*'Wave particle velocity'!$B$13*((0.5*'Wave particle velocity'!$B$3)^2)*(EXP(2*'Wave particle velocity'!$B$15*Q18))</f>
        <v>5.8642981733378827E-3</v>
      </c>
      <c r="S18" s="18">
        <f>0.5*'Wave particle velocity'!$B$13*EXP('Wave particle velocity'!$B$15*Q18)*COS(('Wave particle velocity'!$B$15*'Wave particle velocity'!$B$8)-('Wave particle velocity'!$B$13*'Wave particle velocity'!$B$9))</f>
        <v>-9.7304679462219199E-2</v>
      </c>
      <c r="T18" s="37">
        <f t="shared" si="9"/>
        <v>0.90171053044866245</v>
      </c>
      <c r="U18" s="13">
        <f>Neaps!I19</f>
        <v>25</v>
      </c>
      <c r="V18" s="13">
        <f>Neaps!J19</f>
        <v>1.0428084573244212</v>
      </c>
      <c r="W18" s="34">
        <f>U18-Neaps!$A$3</f>
        <v>-7</v>
      </c>
      <c r="X18" s="17">
        <f>'Wave particle velocity'!$B$15*'Wave particle velocity'!$B$13*((0.5*'Wave particle velocity'!$B$3)^2)*(EXP(2*'Wave particle velocity'!$B$15*W18))</f>
        <v>5.8642981733378827E-3</v>
      </c>
      <c r="Y18" s="18">
        <f>0.5*'Wave particle velocity'!$B$13*EXP('Wave particle velocity'!$B$15*W18)*COS(('Wave particle velocity'!$B$15*'Wave particle velocity'!$B$8)-('Wave particle velocity'!$B$13*'Wave particle velocity'!$B$9))</f>
        <v>-9.7304679462219199E-2</v>
      </c>
      <c r="Z18" s="37">
        <f t="shared" si="8"/>
        <v>0.95136807603553986</v>
      </c>
      <c r="AA18" s="13">
        <f>Neaps!K19</f>
        <v>25</v>
      </c>
      <c r="AB18" s="57">
        <f>Neaps!L19</f>
        <v>0.89383582056378941</v>
      </c>
      <c r="AC18" s="34">
        <f>AA18-Neaps!$A$3</f>
        <v>-7</v>
      </c>
      <c r="AD18" s="17">
        <f>'Wave particle velocity'!$B$15*'Wave particle velocity'!$B$13*((0.5*'Wave particle velocity'!$B$3)^2)*(EXP(2*'Wave particle velocity'!$B$15*AC18))</f>
        <v>5.8642981733378827E-3</v>
      </c>
      <c r="AE18" s="18">
        <f>0.5*'Wave particle velocity'!$B$13*EXP('Wave particle velocity'!$B$15*AC18)*COS(('Wave particle velocity'!$B$15*'Wave particle velocity'!$B$8)-('Wave particle velocity'!$B$13*'Wave particle velocity'!$B$9))</f>
        <v>-9.7304679462219199E-2</v>
      </c>
      <c r="AF18" s="37">
        <f t="shared" si="7"/>
        <v>0.80239543927490808</v>
      </c>
      <c r="AG18" s="13">
        <f>Neaps!M19</f>
        <v>25</v>
      </c>
      <c r="AH18" s="57">
        <f>Neaps!N19</f>
        <v>0.39726036469501752</v>
      </c>
      <c r="AI18" s="34">
        <f>AG18-Neaps!$A$3</f>
        <v>-7</v>
      </c>
      <c r="AJ18" s="17">
        <f>'Wave particle velocity'!$B$15*'Wave particle velocity'!$B$13*((0.5*'Wave particle velocity'!$B$3)^2)*(EXP(2*'Wave particle velocity'!$B$15*AI18))</f>
        <v>5.8642981733378827E-3</v>
      </c>
      <c r="AK18" s="18">
        <f>0.5*'Wave particle velocity'!$B$13*EXP('Wave particle velocity'!$B$15*AI18)*COS(('Wave particle velocity'!$B$15*'Wave particle velocity'!$B$8)-('Wave particle velocity'!$B$13*'Wave particle velocity'!$B$9))</f>
        <v>-9.7304679462219199E-2</v>
      </c>
      <c r="AL18" s="37">
        <f t="shared" si="6"/>
        <v>0.3058199834061362</v>
      </c>
      <c r="AM18" s="13">
        <f>Neaps!O19</f>
        <v>25</v>
      </c>
      <c r="AN18" s="57">
        <f>Neaps!P19</f>
        <v>4.965754558687719E-2</v>
      </c>
      <c r="AO18" s="34">
        <f>AM18-Neaps!$A$3</f>
        <v>-7</v>
      </c>
      <c r="AP18" s="17">
        <f>'Wave particle velocity'!$B$15*'Wave particle velocity'!$B$13*((0.5*'Wave particle velocity'!$B$3)^2)*(EXP(2*'Wave particle velocity'!$B$15*AO18))</f>
        <v>5.8642981733378827E-3</v>
      </c>
      <c r="AQ18" s="18">
        <f>0.5*'Wave particle velocity'!$B$13*EXP('Wave particle velocity'!$B$15*AO18)*COS(('Wave particle velocity'!$B$15*'Wave particle velocity'!$B$8)-('Wave particle velocity'!$B$13*'Wave particle velocity'!$B$9))</f>
        <v>-9.7304679462219199E-2</v>
      </c>
      <c r="AR18" s="37">
        <f t="shared" si="5"/>
        <v>-4.1782835702004126E-2</v>
      </c>
      <c r="AS18" s="13">
        <f>Neaps!Q19</f>
        <v>25</v>
      </c>
      <c r="AT18" s="13">
        <f>Neaps!R19</f>
        <v>0.39726036469501752</v>
      </c>
      <c r="AU18" s="34">
        <f>AS18-Neaps!$A$3</f>
        <v>-7</v>
      </c>
      <c r="AV18" s="17">
        <f>'Wave particle velocity'!$B$15*'Wave particle velocity'!$B$13*((0.5*'Wave particle velocity'!$B$3)^2)*(EXP(2*'Wave particle velocity'!$B$15*AU18))</f>
        <v>5.8642981733378827E-3</v>
      </c>
      <c r="AW18" s="18">
        <f>0.5*'Wave particle velocity'!$B$13*EXP('Wave particle velocity'!$B$15*AU18)*COS(('Wave particle velocity'!$B$15*'Wave particle velocity'!$B$8)-('Wave particle velocity'!$B$13*'Wave particle velocity'!$B$9))</f>
        <v>-9.7304679462219199E-2</v>
      </c>
      <c r="AX18" s="37">
        <f t="shared" si="17"/>
        <v>0.3058199834061362</v>
      </c>
      <c r="AY18" s="13">
        <f>Neaps!S19</f>
        <v>25</v>
      </c>
      <c r="AZ18" s="13">
        <f>Neaps!T19</f>
        <v>0.74486318380315786</v>
      </c>
      <c r="BA18" s="34">
        <f>AY18-Neaps!$A$3</f>
        <v>-7</v>
      </c>
      <c r="BB18" s="17">
        <f>'Wave particle velocity'!$B$15*'Wave particle velocity'!$B$13*((0.5*'Wave particle velocity'!$B$3)^2)*(EXP(2*'Wave particle velocity'!$B$15*BA18))</f>
        <v>5.8642981733378827E-3</v>
      </c>
      <c r="BC18" s="18">
        <f>0.5*'Wave particle velocity'!$B$13*EXP('Wave particle velocity'!$B$15*BA18)*COS(('Wave particle velocity'!$B$15*'Wave particle velocity'!$B$8)-('Wave particle velocity'!$B$13*'Wave particle velocity'!$B$9))</f>
        <v>-9.7304679462219199E-2</v>
      </c>
      <c r="BD18" s="37">
        <f t="shared" si="18"/>
        <v>0.65342280251427654</v>
      </c>
      <c r="BE18" s="13">
        <f>Neaps!U19</f>
        <v>25</v>
      </c>
      <c r="BF18" s="13">
        <f>Neaps!V19</f>
        <v>0.99315091173754377</v>
      </c>
      <c r="BG18" s="34">
        <f>BE18-Neaps!$A$3</f>
        <v>-7</v>
      </c>
      <c r="BH18" s="17">
        <f>'Wave particle velocity'!$B$15*'Wave particle velocity'!$B$13*((0.5*'Wave particle velocity'!$B$3)^2)*(EXP(2*'Wave particle velocity'!$B$15*BG18))</f>
        <v>5.8642981733378827E-3</v>
      </c>
      <c r="BI18" s="18">
        <f>0.5*'Wave particle velocity'!$B$13*EXP('Wave particle velocity'!$B$15*BG18)*COS(('Wave particle velocity'!$B$15*'Wave particle velocity'!$B$8)-('Wave particle velocity'!$B$13*'Wave particle velocity'!$B$9))</f>
        <v>-9.7304679462219199E-2</v>
      </c>
      <c r="BJ18" s="37">
        <f t="shared" si="19"/>
        <v>0.90171053044866245</v>
      </c>
      <c r="BK18" s="13">
        <f>Neaps!W19</f>
        <v>25</v>
      </c>
      <c r="BL18" s="13">
        <f>Neaps!X19</f>
        <v>0.94349336615066659</v>
      </c>
      <c r="BM18" s="34">
        <f>BK18-Neaps!$A$3</f>
        <v>-7</v>
      </c>
      <c r="BN18" s="17">
        <f>'Wave particle velocity'!$B$15*'Wave particle velocity'!$B$13*((0.5*'Wave particle velocity'!$B$3)^2)*(EXP(2*'Wave particle velocity'!$B$15*BM18))</f>
        <v>5.8642981733378827E-3</v>
      </c>
      <c r="BO18" s="18">
        <f>0.5*'Wave particle velocity'!$B$13*EXP('Wave particle velocity'!$B$15*BM18)*COS(('Wave particle velocity'!$B$15*'Wave particle velocity'!$B$8)-('Wave particle velocity'!$B$13*'Wave particle velocity'!$B$9))</f>
        <v>-9.7304679462219199E-2</v>
      </c>
      <c r="BP18" s="37">
        <f t="shared" si="20"/>
        <v>0.85205298486178527</v>
      </c>
      <c r="BQ18" s="13">
        <f>Neaps!Y19</f>
        <v>25</v>
      </c>
      <c r="BR18" s="13">
        <f>Neaps!Z19</f>
        <v>0.64554809262940349</v>
      </c>
      <c r="BS18" s="34">
        <f>BQ18-Neaps!$A$3</f>
        <v>-7</v>
      </c>
      <c r="BT18" s="17">
        <f>'Wave particle velocity'!$B$15*'Wave particle velocity'!$B$13*((0.5*'Wave particle velocity'!$B$3)^2)*(EXP(2*'Wave particle velocity'!$B$15*BS18))</f>
        <v>5.8642981733378827E-3</v>
      </c>
      <c r="BU18" s="18">
        <f>0.5*'Wave particle velocity'!$B$13*EXP('Wave particle velocity'!$B$15*BS18)*COS(('Wave particle velocity'!$B$15*'Wave particle velocity'!$B$8)-('Wave particle velocity'!$B$13*'Wave particle velocity'!$B$9))</f>
        <v>-9.7304679462219199E-2</v>
      </c>
      <c r="BV18" s="37">
        <f t="shared" si="21"/>
        <v>0.55410771134052217</v>
      </c>
    </row>
    <row r="19" spans="2:74" ht="15.75" thickBot="1">
      <c r="B19" s="16">
        <f>Neaps!C20</f>
        <v>24</v>
      </c>
      <c r="C19" s="34">
        <f>Neaps!D20</f>
        <v>9.8737599535061726E-2</v>
      </c>
      <c r="D19" s="34">
        <f>B19-Neaps!$A$3</f>
        <v>-8</v>
      </c>
      <c r="E19" s="17">
        <f>'Wave particle velocity'!$B$15*'Wave particle velocity'!$B$13*((0.5*'Wave particle velocity'!$B$3)^2)*(EXP(2*'Wave particle velocity'!$B$15*D19))</f>
        <v>3.1285332380830708E-3</v>
      </c>
      <c r="F19" s="18">
        <f>0.5*'Wave particle velocity'!$B$13*EXP('Wave particle velocity'!$B$15*D19)*COS(('Wave particle velocity'!$B$15*'Wave particle velocity'!$B$8)-('Wave particle velocity'!$B$13*'Wave particle velocity'!$B$9))</f>
        <v>-7.1071599730830784E-2</v>
      </c>
      <c r="G19" s="37">
        <f t="shared" si="11"/>
        <v>3.0794533042314012E-2</v>
      </c>
      <c r="H19" s="18">
        <f>Neaps!I20</f>
        <v>24</v>
      </c>
      <c r="I19" s="13">
        <f>Neaps!E20</f>
        <v>24</v>
      </c>
      <c r="J19" s="13">
        <f>Neaps!F20</f>
        <v>0.59242559721037036</v>
      </c>
      <c r="K19" s="34">
        <f>I19-Neaps!$A$3</f>
        <v>-8</v>
      </c>
      <c r="L19" s="17">
        <f>'Wave particle velocity'!$B$15*'Wave particle velocity'!$B$13*((0.5*'Wave particle velocity'!$B$3)^2)*(EXP(2*'Wave particle velocity'!$B$15*K19))</f>
        <v>3.1285332380830708E-3</v>
      </c>
      <c r="M19" s="18">
        <f>0.5*'Wave particle velocity'!$B$13*EXP('Wave particle velocity'!$B$15*K19)*COS(('Wave particle velocity'!$B$15*'Wave particle velocity'!$B$8)-('Wave particle velocity'!$B$13*'Wave particle velocity'!$B$9))</f>
        <v>-7.1071599730830784E-2</v>
      </c>
      <c r="N19" s="37">
        <f t="shared" si="10"/>
        <v>0.52448253071762263</v>
      </c>
      <c r="O19" s="13">
        <f>Neaps!G20</f>
        <v>24</v>
      </c>
      <c r="P19" s="13">
        <f>Neaps!H20</f>
        <v>0.98737599535061726</v>
      </c>
      <c r="Q19" s="34">
        <f>O19-Neaps!$A$3</f>
        <v>-8</v>
      </c>
      <c r="R19" s="17">
        <f>'Wave particle velocity'!$B$15*'Wave particle velocity'!$B$13*((0.5*'Wave particle velocity'!$B$3)^2)*(EXP(2*'Wave particle velocity'!$B$15*Q19))</f>
        <v>3.1285332380830708E-3</v>
      </c>
      <c r="S19" s="18">
        <f>0.5*'Wave particle velocity'!$B$13*EXP('Wave particle velocity'!$B$15*Q19)*COS(('Wave particle velocity'!$B$15*'Wave particle velocity'!$B$8)-('Wave particle velocity'!$B$13*'Wave particle velocity'!$B$9))</f>
        <v>-7.1071599730830784E-2</v>
      </c>
      <c r="T19" s="37">
        <f t="shared" si="9"/>
        <v>0.91943292885786954</v>
      </c>
      <c r="U19" s="13">
        <f>Neaps!I20</f>
        <v>24</v>
      </c>
      <c r="V19" s="13">
        <f>Neaps!J20</f>
        <v>1.0367447951181483</v>
      </c>
      <c r="W19" s="34">
        <f>U19-Neaps!$A$3</f>
        <v>-8</v>
      </c>
      <c r="X19" s="17">
        <f>'Wave particle velocity'!$B$15*'Wave particle velocity'!$B$13*((0.5*'Wave particle velocity'!$B$3)^2)*(EXP(2*'Wave particle velocity'!$B$15*W19))</f>
        <v>3.1285332380830708E-3</v>
      </c>
      <c r="Y19" s="18">
        <f>0.5*'Wave particle velocity'!$B$13*EXP('Wave particle velocity'!$B$15*W19)*COS(('Wave particle velocity'!$B$15*'Wave particle velocity'!$B$8)-('Wave particle velocity'!$B$13*'Wave particle velocity'!$B$9))</f>
        <v>-7.1071599730830784E-2</v>
      </c>
      <c r="Z19" s="37">
        <f t="shared" si="8"/>
        <v>0.96880172862540059</v>
      </c>
      <c r="AA19" s="13">
        <f>Neaps!K20</f>
        <v>24</v>
      </c>
      <c r="AB19" s="57">
        <f>Neaps!L20</f>
        <v>0.88863839581555548</v>
      </c>
      <c r="AC19" s="34">
        <f>AA19-Neaps!$A$3</f>
        <v>-8</v>
      </c>
      <c r="AD19" s="17">
        <f>'Wave particle velocity'!$B$15*'Wave particle velocity'!$B$13*((0.5*'Wave particle velocity'!$B$3)^2)*(EXP(2*'Wave particle velocity'!$B$15*AC19))</f>
        <v>3.1285332380830708E-3</v>
      </c>
      <c r="AE19" s="18">
        <f>0.5*'Wave particle velocity'!$B$13*EXP('Wave particle velocity'!$B$15*AC19)*COS(('Wave particle velocity'!$B$15*'Wave particle velocity'!$B$8)-('Wave particle velocity'!$B$13*'Wave particle velocity'!$B$9))</f>
        <v>-7.1071599730830784E-2</v>
      </c>
      <c r="AF19" s="37">
        <f t="shared" si="7"/>
        <v>0.82069532932280775</v>
      </c>
      <c r="AG19" s="13">
        <f>Neaps!M20</f>
        <v>24</v>
      </c>
      <c r="AH19" s="57">
        <f>Neaps!N20</f>
        <v>0.39495039814024691</v>
      </c>
      <c r="AI19" s="34">
        <f>AG19-Neaps!$A$3</f>
        <v>-8</v>
      </c>
      <c r="AJ19" s="17">
        <f>'Wave particle velocity'!$B$15*'Wave particle velocity'!$B$13*((0.5*'Wave particle velocity'!$B$3)^2)*(EXP(2*'Wave particle velocity'!$B$15*AI19))</f>
        <v>3.1285332380830708E-3</v>
      </c>
      <c r="AK19" s="18">
        <f>0.5*'Wave particle velocity'!$B$13*EXP('Wave particle velocity'!$B$15*AI19)*COS(('Wave particle velocity'!$B$15*'Wave particle velocity'!$B$8)-('Wave particle velocity'!$B$13*'Wave particle velocity'!$B$9))</f>
        <v>-7.1071599730830784E-2</v>
      </c>
      <c r="AL19" s="37">
        <f t="shared" si="6"/>
        <v>0.32700733164749923</v>
      </c>
      <c r="AM19" s="13">
        <f>Neaps!O20</f>
        <v>24</v>
      </c>
      <c r="AN19" s="57">
        <f>Neaps!P20</f>
        <v>4.9368799767530863E-2</v>
      </c>
      <c r="AO19" s="34">
        <f>AM19-Neaps!$A$3</f>
        <v>-8</v>
      </c>
      <c r="AP19" s="17">
        <f>'Wave particle velocity'!$B$15*'Wave particle velocity'!$B$13*((0.5*'Wave particle velocity'!$B$3)^2)*(EXP(2*'Wave particle velocity'!$B$15*AO19))</f>
        <v>3.1285332380830708E-3</v>
      </c>
      <c r="AQ19" s="18">
        <f>0.5*'Wave particle velocity'!$B$13*EXP('Wave particle velocity'!$B$15*AO19)*COS(('Wave particle velocity'!$B$15*'Wave particle velocity'!$B$8)-('Wave particle velocity'!$B$13*'Wave particle velocity'!$B$9))</f>
        <v>-7.1071599730830784E-2</v>
      </c>
      <c r="AR19" s="37">
        <f t="shared" si="5"/>
        <v>-1.8574266725216851E-2</v>
      </c>
      <c r="AS19" s="13">
        <f>Neaps!Q20</f>
        <v>24</v>
      </c>
      <c r="AT19" s="13">
        <f>Neaps!R20</f>
        <v>0.39495039814024691</v>
      </c>
      <c r="AU19" s="34">
        <f>AS19-Neaps!$A$3</f>
        <v>-8</v>
      </c>
      <c r="AV19" s="17">
        <f>'Wave particle velocity'!$B$15*'Wave particle velocity'!$B$13*((0.5*'Wave particle velocity'!$B$3)^2)*(EXP(2*'Wave particle velocity'!$B$15*AU19))</f>
        <v>3.1285332380830708E-3</v>
      </c>
      <c r="AW19" s="18">
        <f>0.5*'Wave particle velocity'!$B$13*EXP('Wave particle velocity'!$B$15*AU19)*COS(('Wave particle velocity'!$B$15*'Wave particle velocity'!$B$8)-('Wave particle velocity'!$B$13*'Wave particle velocity'!$B$9))</f>
        <v>-7.1071599730830784E-2</v>
      </c>
      <c r="AX19" s="37">
        <f t="shared" si="17"/>
        <v>0.32700733164749923</v>
      </c>
      <c r="AY19" s="13">
        <f>Neaps!S20</f>
        <v>24</v>
      </c>
      <c r="AZ19" s="13">
        <f>Neaps!T20</f>
        <v>0.74053199651296286</v>
      </c>
      <c r="BA19" s="34">
        <f>AY19-Neaps!$A$3</f>
        <v>-8</v>
      </c>
      <c r="BB19" s="17">
        <f>'Wave particle velocity'!$B$15*'Wave particle velocity'!$B$13*((0.5*'Wave particle velocity'!$B$3)^2)*(EXP(2*'Wave particle velocity'!$B$15*BA19))</f>
        <v>3.1285332380830708E-3</v>
      </c>
      <c r="BC19" s="18">
        <f>0.5*'Wave particle velocity'!$B$13*EXP('Wave particle velocity'!$B$15*BA19)*COS(('Wave particle velocity'!$B$15*'Wave particle velocity'!$B$8)-('Wave particle velocity'!$B$13*'Wave particle velocity'!$B$9))</f>
        <v>-7.1071599730830784E-2</v>
      </c>
      <c r="BD19" s="37">
        <f t="shared" si="18"/>
        <v>0.67258893002021514</v>
      </c>
      <c r="BE19" s="13">
        <f>Neaps!U20</f>
        <v>24</v>
      </c>
      <c r="BF19" s="13">
        <f>Neaps!V20</f>
        <v>0.98737599535061726</v>
      </c>
      <c r="BG19" s="34">
        <f>BE19-Neaps!$A$3</f>
        <v>-8</v>
      </c>
      <c r="BH19" s="17">
        <f>'Wave particle velocity'!$B$15*'Wave particle velocity'!$B$13*((0.5*'Wave particle velocity'!$B$3)^2)*(EXP(2*'Wave particle velocity'!$B$15*BG19))</f>
        <v>3.1285332380830708E-3</v>
      </c>
      <c r="BI19" s="18">
        <f>0.5*'Wave particle velocity'!$B$13*EXP('Wave particle velocity'!$B$15*BG19)*COS(('Wave particle velocity'!$B$15*'Wave particle velocity'!$B$8)-('Wave particle velocity'!$B$13*'Wave particle velocity'!$B$9))</f>
        <v>-7.1071599730830784E-2</v>
      </c>
      <c r="BJ19" s="37">
        <f t="shared" si="19"/>
        <v>0.91943292885786954</v>
      </c>
      <c r="BK19" s="13">
        <f>Neaps!W20</f>
        <v>24</v>
      </c>
      <c r="BL19" s="13">
        <f>Neaps!X20</f>
        <v>0.93800719558308632</v>
      </c>
      <c r="BM19" s="34">
        <f>BK19-Neaps!$A$3</f>
        <v>-8</v>
      </c>
      <c r="BN19" s="17">
        <f>'Wave particle velocity'!$B$15*'Wave particle velocity'!$B$13*((0.5*'Wave particle velocity'!$B$3)^2)*(EXP(2*'Wave particle velocity'!$B$15*BM19))</f>
        <v>3.1285332380830708E-3</v>
      </c>
      <c r="BO19" s="18">
        <f>0.5*'Wave particle velocity'!$B$13*EXP('Wave particle velocity'!$B$15*BM19)*COS(('Wave particle velocity'!$B$15*'Wave particle velocity'!$B$8)-('Wave particle velocity'!$B$13*'Wave particle velocity'!$B$9))</f>
        <v>-7.1071599730830784E-2</v>
      </c>
      <c r="BP19" s="37">
        <f t="shared" si="20"/>
        <v>0.87006412909033859</v>
      </c>
      <c r="BQ19" s="13">
        <f>Neaps!Y20</f>
        <v>24</v>
      </c>
      <c r="BR19" s="13">
        <f>Neaps!Z20</f>
        <v>0.64179439697790119</v>
      </c>
      <c r="BS19" s="34">
        <f>BQ19-Neaps!$A$3</f>
        <v>-8</v>
      </c>
      <c r="BT19" s="17">
        <f>'Wave particle velocity'!$B$15*'Wave particle velocity'!$B$13*((0.5*'Wave particle velocity'!$B$3)^2)*(EXP(2*'Wave particle velocity'!$B$15*BS19))</f>
        <v>3.1285332380830708E-3</v>
      </c>
      <c r="BU19" s="18">
        <f>0.5*'Wave particle velocity'!$B$13*EXP('Wave particle velocity'!$B$15*BS19)*COS(('Wave particle velocity'!$B$15*'Wave particle velocity'!$B$8)-('Wave particle velocity'!$B$13*'Wave particle velocity'!$B$9))</f>
        <v>-7.1071599730830784E-2</v>
      </c>
      <c r="BV19" s="37">
        <f t="shared" si="21"/>
        <v>0.57385133048515347</v>
      </c>
    </row>
    <row r="20" spans="2:74" ht="15.75" thickBot="1">
      <c r="B20" s="16">
        <f>Neaps!C21</f>
        <v>23</v>
      </c>
      <c r="C20" s="34">
        <f>Neaps!D21</f>
        <v>9.8139101629462308E-2</v>
      </c>
      <c r="D20" s="34">
        <f>B20-Neaps!$A$3</f>
        <v>-9</v>
      </c>
      <c r="E20" s="17">
        <f>'Wave particle velocity'!$B$15*'Wave particle velocity'!$B$13*((0.5*'Wave particle velocity'!$B$3)^2)*(EXP(2*'Wave particle velocity'!$B$15*D20))</f>
        <v>1.6690352251000056E-3</v>
      </c>
      <c r="F20" s="18">
        <f>0.5*'Wave particle velocity'!$B$13*EXP('Wave particle velocity'!$B$15*D20)*COS(('Wave particle velocity'!$B$15*'Wave particle velocity'!$B$8)-('Wave particle velocity'!$B$13*'Wave particle velocity'!$B$9))</f>
        <v>-5.1910887700530997E-2</v>
      </c>
      <c r="G20" s="37">
        <f t="shared" si="11"/>
        <v>4.7897249154031318E-2</v>
      </c>
      <c r="H20" s="18">
        <f>Neaps!I21</f>
        <v>23</v>
      </c>
      <c r="I20" s="13">
        <f>Neaps!E21</f>
        <v>23</v>
      </c>
      <c r="J20" s="13">
        <f>Neaps!F21</f>
        <v>0.58883460977677382</v>
      </c>
      <c r="K20" s="34">
        <f>I20-Neaps!$A$3</f>
        <v>-9</v>
      </c>
      <c r="L20" s="17">
        <f>'Wave particle velocity'!$B$15*'Wave particle velocity'!$B$13*((0.5*'Wave particle velocity'!$B$3)^2)*(EXP(2*'Wave particle velocity'!$B$15*K20))</f>
        <v>1.6690352251000056E-3</v>
      </c>
      <c r="M20" s="18">
        <f>0.5*'Wave particle velocity'!$B$13*EXP('Wave particle velocity'!$B$15*K20)*COS(('Wave particle velocity'!$B$15*'Wave particle velocity'!$B$8)-('Wave particle velocity'!$B$13*'Wave particle velocity'!$B$9))</f>
        <v>-5.1910887700530997E-2</v>
      </c>
      <c r="N20" s="37">
        <f t="shared" si="10"/>
        <v>0.53859275730134282</v>
      </c>
      <c r="O20" s="13">
        <f>Neaps!G21</f>
        <v>23</v>
      </c>
      <c r="P20" s="13">
        <f>Neaps!H21</f>
        <v>0.981391016294623</v>
      </c>
      <c r="Q20" s="34">
        <f>O20-Neaps!$A$3</f>
        <v>-9</v>
      </c>
      <c r="R20" s="17">
        <f>'Wave particle velocity'!$B$15*'Wave particle velocity'!$B$13*((0.5*'Wave particle velocity'!$B$3)^2)*(EXP(2*'Wave particle velocity'!$B$15*Q20))</f>
        <v>1.6690352251000056E-3</v>
      </c>
      <c r="S20" s="18">
        <f>0.5*'Wave particle velocity'!$B$13*EXP('Wave particle velocity'!$B$15*Q20)*COS(('Wave particle velocity'!$B$15*'Wave particle velocity'!$B$8)-('Wave particle velocity'!$B$13*'Wave particle velocity'!$B$9))</f>
        <v>-5.1910887700530997E-2</v>
      </c>
      <c r="T20" s="37">
        <f t="shared" si="9"/>
        <v>0.93114916381919199</v>
      </c>
      <c r="U20" s="13">
        <f>Neaps!I21</f>
        <v>23</v>
      </c>
      <c r="V20" s="13">
        <f>Neaps!J21</f>
        <v>1.0304605671093543</v>
      </c>
      <c r="W20" s="34">
        <f>U20-Neaps!$A$3</f>
        <v>-9</v>
      </c>
      <c r="X20" s="17">
        <f>'Wave particle velocity'!$B$15*'Wave particle velocity'!$B$13*((0.5*'Wave particle velocity'!$B$3)^2)*(EXP(2*'Wave particle velocity'!$B$15*W20))</f>
        <v>1.6690352251000056E-3</v>
      </c>
      <c r="Y20" s="18">
        <f>0.5*'Wave particle velocity'!$B$13*EXP('Wave particle velocity'!$B$15*W20)*COS(('Wave particle velocity'!$B$15*'Wave particle velocity'!$B$8)-('Wave particle velocity'!$B$13*'Wave particle velocity'!$B$9))</f>
        <v>-5.1910887700530997E-2</v>
      </c>
      <c r="Z20" s="37">
        <f t="shared" si="8"/>
        <v>0.9802187146339234</v>
      </c>
      <c r="AA20" s="13">
        <f>Neaps!K21</f>
        <v>23</v>
      </c>
      <c r="AB20" s="57">
        <f>Neaps!L21</f>
        <v>0.88325191466516073</v>
      </c>
      <c r="AC20" s="34">
        <f>AA20-Neaps!$A$3</f>
        <v>-9</v>
      </c>
      <c r="AD20" s="17">
        <f>'Wave particle velocity'!$B$15*'Wave particle velocity'!$B$13*((0.5*'Wave particle velocity'!$B$3)^2)*(EXP(2*'Wave particle velocity'!$B$15*AC20))</f>
        <v>1.6690352251000056E-3</v>
      </c>
      <c r="AE20" s="18">
        <f>0.5*'Wave particle velocity'!$B$13*EXP('Wave particle velocity'!$B$15*AC20)*COS(('Wave particle velocity'!$B$15*'Wave particle velocity'!$B$8)-('Wave particle velocity'!$B$13*'Wave particle velocity'!$B$9))</f>
        <v>-5.1910887700530997E-2</v>
      </c>
      <c r="AF20" s="37">
        <f t="shared" si="7"/>
        <v>0.83301006218972973</v>
      </c>
      <c r="AG20" s="13">
        <f>Neaps!M21</f>
        <v>23</v>
      </c>
      <c r="AH20" s="57">
        <f>Neaps!N21</f>
        <v>0.39255640651784923</v>
      </c>
      <c r="AI20" s="34">
        <f>AG20-Neaps!$A$3</f>
        <v>-9</v>
      </c>
      <c r="AJ20" s="17">
        <f>'Wave particle velocity'!$B$15*'Wave particle velocity'!$B$13*((0.5*'Wave particle velocity'!$B$3)^2)*(EXP(2*'Wave particle velocity'!$B$15*AI20))</f>
        <v>1.6690352251000056E-3</v>
      </c>
      <c r="AK20" s="18">
        <f>0.5*'Wave particle velocity'!$B$13*EXP('Wave particle velocity'!$B$15*AI20)*COS(('Wave particle velocity'!$B$15*'Wave particle velocity'!$B$8)-('Wave particle velocity'!$B$13*'Wave particle velocity'!$B$9))</f>
        <v>-5.1910887700530997E-2</v>
      </c>
      <c r="AL20" s="37">
        <f t="shared" si="6"/>
        <v>0.34231455404241823</v>
      </c>
      <c r="AM20" s="13">
        <f>Neaps!O21</f>
        <v>23</v>
      </c>
      <c r="AN20" s="57">
        <f>Neaps!P21</f>
        <v>4.9069550814731154E-2</v>
      </c>
      <c r="AO20" s="34">
        <f>AM20-Neaps!$A$3</f>
        <v>-9</v>
      </c>
      <c r="AP20" s="17">
        <f>'Wave particle velocity'!$B$15*'Wave particle velocity'!$B$13*((0.5*'Wave particle velocity'!$B$3)^2)*(EXP(2*'Wave particle velocity'!$B$15*AO20))</f>
        <v>1.6690352251000056E-3</v>
      </c>
      <c r="AQ20" s="18">
        <f>0.5*'Wave particle velocity'!$B$13*EXP('Wave particle velocity'!$B$15*AO20)*COS(('Wave particle velocity'!$B$15*'Wave particle velocity'!$B$8)-('Wave particle velocity'!$B$13*'Wave particle velocity'!$B$9))</f>
        <v>-5.1910887700530997E-2</v>
      </c>
      <c r="AR20" s="37">
        <f t="shared" si="5"/>
        <v>-1.1723016606998357E-3</v>
      </c>
      <c r="AS20" s="13">
        <f>Neaps!Q21</f>
        <v>23</v>
      </c>
      <c r="AT20" s="13">
        <f>Neaps!R21</f>
        <v>0.39255640651784923</v>
      </c>
      <c r="AU20" s="34">
        <f>AS20-Neaps!$A$3</f>
        <v>-9</v>
      </c>
      <c r="AV20" s="17">
        <f>'Wave particle velocity'!$B$15*'Wave particle velocity'!$B$13*((0.5*'Wave particle velocity'!$B$3)^2)*(EXP(2*'Wave particle velocity'!$B$15*AU20))</f>
        <v>1.6690352251000056E-3</v>
      </c>
      <c r="AW20" s="18">
        <f>0.5*'Wave particle velocity'!$B$13*EXP('Wave particle velocity'!$B$15*AU20)*COS(('Wave particle velocity'!$B$15*'Wave particle velocity'!$B$8)-('Wave particle velocity'!$B$13*'Wave particle velocity'!$B$9))</f>
        <v>-5.1910887700530997E-2</v>
      </c>
      <c r="AX20" s="37">
        <f t="shared" si="17"/>
        <v>0.34231455404241823</v>
      </c>
      <c r="AY20" s="13">
        <f>Neaps!S21</f>
        <v>23</v>
      </c>
      <c r="AZ20" s="13">
        <f>Neaps!T21</f>
        <v>0.73604326222096728</v>
      </c>
      <c r="BA20" s="34">
        <f>AY20-Neaps!$A$3</f>
        <v>-9</v>
      </c>
      <c r="BB20" s="17">
        <f>'Wave particle velocity'!$B$15*'Wave particle velocity'!$B$13*((0.5*'Wave particle velocity'!$B$3)^2)*(EXP(2*'Wave particle velocity'!$B$15*BA20))</f>
        <v>1.6690352251000056E-3</v>
      </c>
      <c r="BC20" s="18">
        <f>0.5*'Wave particle velocity'!$B$13*EXP('Wave particle velocity'!$B$15*BA20)*COS(('Wave particle velocity'!$B$15*'Wave particle velocity'!$B$8)-('Wave particle velocity'!$B$13*'Wave particle velocity'!$B$9))</f>
        <v>-5.1910887700530997E-2</v>
      </c>
      <c r="BD20" s="37">
        <f t="shared" si="18"/>
        <v>0.68580140974553627</v>
      </c>
      <c r="BE20" s="13">
        <f>Neaps!U21</f>
        <v>23</v>
      </c>
      <c r="BF20" s="13">
        <f>Neaps!V21</f>
        <v>0.981391016294623</v>
      </c>
      <c r="BG20" s="34">
        <f>BE20-Neaps!$A$3</f>
        <v>-9</v>
      </c>
      <c r="BH20" s="17">
        <f>'Wave particle velocity'!$B$15*'Wave particle velocity'!$B$13*((0.5*'Wave particle velocity'!$B$3)^2)*(EXP(2*'Wave particle velocity'!$B$15*BG20))</f>
        <v>1.6690352251000056E-3</v>
      </c>
      <c r="BI20" s="18">
        <f>0.5*'Wave particle velocity'!$B$13*EXP('Wave particle velocity'!$B$15*BG20)*COS(('Wave particle velocity'!$B$15*'Wave particle velocity'!$B$8)-('Wave particle velocity'!$B$13*'Wave particle velocity'!$B$9))</f>
        <v>-5.1910887700530997E-2</v>
      </c>
      <c r="BJ20" s="37">
        <f t="shared" si="19"/>
        <v>0.93114916381919199</v>
      </c>
      <c r="BK20" s="13">
        <f>Neaps!W21</f>
        <v>23</v>
      </c>
      <c r="BL20" s="13">
        <f>Neaps!X21</f>
        <v>0.93232146547989181</v>
      </c>
      <c r="BM20" s="34">
        <f>BK20-Neaps!$A$3</f>
        <v>-9</v>
      </c>
      <c r="BN20" s="17">
        <f>'Wave particle velocity'!$B$15*'Wave particle velocity'!$B$13*((0.5*'Wave particle velocity'!$B$3)^2)*(EXP(2*'Wave particle velocity'!$B$15*BM20))</f>
        <v>1.6690352251000056E-3</v>
      </c>
      <c r="BO20" s="18">
        <f>0.5*'Wave particle velocity'!$B$13*EXP('Wave particle velocity'!$B$15*BM20)*COS(('Wave particle velocity'!$B$15*'Wave particle velocity'!$B$8)-('Wave particle velocity'!$B$13*'Wave particle velocity'!$B$9))</f>
        <v>-5.1910887700530997E-2</v>
      </c>
      <c r="BP20" s="37">
        <f t="shared" si="20"/>
        <v>0.88207961300446081</v>
      </c>
      <c r="BQ20" s="13">
        <f>Neaps!Y21</f>
        <v>23</v>
      </c>
      <c r="BR20" s="13">
        <f>Neaps!Z21</f>
        <v>0.63790416059150501</v>
      </c>
      <c r="BS20" s="34">
        <f>BQ20-Neaps!$A$3</f>
        <v>-9</v>
      </c>
      <c r="BT20" s="17">
        <f>'Wave particle velocity'!$B$15*'Wave particle velocity'!$B$13*((0.5*'Wave particle velocity'!$B$3)^2)*(EXP(2*'Wave particle velocity'!$B$15*BS20))</f>
        <v>1.6690352251000056E-3</v>
      </c>
      <c r="BU20" s="18">
        <f>0.5*'Wave particle velocity'!$B$13*EXP('Wave particle velocity'!$B$15*BS20)*COS(('Wave particle velocity'!$B$15*'Wave particle velocity'!$B$8)-('Wave particle velocity'!$B$13*'Wave particle velocity'!$B$9))</f>
        <v>-5.1910887700530997E-2</v>
      </c>
      <c r="BV20" s="37">
        <f t="shared" si="21"/>
        <v>0.58766230811607401</v>
      </c>
    </row>
    <row r="21" spans="2:74" ht="15.75" thickBot="1">
      <c r="B21" s="16">
        <f>Neaps!C22</f>
        <v>22</v>
      </c>
      <c r="C21" s="34">
        <f>Neaps!D22</f>
        <v>9.7517868205070662E-2</v>
      </c>
      <c r="D21" s="34">
        <f>B21-Neaps!$A$3</f>
        <v>-10</v>
      </c>
      <c r="E21" s="17">
        <f>'Wave particle velocity'!$B$15*'Wave particle velocity'!$B$13*((0.5*'Wave particle velocity'!$B$3)^2)*(EXP(2*'Wave particle velocity'!$B$15*D21))</f>
        <v>8.9041041620241184E-4</v>
      </c>
      <c r="F21" s="18">
        <f>0.5*'Wave particle velocity'!$B$13*EXP('Wave particle velocity'!$B$15*D21)*COS(('Wave particle velocity'!$B$15*'Wave particle velocity'!$B$8)-('Wave particle velocity'!$B$13*'Wave particle velocity'!$B$9))</f>
        <v>-3.7915852071191879E-2</v>
      </c>
      <c r="G21" s="37">
        <f t="shared" si="11"/>
        <v>6.0492426550081198E-2</v>
      </c>
      <c r="H21" s="18">
        <f>Neaps!I22</f>
        <v>22</v>
      </c>
      <c r="I21" s="13">
        <f>Neaps!E22</f>
        <v>22</v>
      </c>
      <c r="J21" s="13">
        <f>Neaps!F22</f>
        <v>0.58510720923042392</v>
      </c>
      <c r="K21" s="34">
        <f>I21-Neaps!$A$3</f>
        <v>-10</v>
      </c>
      <c r="L21" s="17">
        <f>'Wave particle velocity'!$B$15*'Wave particle velocity'!$B$13*((0.5*'Wave particle velocity'!$B$3)^2)*(EXP(2*'Wave particle velocity'!$B$15*K21))</f>
        <v>8.9041041620241184E-4</v>
      </c>
      <c r="M21" s="18">
        <f>0.5*'Wave particle velocity'!$B$13*EXP('Wave particle velocity'!$B$15*K21)*COS(('Wave particle velocity'!$B$15*'Wave particle velocity'!$B$8)-('Wave particle velocity'!$B$13*'Wave particle velocity'!$B$9))</f>
        <v>-3.7915852071191879E-2</v>
      </c>
      <c r="N21" s="37">
        <f t="shared" si="10"/>
        <v>0.54808176757543448</v>
      </c>
      <c r="O21" s="13">
        <f>Neaps!G22</f>
        <v>22</v>
      </c>
      <c r="P21" s="13">
        <f>Neaps!H22</f>
        <v>0.97517868205070657</v>
      </c>
      <c r="Q21" s="34">
        <f>O21-Neaps!$A$3</f>
        <v>-10</v>
      </c>
      <c r="R21" s="17">
        <f>'Wave particle velocity'!$B$15*'Wave particle velocity'!$B$13*((0.5*'Wave particle velocity'!$B$3)^2)*(EXP(2*'Wave particle velocity'!$B$15*Q21))</f>
        <v>8.9041041620241184E-4</v>
      </c>
      <c r="S21" s="18">
        <f>0.5*'Wave particle velocity'!$B$13*EXP('Wave particle velocity'!$B$15*Q21)*COS(('Wave particle velocity'!$B$15*'Wave particle velocity'!$B$8)-('Wave particle velocity'!$B$13*'Wave particle velocity'!$B$9))</f>
        <v>-3.7915852071191879E-2</v>
      </c>
      <c r="T21" s="37">
        <f t="shared" si="9"/>
        <v>0.93815324039571713</v>
      </c>
      <c r="U21" s="13">
        <f>Neaps!I22</f>
        <v>22</v>
      </c>
      <c r="V21" s="13">
        <f>Neaps!J22</f>
        <v>1.0239376161532421</v>
      </c>
      <c r="W21" s="34">
        <f>U21-Neaps!$A$3</f>
        <v>-10</v>
      </c>
      <c r="X21" s="17">
        <f>'Wave particle velocity'!$B$15*'Wave particle velocity'!$B$13*((0.5*'Wave particle velocity'!$B$3)^2)*(EXP(2*'Wave particle velocity'!$B$15*W21))</f>
        <v>8.9041041620241184E-4</v>
      </c>
      <c r="Y21" s="18">
        <f>0.5*'Wave particle velocity'!$B$13*EXP('Wave particle velocity'!$B$15*W21)*COS(('Wave particle velocity'!$B$15*'Wave particle velocity'!$B$8)-('Wave particle velocity'!$B$13*'Wave particle velocity'!$B$9))</f>
        <v>-3.7915852071191879E-2</v>
      </c>
      <c r="Z21" s="37">
        <f t="shared" si="8"/>
        <v>0.98691217449825264</v>
      </c>
      <c r="AA21" s="13">
        <f>Neaps!K22</f>
        <v>22</v>
      </c>
      <c r="AB21" s="57">
        <f>Neaps!L22</f>
        <v>0.87766081384563588</v>
      </c>
      <c r="AC21" s="34">
        <f>AA21-Neaps!$A$3</f>
        <v>-10</v>
      </c>
      <c r="AD21" s="17">
        <f>'Wave particle velocity'!$B$15*'Wave particle velocity'!$B$13*((0.5*'Wave particle velocity'!$B$3)^2)*(EXP(2*'Wave particle velocity'!$B$15*AC21))</f>
        <v>8.9041041620241184E-4</v>
      </c>
      <c r="AE21" s="18">
        <f>0.5*'Wave particle velocity'!$B$13*EXP('Wave particle velocity'!$B$15*AC21)*COS(('Wave particle velocity'!$B$15*'Wave particle velocity'!$B$8)-('Wave particle velocity'!$B$13*'Wave particle velocity'!$B$9))</f>
        <v>-3.7915852071191879E-2</v>
      </c>
      <c r="AF21" s="37">
        <f t="shared" si="7"/>
        <v>0.84063537219064643</v>
      </c>
      <c r="AG21" s="13">
        <f>Neaps!M22</f>
        <v>22</v>
      </c>
      <c r="AH21" s="57">
        <f>Neaps!N22</f>
        <v>0.39007147282028265</v>
      </c>
      <c r="AI21" s="34">
        <f>AG21-Neaps!$A$3</f>
        <v>-10</v>
      </c>
      <c r="AJ21" s="17">
        <f>'Wave particle velocity'!$B$15*'Wave particle velocity'!$B$13*((0.5*'Wave particle velocity'!$B$3)^2)*(EXP(2*'Wave particle velocity'!$B$15*AI21))</f>
        <v>8.9041041620241184E-4</v>
      </c>
      <c r="AK21" s="18">
        <f>0.5*'Wave particle velocity'!$B$13*EXP('Wave particle velocity'!$B$15*AI21)*COS(('Wave particle velocity'!$B$15*'Wave particle velocity'!$B$8)-('Wave particle velocity'!$B$13*'Wave particle velocity'!$B$9))</f>
        <v>-3.7915852071191879E-2</v>
      </c>
      <c r="AL21" s="37">
        <f t="shared" si="6"/>
        <v>0.35304603116529321</v>
      </c>
      <c r="AM21" s="13">
        <f>Neaps!O22</f>
        <v>22</v>
      </c>
      <c r="AN21" s="57">
        <f>Neaps!P22</f>
        <v>4.8758934102535331E-2</v>
      </c>
      <c r="AO21" s="34">
        <f>AM21-Neaps!$A$3</f>
        <v>-10</v>
      </c>
      <c r="AP21" s="17">
        <f>'Wave particle velocity'!$B$15*'Wave particle velocity'!$B$13*((0.5*'Wave particle velocity'!$B$3)^2)*(EXP(2*'Wave particle velocity'!$B$15*AO21))</f>
        <v>8.9041041620241184E-4</v>
      </c>
      <c r="AQ21" s="18">
        <f>0.5*'Wave particle velocity'!$B$13*EXP('Wave particle velocity'!$B$15*AO21)*COS(('Wave particle velocity'!$B$15*'Wave particle velocity'!$B$8)-('Wave particle velocity'!$B$13*'Wave particle velocity'!$B$9))</f>
        <v>-3.7915852071191879E-2</v>
      </c>
      <c r="AR21" s="37">
        <f t="shared" si="5"/>
        <v>1.1733492447545867E-2</v>
      </c>
      <c r="AS21" s="13">
        <f>Neaps!Q22</f>
        <v>22</v>
      </c>
      <c r="AT21" s="13">
        <f>Neaps!R22</f>
        <v>0.39007147282028265</v>
      </c>
      <c r="AU21" s="34">
        <f>AS21-Neaps!$A$3</f>
        <v>-10</v>
      </c>
      <c r="AV21" s="17">
        <f>'Wave particle velocity'!$B$15*'Wave particle velocity'!$B$13*((0.5*'Wave particle velocity'!$B$3)^2)*(EXP(2*'Wave particle velocity'!$B$15*AU21))</f>
        <v>8.9041041620241184E-4</v>
      </c>
      <c r="AW21" s="18">
        <f>0.5*'Wave particle velocity'!$B$13*EXP('Wave particle velocity'!$B$15*AU21)*COS(('Wave particle velocity'!$B$15*'Wave particle velocity'!$B$8)-('Wave particle velocity'!$B$13*'Wave particle velocity'!$B$9))</f>
        <v>-3.7915852071191879E-2</v>
      </c>
      <c r="AX21" s="37">
        <f t="shared" si="17"/>
        <v>0.35304603116529321</v>
      </c>
      <c r="AY21" s="13">
        <f>Neaps!S22</f>
        <v>22</v>
      </c>
      <c r="AZ21" s="13">
        <f>Neaps!T22</f>
        <v>0.7313840115380299</v>
      </c>
      <c r="BA21" s="34">
        <f>AY21-Neaps!$A$3</f>
        <v>-10</v>
      </c>
      <c r="BB21" s="17">
        <f>'Wave particle velocity'!$B$15*'Wave particle velocity'!$B$13*((0.5*'Wave particle velocity'!$B$3)^2)*(EXP(2*'Wave particle velocity'!$B$15*BA21))</f>
        <v>8.9041041620241184E-4</v>
      </c>
      <c r="BC21" s="18">
        <f>0.5*'Wave particle velocity'!$B$13*EXP('Wave particle velocity'!$B$15*BA21)*COS(('Wave particle velocity'!$B$15*'Wave particle velocity'!$B$8)-('Wave particle velocity'!$B$13*'Wave particle velocity'!$B$9))</f>
        <v>-3.7915852071191879E-2</v>
      </c>
      <c r="BD21" s="37">
        <f t="shared" si="18"/>
        <v>0.69435856988304046</v>
      </c>
      <c r="BE21" s="13">
        <f>Neaps!U22</f>
        <v>22</v>
      </c>
      <c r="BF21" s="13">
        <f>Neaps!V22</f>
        <v>0.97517868205070657</v>
      </c>
      <c r="BG21" s="34">
        <f>BE21-Neaps!$A$3</f>
        <v>-10</v>
      </c>
      <c r="BH21" s="17">
        <f>'Wave particle velocity'!$B$15*'Wave particle velocity'!$B$13*((0.5*'Wave particle velocity'!$B$3)^2)*(EXP(2*'Wave particle velocity'!$B$15*BG21))</f>
        <v>8.9041041620241184E-4</v>
      </c>
      <c r="BI21" s="18">
        <f>0.5*'Wave particle velocity'!$B$13*EXP('Wave particle velocity'!$B$15*BG21)*COS(('Wave particle velocity'!$B$15*'Wave particle velocity'!$B$8)-('Wave particle velocity'!$B$13*'Wave particle velocity'!$B$9))</f>
        <v>-3.7915852071191879E-2</v>
      </c>
      <c r="BJ21" s="37">
        <f t="shared" si="19"/>
        <v>0.93815324039571713</v>
      </c>
      <c r="BK21" s="13">
        <f>Neaps!W22</f>
        <v>22</v>
      </c>
      <c r="BL21" s="13">
        <f>Neaps!X22</f>
        <v>0.92641974794817117</v>
      </c>
      <c r="BM21" s="34">
        <f>BK21-Neaps!$A$3</f>
        <v>-10</v>
      </c>
      <c r="BN21" s="17">
        <f>'Wave particle velocity'!$B$15*'Wave particle velocity'!$B$13*((0.5*'Wave particle velocity'!$B$3)^2)*(EXP(2*'Wave particle velocity'!$B$15*BM21))</f>
        <v>8.9041041620241184E-4</v>
      </c>
      <c r="BO21" s="18">
        <f>0.5*'Wave particle velocity'!$B$13*EXP('Wave particle velocity'!$B$15*BM21)*COS(('Wave particle velocity'!$B$15*'Wave particle velocity'!$B$8)-('Wave particle velocity'!$B$13*'Wave particle velocity'!$B$9))</f>
        <v>-3.7915852071191879E-2</v>
      </c>
      <c r="BP21" s="37">
        <f t="shared" si="20"/>
        <v>0.88939430629318172</v>
      </c>
      <c r="BQ21" s="13">
        <f>Neaps!Y22</f>
        <v>22</v>
      </c>
      <c r="BR21" s="13">
        <f>Neaps!Z22</f>
        <v>0.63386614333295932</v>
      </c>
      <c r="BS21" s="34">
        <f>BQ21-Neaps!$A$3</f>
        <v>-10</v>
      </c>
      <c r="BT21" s="17">
        <f>'Wave particle velocity'!$B$15*'Wave particle velocity'!$B$13*((0.5*'Wave particle velocity'!$B$3)^2)*(EXP(2*'Wave particle velocity'!$B$15*BS21))</f>
        <v>8.9041041620241184E-4</v>
      </c>
      <c r="BU21" s="18">
        <f>0.5*'Wave particle velocity'!$B$13*EXP('Wave particle velocity'!$B$15*BS21)*COS(('Wave particle velocity'!$B$15*'Wave particle velocity'!$B$8)-('Wave particle velocity'!$B$13*'Wave particle velocity'!$B$9))</f>
        <v>-3.7915852071191879E-2</v>
      </c>
      <c r="BV21" s="37">
        <f t="shared" si="21"/>
        <v>0.59684070167796988</v>
      </c>
    </row>
    <row r="22" spans="2:74" ht="15.75" thickBot="1">
      <c r="B22" s="16">
        <f>Neaps!C23</f>
        <v>21</v>
      </c>
      <c r="C22" s="34">
        <f>Neaps!D23</f>
        <v>9.6871940799939188E-2</v>
      </c>
      <c r="D22" s="34">
        <f>B22-Neaps!$A$3</f>
        <v>-11</v>
      </c>
      <c r="E22" s="17">
        <f>'Wave particle velocity'!$B$15*'Wave particle velocity'!$B$13*((0.5*'Wave particle velocity'!$B$3)^2)*(EXP(2*'Wave particle velocity'!$B$15*D22))</f>
        <v>4.7502335322745947E-4</v>
      </c>
      <c r="F22" s="18">
        <f>0.5*'Wave particle velocity'!$B$13*EXP('Wave particle velocity'!$B$15*D22)*COS(('Wave particle velocity'!$B$15*'Wave particle velocity'!$B$8)-('Wave particle velocity'!$B$13*'Wave particle velocity'!$B$9))</f>
        <v>-2.7693840386200912E-2</v>
      </c>
      <c r="G22" s="37">
        <f t="shared" si="11"/>
        <v>6.9653123766965738E-2</v>
      </c>
      <c r="H22" s="18">
        <f>Neaps!I23</f>
        <v>21</v>
      </c>
      <c r="I22" s="13">
        <f>Neaps!E23</f>
        <v>21</v>
      </c>
      <c r="J22" s="13">
        <f>Neaps!F23</f>
        <v>0.58123164479963507</v>
      </c>
      <c r="K22" s="34">
        <f>I22-Neaps!$A$3</f>
        <v>-11</v>
      </c>
      <c r="L22" s="17">
        <f>'Wave particle velocity'!$B$15*'Wave particle velocity'!$B$13*((0.5*'Wave particle velocity'!$B$3)^2)*(EXP(2*'Wave particle velocity'!$B$15*K22))</f>
        <v>4.7502335322745947E-4</v>
      </c>
      <c r="M22" s="18">
        <f>0.5*'Wave particle velocity'!$B$13*EXP('Wave particle velocity'!$B$15*K22)*COS(('Wave particle velocity'!$B$15*'Wave particle velocity'!$B$8)-('Wave particle velocity'!$B$13*'Wave particle velocity'!$B$9))</f>
        <v>-2.7693840386200912E-2</v>
      </c>
      <c r="N22" s="37">
        <f t="shared" si="10"/>
        <v>0.55401282776666161</v>
      </c>
      <c r="O22" s="13">
        <f>Neaps!G23</f>
        <v>21</v>
      </c>
      <c r="P22" s="13">
        <f>Neaps!H23</f>
        <v>0.96871940799939182</v>
      </c>
      <c r="Q22" s="34">
        <f>O22-Neaps!$A$3</f>
        <v>-11</v>
      </c>
      <c r="R22" s="17">
        <f>'Wave particle velocity'!$B$15*'Wave particle velocity'!$B$13*((0.5*'Wave particle velocity'!$B$3)^2)*(EXP(2*'Wave particle velocity'!$B$15*Q22))</f>
        <v>4.7502335322745947E-4</v>
      </c>
      <c r="S22" s="18">
        <f>0.5*'Wave particle velocity'!$B$13*EXP('Wave particle velocity'!$B$15*Q22)*COS(('Wave particle velocity'!$B$15*'Wave particle velocity'!$B$8)-('Wave particle velocity'!$B$13*'Wave particle velocity'!$B$9))</f>
        <v>-2.7693840386200912E-2</v>
      </c>
      <c r="T22" s="37">
        <f t="shared" si="9"/>
        <v>0.94150059096641836</v>
      </c>
      <c r="U22" s="13">
        <f>Neaps!I23</f>
        <v>21</v>
      </c>
      <c r="V22" s="13">
        <f>Neaps!J23</f>
        <v>1.0171553783993617</v>
      </c>
      <c r="W22" s="34">
        <f>U22-Neaps!$A$3</f>
        <v>-11</v>
      </c>
      <c r="X22" s="17">
        <f>'Wave particle velocity'!$B$15*'Wave particle velocity'!$B$13*((0.5*'Wave particle velocity'!$B$3)^2)*(EXP(2*'Wave particle velocity'!$B$15*W22))</f>
        <v>4.7502335322745947E-4</v>
      </c>
      <c r="Y22" s="18">
        <f>0.5*'Wave particle velocity'!$B$13*EXP('Wave particle velocity'!$B$15*W22)*COS(('Wave particle velocity'!$B$15*'Wave particle velocity'!$B$8)-('Wave particle velocity'!$B$13*'Wave particle velocity'!$B$9))</f>
        <v>-2.7693840386200912E-2</v>
      </c>
      <c r="Z22" s="37">
        <f t="shared" si="8"/>
        <v>0.98993656136638808</v>
      </c>
      <c r="AA22" s="13">
        <f>Neaps!K23</f>
        <v>21</v>
      </c>
      <c r="AB22" s="57">
        <f>Neaps!L23</f>
        <v>0.87184746719945261</v>
      </c>
      <c r="AC22" s="34">
        <f>AA22-Neaps!$A$3</f>
        <v>-11</v>
      </c>
      <c r="AD22" s="17">
        <f>'Wave particle velocity'!$B$15*'Wave particle velocity'!$B$13*((0.5*'Wave particle velocity'!$B$3)^2)*(EXP(2*'Wave particle velocity'!$B$15*AC22))</f>
        <v>4.7502335322745947E-4</v>
      </c>
      <c r="AE22" s="18">
        <f>0.5*'Wave particle velocity'!$B$13*EXP('Wave particle velocity'!$B$15*AC22)*COS(('Wave particle velocity'!$B$15*'Wave particle velocity'!$B$8)-('Wave particle velocity'!$B$13*'Wave particle velocity'!$B$9))</f>
        <v>-2.7693840386200912E-2</v>
      </c>
      <c r="AF22" s="37">
        <f t="shared" si="7"/>
        <v>0.84462865016647914</v>
      </c>
      <c r="AG22" s="13">
        <f>Neaps!M23</f>
        <v>21</v>
      </c>
      <c r="AH22" s="57">
        <f>Neaps!N23</f>
        <v>0.38748776319975675</v>
      </c>
      <c r="AI22" s="34">
        <f>AG22-Neaps!$A$3</f>
        <v>-11</v>
      </c>
      <c r="AJ22" s="17">
        <f>'Wave particle velocity'!$B$15*'Wave particle velocity'!$B$13*((0.5*'Wave particle velocity'!$B$3)^2)*(EXP(2*'Wave particle velocity'!$B$15*AI22))</f>
        <v>4.7502335322745947E-4</v>
      </c>
      <c r="AK22" s="18">
        <f>0.5*'Wave particle velocity'!$B$13*EXP('Wave particle velocity'!$B$15*AI22)*COS(('Wave particle velocity'!$B$15*'Wave particle velocity'!$B$8)-('Wave particle velocity'!$B$13*'Wave particle velocity'!$B$9))</f>
        <v>-2.7693840386200912E-2</v>
      </c>
      <c r="AL22" s="37">
        <f t="shared" si="6"/>
        <v>0.36026894616678329</v>
      </c>
      <c r="AM22" s="13">
        <f>Neaps!O23</f>
        <v>21</v>
      </c>
      <c r="AN22" s="57">
        <f>Neaps!P23</f>
        <v>4.8435970399969594E-2</v>
      </c>
      <c r="AO22" s="34">
        <f>AM22-Neaps!$A$3</f>
        <v>-11</v>
      </c>
      <c r="AP22" s="17">
        <f>'Wave particle velocity'!$B$15*'Wave particle velocity'!$B$13*((0.5*'Wave particle velocity'!$B$3)^2)*(EXP(2*'Wave particle velocity'!$B$15*AO22))</f>
        <v>4.7502335322745947E-4</v>
      </c>
      <c r="AQ22" s="18">
        <f>0.5*'Wave particle velocity'!$B$13*EXP('Wave particle velocity'!$B$15*AO22)*COS(('Wave particle velocity'!$B$15*'Wave particle velocity'!$B$8)-('Wave particle velocity'!$B$13*'Wave particle velocity'!$B$9))</f>
        <v>-2.7693840386200912E-2</v>
      </c>
      <c r="AR22" s="37">
        <f t="shared" si="5"/>
        <v>2.1217153366996141E-2</v>
      </c>
      <c r="AS22" s="13">
        <f>Neaps!Q23</f>
        <v>21</v>
      </c>
      <c r="AT22" s="13">
        <f>Neaps!R23</f>
        <v>0.38748776319975675</v>
      </c>
      <c r="AU22" s="34">
        <f>AS22-Neaps!$A$3</f>
        <v>-11</v>
      </c>
      <c r="AV22" s="17">
        <f>'Wave particle velocity'!$B$15*'Wave particle velocity'!$B$13*((0.5*'Wave particle velocity'!$B$3)^2)*(EXP(2*'Wave particle velocity'!$B$15*AU22))</f>
        <v>4.7502335322745947E-4</v>
      </c>
      <c r="AW22" s="18">
        <f>0.5*'Wave particle velocity'!$B$13*EXP('Wave particle velocity'!$B$15*AU22)*COS(('Wave particle velocity'!$B$15*'Wave particle velocity'!$B$8)-('Wave particle velocity'!$B$13*'Wave particle velocity'!$B$9))</f>
        <v>-2.7693840386200912E-2</v>
      </c>
      <c r="AX22" s="37">
        <f t="shared" si="17"/>
        <v>0.36026894616678329</v>
      </c>
      <c r="AY22" s="13">
        <f>Neaps!S23</f>
        <v>21</v>
      </c>
      <c r="AZ22" s="13">
        <f>Neaps!T23</f>
        <v>0.7265395559995439</v>
      </c>
      <c r="BA22" s="34">
        <f>AY22-Neaps!$A$3</f>
        <v>-11</v>
      </c>
      <c r="BB22" s="17">
        <f>'Wave particle velocity'!$B$15*'Wave particle velocity'!$B$13*((0.5*'Wave particle velocity'!$B$3)^2)*(EXP(2*'Wave particle velocity'!$B$15*BA22))</f>
        <v>4.7502335322745947E-4</v>
      </c>
      <c r="BC22" s="18">
        <f>0.5*'Wave particle velocity'!$B$13*EXP('Wave particle velocity'!$B$15*BA22)*COS(('Wave particle velocity'!$B$15*'Wave particle velocity'!$B$8)-('Wave particle velocity'!$B$13*'Wave particle velocity'!$B$9))</f>
        <v>-2.7693840386200912E-2</v>
      </c>
      <c r="BD22" s="37">
        <f t="shared" si="18"/>
        <v>0.69932073896657043</v>
      </c>
      <c r="BE22" s="13">
        <f>Neaps!U23</f>
        <v>21</v>
      </c>
      <c r="BF22" s="13">
        <f>Neaps!V23</f>
        <v>0.96871940799939182</v>
      </c>
      <c r="BG22" s="34">
        <f>BE22-Neaps!$A$3</f>
        <v>-11</v>
      </c>
      <c r="BH22" s="17">
        <f>'Wave particle velocity'!$B$15*'Wave particle velocity'!$B$13*((0.5*'Wave particle velocity'!$B$3)^2)*(EXP(2*'Wave particle velocity'!$B$15*BG22))</f>
        <v>4.7502335322745947E-4</v>
      </c>
      <c r="BI22" s="18">
        <f>0.5*'Wave particle velocity'!$B$13*EXP('Wave particle velocity'!$B$15*BG22)*COS(('Wave particle velocity'!$B$15*'Wave particle velocity'!$B$8)-('Wave particle velocity'!$B$13*'Wave particle velocity'!$B$9))</f>
        <v>-2.7693840386200912E-2</v>
      </c>
      <c r="BJ22" s="37">
        <f t="shared" si="19"/>
        <v>0.94150059096641836</v>
      </c>
      <c r="BK22" s="13">
        <f>Neaps!W23</f>
        <v>21</v>
      </c>
      <c r="BL22" s="13">
        <f>Neaps!X23</f>
        <v>0.92028343759942222</v>
      </c>
      <c r="BM22" s="34">
        <f>BK22-Neaps!$A$3</f>
        <v>-11</v>
      </c>
      <c r="BN22" s="17">
        <f>'Wave particle velocity'!$B$15*'Wave particle velocity'!$B$13*((0.5*'Wave particle velocity'!$B$3)^2)*(EXP(2*'Wave particle velocity'!$B$15*BM22))</f>
        <v>4.7502335322745947E-4</v>
      </c>
      <c r="BO22" s="18">
        <f>0.5*'Wave particle velocity'!$B$13*EXP('Wave particle velocity'!$B$15*BM22)*COS(('Wave particle velocity'!$B$15*'Wave particle velocity'!$B$8)-('Wave particle velocity'!$B$13*'Wave particle velocity'!$B$9))</f>
        <v>-2.7693840386200912E-2</v>
      </c>
      <c r="BP22" s="37">
        <f t="shared" si="20"/>
        <v>0.89306462056644875</v>
      </c>
      <c r="BQ22" s="13">
        <f>Neaps!Y23</f>
        <v>21</v>
      </c>
      <c r="BR22" s="13">
        <f>Neaps!Z23</f>
        <v>0.62966761519960468</v>
      </c>
      <c r="BS22" s="34">
        <f>BQ22-Neaps!$A$3</f>
        <v>-11</v>
      </c>
      <c r="BT22" s="17">
        <f>'Wave particle velocity'!$B$15*'Wave particle velocity'!$B$13*((0.5*'Wave particle velocity'!$B$3)^2)*(EXP(2*'Wave particle velocity'!$B$15*BS22))</f>
        <v>4.7502335322745947E-4</v>
      </c>
      <c r="BU22" s="18">
        <f>0.5*'Wave particle velocity'!$B$13*EXP('Wave particle velocity'!$B$15*BS22)*COS(('Wave particle velocity'!$B$15*'Wave particle velocity'!$B$8)-('Wave particle velocity'!$B$13*'Wave particle velocity'!$B$9))</f>
        <v>-2.7693840386200912E-2</v>
      </c>
      <c r="BV22" s="37">
        <f t="shared" si="21"/>
        <v>0.60244879816663122</v>
      </c>
    </row>
    <row r="23" spans="2:74" ht="15.75" thickBot="1">
      <c r="B23" s="16">
        <f>Neaps!C24</f>
        <v>20</v>
      </c>
      <c r="C23" s="34">
        <f>Neaps!D24</f>
        <v>9.6199088722025428E-2</v>
      </c>
      <c r="D23" s="34">
        <f>B23-Neaps!$A$3</f>
        <v>-12</v>
      </c>
      <c r="E23" s="17">
        <f>'Wave particle velocity'!$B$15*'Wave particle velocity'!$B$13*((0.5*'Wave particle velocity'!$B$3)^2)*(EXP(2*'Wave particle velocity'!$B$15*D23))</f>
        <v>2.5341930193701224E-4</v>
      </c>
      <c r="F23" s="18">
        <f>0.5*'Wave particle velocity'!$B$13*EXP('Wave particle velocity'!$B$15*D23)*COS(('Wave particle velocity'!$B$15*'Wave particle velocity'!$B$8)-('Wave particle velocity'!$B$13*'Wave particle velocity'!$B$9))</f>
        <v>-2.0227655543552808E-2</v>
      </c>
      <c r="G23" s="37">
        <f t="shared" si="11"/>
        <v>7.6224852480409624E-2</v>
      </c>
      <c r="H23" s="18">
        <f>Neaps!I24</f>
        <v>20</v>
      </c>
      <c r="I23" s="13">
        <f>Neaps!E24</f>
        <v>20</v>
      </c>
      <c r="J23" s="13">
        <f>Neaps!F24</f>
        <v>0.57719453233215245</v>
      </c>
      <c r="K23" s="34">
        <f>I23-Neaps!$A$3</f>
        <v>-12</v>
      </c>
      <c r="L23" s="17">
        <f>'Wave particle velocity'!$B$15*'Wave particle velocity'!$B$13*((0.5*'Wave particle velocity'!$B$3)^2)*(EXP(2*'Wave particle velocity'!$B$15*K23))</f>
        <v>2.5341930193701224E-4</v>
      </c>
      <c r="M23" s="18">
        <f>0.5*'Wave particle velocity'!$B$13*EXP('Wave particle velocity'!$B$15*K23)*COS(('Wave particle velocity'!$B$15*'Wave particle velocity'!$B$8)-('Wave particle velocity'!$B$13*'Wave particle velocity'!$B$9))</f>
        <v>-2.0227655543552808E-2</v>
      </c>
      <c r="N23" s="37">
        <f t="shared" si="10"/>
        <v>0.55722029609053669</v>
      </c>
      <c r="O23" s="13">
        <f>Neaps!G24</f>
        <v>20</v>
      </c>
      <c r="P23" s="13">
        <f>Neaps!H24</f>
        <v>0.96199088722025416</v>
      </c>
      <c r="Q23" s="34">
        <f>O23-Neaps!$A$3</f>
        <v>-12</v>
      </c>
      <c r="R23" s="17">
        <f>'Wave particle velocity'!$B$15*'Wave particle velocity'!$B$13*((0.5*'Wave particle velocity'!$B$3)^2)*(EXP(2*'Wave particle velocity'!$B$15*Q23))</f>
        <v>2.5341930193701224E-4</v>
      </c>
      <c r="S23" s="18">
        <f>0.5*'Wave particle velocity'!$B$13*EXP('Wave particle velocity'!$B$15*Q23)*COS(('Wave particle velocity'!$B$15*'Wave particle velocity'!$B$8)-('Wave particle velocity'!$B$13*'Wave particle velocity'!$B$9))</f>
        <v>-2.0227655543552808E-2</v>
      </c>
      <c r="T23" s="37">
        <f t="shared" si="9"/>
        <v>0.9420166509786384</v>
      </c>
      <c r="U23" s="13">
        <f>Neaps!I24</f>
        <v>20</v>
      </c>
      <c r="V23" s="13">
        <f>Neaps!J24</f>
        <v>1.0100904315812671</v>
      </c>
      <c r="W23" s="34">
        <f>U23-Neaps!$A$3</f>
        <v>-12</v>
      </c>
      <c r="X23" s="17">
        <f>'Wave particle velocity'!$B$15*'Wave particle velocity'!$B$13*((0.5*'Wave particle velocity'!$B$3)^2)*(EXP(2*'Wave particle velocity'!$B$15*W23))</f>
        <v>2.5341930193701224E-4</v>
      </c>
      <c r="Y23" s="18">
        <f>0.5*'Wave particle velocity'!$B$13*EXP('Wave particle velocity'!$B$15*W23)*COS(('Wave particle velocity'!$B$15*'Wave particle velocity'!$B$8)-('Wave particle velocity'!$B$13*'Wave particle velocity'!$B$9))</f>
        <v>-2.0227655543552808E-2</v>
      </c>
      <c r="Z23" s="37">
        <f t="shared" si="8"/>
        <v>0.99011619533965134</v>
      </c>
      <c r="AA23" s="13">
        <f>Neaps!K24</f>
        <v>20</v>
      </c>
      <c r="AB23" s="57">
        <f>Neaps!L24</f>
        <v>0.86579179849822874</v>
      </c>
      <c r="AC23" s="34">
        <f>AA23-Neaps!$A$3</f>
        <v>-12</v>
      </c>
      <c r="AD23" s="17">
        <f>'Wave particle velocity'!$B$15*'Wave particle velocity'!$B$13*((0.5*'Wave particle velocity'!$B$3)^2)*(EXP(2*'Wave particle velocity'!$B$15*AC23))</f>
        <v>2.5341930193701224E-4</v>
      </c>
      <c r="AE23" s="18">
        <f>0.5*'Wave particle velocity'!$B$13*EXP('Wave particle velocity'!$B$15*AC23)*COS(('Wave particle velocity'!$B$15*'Wave particle velocity'!$B$8)-('Wave particle velocity'!$B$13*'Wave particle velocity'!$B$9))</f>
        <v>-2.0227655543552808E-2</v>
      </c>
      <c r="AF23" s="37">
        <f t="shared" si="7"/>
        <v>0.84581756225661298</v>
      </c>
      <c r="AG23" s="13">
        <f>Neaps!M24</f>
        <v>20</v>
      </c>
      <c r="AH23" s="57">
        <f>Neaps!N24</f>
        <v>0.38479635488810171</v>
      </c>
      <c r="AI23" s="34">
        <f>AG23-Neaps!$A$3</f>
        <v>-12</v>
      </c>
      <c r="AJ23" s="17">
        <f>'Wave particle velocity'!$B$15*'Wave particle velocity'!$B$13*((0.5*'Wave particle velocity'!$B$3)^2)*(EXP(2*'Wave particle velocity'!$B$15*AI23))</f>
        <v>2.5341930193701224E-4</v>
      </c>
      <c r="AK23" s="18">
        <f>0.5*'Wave particle velocity'!$B$13*EXP('Wave particle velocity'!$B$15*AI23)*COS(('Wave particle velocity'!$B$15*'Wave particle velocity'!$B$8)-('Wave particle velocity'!$B$13*'Wave particle velocity'!$B$9))</f>
        <v>-2.0227655543552808E-2</v>
      </c>
      <c r="AL23" s="37">
        <f t="shared" si="6"/>
        <v>0.36482211864648589</v>
      </c>
      <c r="AM23" s="13">
        <f>Neaps!O24</f>
        <v>20</v>
      </c>
      <c r="AN23" s="57">
        <f>Neaps!P24</f>
        <v>4.8099544361012714E-2</v>
      </c>
      <c r="AO23" s="34">
        <f>AM23-Neaps!$A$3</f>
        <v>-12</v>
      </c>
      <c r="AP23" s="17">
        <f>'Wave particle velocity'!$B$15*'Wave particle velocity'!$B$13*((0.5*'Wave particle velocity'!$B$3)^2)*(EXP(2*'Wave particle velocity'!$B$15*AO23))</f>
        <v>2.5341930193701224E-4</v>
      </c>
      <c r="AQ23" s="18">
        <f>0.5*'Wave particle velocity'!$B$13*EXP('Wave particle velocity'!$B$15*AO23)*COS(('Wave particle velocity'!$B$15*'Wave particle velocity'!$B$8)-('Wave particle velocity'!$B$13*'Wave particle velocity'!$B$9))</f>
        <v>-2.0227655543552808E-2</v>
      </c>
      <c r="AR23" s="37">
        <f t="shared" si="5"/>
        <v>2.8125308119396921E-2</v>
      </c>
      <c r="AS23" s="13">
        <f>Neaps!Q24</f>
        <v>20</v>
      </c>
      <c r="AT23" s="13">
        <f>Neaps!R24</f>
        <v>0.38479635488810171</v>
      </c>
      <c r="AU23" s="34">
        <f>AS23-Neaps!$A$3</f>
        <v>-12</v>
      </c>
      <c r="AV23" s="17">
        <f>'Wave particle velocity'!$B$15*'Wave particle velocity'!$B$13*((0.5*'Wave particle velocity'!$B$3)^2)*(EXP(2*'Wave particle velocity'!$B$15*AU23))</f>
        <v>2.5341930193701224E-4</v>
      </c>
      <c r="AW23" s="18">
        <f>0.5*'Wave particle velocity'!$B$13*EXP('Wave particle velocity'!$B$15*AU23)*COS(('Wave particle velocity'!$B$15*'Wave particle velocity'!$B$8)-('Wave particle velocity'!$B$13*'Wave particle velocity'!$B$9))</f>
        <v>-2.0227655543552808E-2</v>
      </c>
      <c r="AX23" s="37">
        <f t="shared" si="17"/>
        <v>0.36482211864648589</v>
      </c>
      <c r="AY23" s="13">
        <f>Neaps!S24</f>
        <v>20</v>
      </c>
      <c r="AZ23" s="13">
        <f>Neaps!T24</f>
        <v>0.7214931654151906</v>
      </c>
      <c r="BA23" s="34">
        <f>AY23-Neaps!$A$3</f>
        <v>-12</v>
      </c>
      <c r="BB23" s="17">
        <f>'Wave particle velocity'!$B$15*'Wave particle velocity'!$B$13*((0.5*'Wave particle velocity'!$B$3)^2)*(EXP(2*'Wave particle velocity'!$B$15*BA23))</f>
        <v>2.5341930193701224E-4</v>
      </c>
      <c r="BC23" s="18">
        <f>0.5*'Wave particle velocity'!$B$13*EXP('Wave particle velocity'!$B$15*BA23)*COS(('Wave particle velocity'!$B$15*'Wave particle velocity'!$B$8)-('Wave particle velocity'!$B$13*'Wave particle velocity'!$B$9))</f>
        <v>-2.0227655543552808E-2</v>
      </c>
      <c r="BD23" s="37">
        <f t="shared" si="18"/>
        <v>0.70151892917357483</v>
      </c>
      <c r="BE23" s="13">
        <f>Neaps!U24</f>
        <v>20</v>
      </c>
      <c r="BF23" s="13">
        <f>Neaps!V24</f>
        <v>0.96199088722025416</v>
      </c>
      <c r="BG23" s="34">
        <f>BE23-Neaps!$A$3</f>
        <v>-12</v>
      </c>
      <c r="BH23" s="17">
        <f>'Wave particle velocity'!$B$15*'Wave particle velocity'!$B$13*((0.5*'Wave particle velocity'!$B$3)^2)*(EXP(2*'Wave particle velocity'!$B$15*BG23))</f>
        <v>2.5341930193701224E-4</v>
      </c>
      <c r="BI23" s="18">
        <f>0.5*'Wave particle velocity'!$B$13*EXP('Wave particle velocity'!$B$15*BG23)*COS(('Wave particle velocity'!$B$15*'Wave particle velocity'!$B$8)-('Wave particle velocity'!$B$13*'Wave particle velocity'!$B$9))</f>
        <v>-2.0227655543552808E-2</v>
      </c>
      <c r="BJ23" s="37">
        <f t="shared" si="19"/>
        <v>0.9420166509786384</v>
      </c>
      <c r="BK23" s="13">
        <f>Neaps!W24</f>
        <v>20</v>
      </c>
      <c r="BL23" s="13">
        <f>Neaps!X24</f>
        <v>0.91389134285924145</v>
      </c>
      <c r="BM23" s="34">
        <f>BK23-Neaps!$A$3</f>
        <v>-12</v>
      </c>
      <c r="BN23" s="17">
        <f>'Wave particle velocity'!$B$15*'Wave particle velocity'!$B$13*((0.5*'Wave particle velocity'!$B$3)^2)*(EXP(2*'Wave particle velocity'!$B$15*BM23))</f>
        <v>2.5341930193701224E-4</v>
      </c>
      <c r="BO23" s="18">
        <f>0.5*'Wave particle velocity'!$B$13*EXP('Wave particle velocity'!$B$15*BM23)*COS(('Wave particle velocity'!$B$15*'Wave particle velocity'!$B$8)-('Wave particle velocity'!$B$13*'Wave particle velocity'!$B$9))</f>
        <v>-2.0227655543552808E-2</v>
      </c>
      <c r="BP23" s="37">
        <f t="shared" si="20"/>
        <v>0.89391710661762569</v>
      </c>
      <c r="BQ23" s="13">
        <f>Neaps!Y24</f>
        <v>20</v>
      </c>
      <c r="BR23" s="13">
        <f>Neaps!Z24</f>
        <v>0.62529407669316517</v>
      </c>
      <c r="BS23" s="34">
        <f>BQ23-Neaps!$A$3</f>
        <v>-12</v>
      </c>
      <c r="BT23" s="17">
        <f>'Wave particle velocity'!$B$15*'Wave particle velocity'!$B$13*((0.5*'Wave particle velocity'!$B$3)^2)*(EXP(2*'Wave particle velocity'!$B$15*BS23))</f>
        <v>2.5341930193701224E-4</v>
      </c>
      <c r="BU23" s="18">
        <f>0.5*'Wave particle velocity'!$B$13*EXP('Wave particle velocity'!$B$15*BS23)*COS(('Wave particle velocity'!$B$15*'Wave particle velocity'!$B$8)-('Wave particle velocity'!$B$13*'Wave particle velocity'!$B$9))</f>
        <v>-2.0227655543552808E-2</v>
      </c>
      <c r="BV23" s="37">
        <f t="shared" si="21"/>
        <v>0.60531984045154941</v>
      </c>
    </row>
    <row r="24" spans="2:74" ht="15.75" thickBot="1">
      <c r="B24" s="16">
        <f>Neaps!C25</f>
        <v>19</v>
      </c>
      <c r="C24" s="34">
        <f>Neaps!D25</f>
        <v>9.5496755338731587E-2</v>
      </c>
      <c r="D24" s="34">
        <f>B24-Neaps!$A$3</f>
        <v>-13</v>
      </c>
      <c r="E24" s="17">
        <f>'Wave particle velocity'!$B$15*'Wave particle velocity'!$B$13*((0.5*'Wave particle velocity'!$B$3)^2)*(EXP(2*'Wave particle velocity'!$B$15*D24))</f>
        <v>1.3519617963601656E-4</v>
      </c>
      <c r="F24" s="18">
        <f>0.5*'Wave particle velocity'!$B$13*EXP('Wave particle velocity'!$B$15*D24)*COS(('Wave particle velocity'!$B$15*'Wave particle velocity'!$B$8)-('Wave particle velocity'!$B$13*'Wave particle velocity'!$B$9))</f>
        <v>-1.4774334042616027E-2</v>
      </c>
      <c r="G24" s="37">
        <f t="shared" si="11"/>
        <v>8.0857617475751584E-2</v>
      </c>
      <c r="H24" s="18">
        <f>Neaps!I25</f>
        <v>19</v>
      </c>
      <c r="I24" s="13">
        <f>Neaps!E25</f>
        <v>19</v>
      </c>
      <c r="J24" s="13">
        <f>Neaps!F25</f>
        <v>0.57298053203238952</v>
      </c>
      <c r="K24" s="34">
        <f>I24-Neaps!$A$3</f>
        <v>-13</v>
      </c>
      <c r="L24" s="17">
        <f>'Wave particle velocity'!$B$15*'Wave particle velocity'!$B$13*((0.5*'Wave particle velocity'!$B$3)^2)*(EXP(2*'Wave particle velocity'!$B$15*K24))</f>
        <v>1.3519617963601656E-4</v>
      </c>
      <c r="M24" s="18">
        <f>0.5*'Wave particle velocity'!$B$13*EXP('Wave particle velocity'!$B$15*K24)*COS(('Wave particle velocity'!$B$15*'Wave particle velocity'!$B$8)-('Wave particle velocity'!$B$13*'Wave particle velocity'!$B$9))</f>
        <v>-1.4774334042616027E-2</v>
      </c>
      <c r="N24" s="37">
        <f t="shared" si="10"/>
        <v>0.55834139416940942</v>
      </c>
      <c r="O24" s="13">
        <f>Neaps!G25</f>
        <v>19</v>
      </c>
      <c r="P24" s="13">
        <f>Neaps!H25</f>
        <v>0.95496755338731587</v>
      </c>
      <c r="Q24" s="34">
        <f>O24-Neaps!$A$3</f>
        <v>-13</v>
      </c>
      <c r="R24" s="17">
        <f>'Wave particle velocity'!$B$15*'Wave particle velocity'!$B$13*((0.5*'Wave particle velocity'!$B$3)^2)*(EXP(2*'Wave particle velocity'!$B$15*Q24))</f>
        <v>1.3519617963601656E-4</v>
      </c>
      <c r="S24" s="18">
        <f>0.5*'Wave particle velocity'!$B$13*EXP('Wave particle velocity'!$B$15*Q24)*COS(('Wave particle velocity'!$B$15*'Wave particle velocity'!$B$8)-('Wave particle velocity'!$B$13*'Wave particle velocity'!$B$9))</f>
        <v>-1.4774334042616027E-2</v>
      </c>
      <c r="T24" s="37">
        <f t="shared" si="9"/>
        <v>0.94032841552433577</v>
      </c>
      <c r="U24" s="13">
        <f>Neaps!I25</f>
        <v>19</v>
      </c>
      <c r="V24" s="13">
        <f>Neaps!J25</f>
        <v>1.0027159310566818</v>
      </c>
      <c r="W24" s="34">
        <f>U24-Neaps!$A$3</f>
        <v>-13</v>
      </c>
      <c r="X24" s="17">
        <f>'Wave particle velocity'!$B$15*'Wave particle velocity'!$B$13*((0.5*'Wave particle velocity'!$B$3)^2)*(EXP(2*'Wave particle velocity'!$B$15*W24))</f>
        <v>1.3519617963601656E-4</v>
      </c>
      <c r="Y24" s="18">
        <f>0.5*'Wave particle velocity'!$B$13*EXP('Wave particle velocity'!$B$15*W24)*COS(('Wave particle velocity'!$B$15*'Wave particle velocity'!$B$8)-('Wave particle velocity'!$B$13*'Wave particle velocity'!$B$9))</f>
        <v>-1.4774334042616027E-2</v>
      </c>
      <c r="Z24" s="37">
        <f t="shared" si="8"/>
        <v>0.98807679319370179</v>
      </c>
      <c r="AA24" s="13">
        <f>Neaps!K25</f>
        <v>19</v>
      </c>
      <c r="AB24" s="57">
        <f>Neaps!L25</f>
        <v>0.85947079804858428</v>
      </c>
      <c r="AC24" s="34">
        <f>AA24-Neaps!$A$3</f>
        <v>-13</v>
      </c>
      <c r="AD24" s="17">
        <f>'Wave particle velocity'!$B$15*'Wave particle velocity'!$B$13*((0.5*'Wave particle velocity'!$B$3)^2)*(EXP(2*'Wave particle velocity'!$B$15*AC24))</f>
        <v>1.3519617963601656E-4</v>
      </c>
      <c r="AE24" s="18">
        <f>0.5*'Wave particle velocity'!$B$13*EXP('Wave particle velocity'!$B$15*AC24)*COS(('Wave particle velocity'!$B$15*'Wave particle velocity'!$B$8)-('Wave particle velocity'!$B$13*'Wave particle velocity'!$B$9))</f>
        <v>-1.4774334042616027E-2</v>
      </c>
      <c r="AF24" s="37">
        <f t="shared" si="7"/>
        <v>0.84483166018560418</v>
      </c>
      <c r="AG24" s="13">
        <f>Neaps!M25</f>
        <v>19</v>
      </c>
      <c r="AH24" s="57">
        <f>Neaps!N25</f>
        <v>0.38198702135492635</v>
      </c>
      <c r="AI24" s="34">
        <f>AG24-Neaps!$A$3</f>
        <v>-13</v>
      </c>
      <c r="AJ24" s="17">
        <f>'Wave particle velocity'!$B$15*'Wave particle velocity'!$B$13*((0.5*'Wave particle velocity'!$B$3)^2)*(EXP(2*'Wave particle velocity'!$B$15*AI24))</f>
        <v>1.3519617963601656E-4</v>
      </c>
      <c r="AK24" s="18">
        <f>0.5*'Wave particle velocity'!$B$13*EXP('Wave particle velocity'!$B$15*AI24)*COS(('Wave particle velocity'!$B$15*'Wave particle velocity'!$B$8)-('Wave particle velocity'!$B$13*'Wave particle velocity'!$B$9))</f>
        <v>-1.4774334042616027E-2</v>
      </c>
      <c r="AL24" s="37">
        <f t="shared" si="6"/>
        <v>0.36734788349194636</v>
      </c>
      <c r="AM24" s="13">
        <f>Neaps!O25</f>
        <v>19</v>
      </c>
      <c r="AN24" s="57">
        <f>Neaps!P25</f>
        <v>4.7748377669365794E-2</v>
      </c>
      <c r="AO24" s="34">
        <f>AM24-Neaps!$A$3</f>
        <v>-13</v>
      </c>
      <c r="AP24" s="17">
        <f>'Wave particle velocity'!$B$15*'Wave particle velocity'!$B$13*((0.5*'Wave particle velocity'!$B$3)^2)*(EXP(2*'Wave particle velocity'!$B$15*AO24))</f>
        <v>1.3519617963601656E-4</v>
      </c>
      <c r="AQ24" s="18">
        <f>0.5*'Wave particle velocity'!$B$13*EXP('Wave particle velocity'!$B$15*AO24)*COS(('Wave particle velocity'!$B$15*'Wave particle velocity'!$B$8)-('Wave particle velocity'!$B$13*'Wave particle velocity'!$B$9))</f>
        <v>-1.4774334042616027E-2</v>
      </c>
      <c r="AR24" s="37">
        <f t="shared" si="5"/>
        <v>3.3109239806385783E-2</v>
      </c>
      <c r="AS24" s="13">
        <f>Neaps!Q25</f>
        <v>19</v>
      </c>
      <c r="AT24" s="13">
        <f>Neaps!R25</f>
        <v>0.38198702135492635</v>
      </c>
      <c r="AU24" s="34">
        <f>AS24-Neaps!$A$3</f>
        <v>-13</v>
      </c>
      <c r="AV24" s="17">
        <f>'Wave particle velocity'!$B$15*'Wave particle velocity'!$B$13*((0.5*'Wave particle velocity'!$B$3)^2)*(EXP(2*'Wave particle velocity'!$B$15*AU24))</f>
        <v>1.3519617963601656E-4</v>
      </c>
      <c r="AW24" s="18">
        <f>0.5*'Wave particle velocity'!$B$13*EXP('Wave particle velocity'!$B$15*AU24)*COS(('Wave particle velocity'!$B$15*'Wave particle velocity'!$B$8)-('Wave particle velocity'!$B$13*'Wave particle velocity'!$B$9))</f>
        <v>-1.4774334042616027E-2</v>
      </c>
      <c r="AX24" s="37">
        <f t="shared" si="17"/>
        <v>0.36734788349194636</v>
      </c>
      <c r="AY24" s="13">
        <f>Neaps!S25</f>
        <v>19</v>
      </c>
      <c r="AZ24" s="13">
        <f>Neaps!T25</f>
        <v>0.7162256650404869</v>
      </c>
      <c r="BA24" s="34">
        <f>AY24-Neaps!$A$3</f>
        <v>-13</v>
      </c>
      <c r="BB24" s="17">
        <f>'Wave particle velocity'!$B$15*'Wave particle velocity'!$B$13*((0.5*'Wave particle velocity'!$B$3)^2)*(EXP(2*'Wave particle velocity'!$B$15*BA24))</f>
        <v>1.3519617963601656E-4</v>
      </c>
      <c r="BC24" s="18">
        <f>0.5*'Wave particle velocity'!$B$13*EXP('Wave particle velocity'!$B$15*BA24)*COS(('Wave particle velocity'!$B$15*'Wave particle velocity'!$B$8)-('Wave particle velocity'!$B$13*'Wave particle velocity'!$B$9))</f>
        <v>-1.4774334042616027E-2</v>
      </c>
      <c r="BD24" s="37">
        <f t="shared" si="18"/>
        <v>0.7015865271775068</v>
      </c>
      <c r="BE24" s="13">
        <f>Neaps!U25</f>
        <v>19</v>
      </c>
      <c r="BF24" s="13">
        <f>Neaps!V25</f>
        <v>0.95496755338731587</v>
      </c>
      <c r="BG24" s="34">
        <f>BE24-Neaps!$A$3</f>
        <v>-13</v>
      </c>
      <c r="BH24" s="17">
        <f>'Wave particle velocity'!$B$15*'Wave particle velocity'!$B$13*((0.5*'Wave particle velocity'!$B$3)^2)*(EXP(2*'Wave particle velocity'!$B$15*BG24))</f>
        <v>1.3519617963601656E-4</v>
      </c>
      <c r="BI24" s="18">
        <f>0.5*'Wave particle velocity'!$B$13*EXP('Wave particle velocity'!$B$15*BG24)*COS(('Wave particle velocity'!$B$15*'Wave particle velocity'!$B$8)-('Wave particle velocity'!$B$13*'Wave particle velocity'!$B$9))</f>
        <v>-1.4774334042616027E-2</v>
      </c>
      <c r="BJ24" s="37">
        <f t="shared" si="19"/>
        <v>0.94032841552433577</v>
      </c>
      <c r="BK24" s="13">
        <f>Neaps!W25</f>
        <v>19</v>
      </c>
      <c r="BL24" s="13">
        <f>Neaps!X25</f>
        <v>0.90721917571795008</v>
      </c>
      <c r="BM24" s="34">
        <f>BK24-Neaps!$A$3</f>
        <v>-13</v>
      </c>
      <c r="BN24" s="17">
        <f>'Wave particle velocity'!$B$15*'Wave particle velocity'!$B$13*((0.5*'Wave particle velocity'!$B$3)^2)*(EXP(2*'Wave particle velocity'!$B$15*BM24))</f>
        <v>1.3519617963601656E-4</v>
      </c>
      <c r="BO24" s="18">
        <f>0.5*'Wave particle velocity'!$B$13*EXP('Wave particle velocity'!$B$15*BM24)*COS(('Wave particle velocity'!$B$15*'Wave particle velocity'!$B$8)-('Wave particle velocity'!$B$13*'Wave particle velocity'!$B$9))</f>
        <v>-1.4774334042616027E-2</v>
      </c>
      <c r="BP24" s="37">
        <f t="shared" si="20"/>
        <v>0.89258003785496998</v>
      </c>
      <c r="BQ24" s="13">
        <f>Neaps!Y25</f>
        <v>19</v>
      </c>
      <c r="BR24" s="13">
        <f>Neaps!Z25</f>
        <v>0.62072890970175532</v>
      </c>
      <c r="BS24" s="34">
        <f>BQ24-Neaps!$A$3</f>
        <v>-13</v>
      </c>
      <c r="BT24" s="17">
        <f>'Wave particle velocity'!$B$15*'Wave particle velocity'!$B$13*((0.5*'Wave particle velocity'!$B$3)^2)*(EXP(2*'Wave particle velocity'!$B$15*BS24))</f>
        <v>1.3519617963601656E-4</v>
      </c>
      <c r="BU24" s="18">
        <f>0.5*'Wave particle velocity'!$B$13*EXP('Wave particle velocity'!$B$15*BS24)*COS(('Wave particle velocity'!$B$15*'Wave particle velocity'!$B$8)-('Wave particle velocity'!$B$13*'Wave particle velocity'!$B$9))</f>
        <v>-1.4774334042616027E-2</v>
      </c>
      <c r="BV24" s="37">
        <f t="shared" si="21"/>
        <v>0.60608977183877522</v>
      </c>
    </row>
    <row r="25" spans="2:74" ht="15.75" thickBot="1">
      <c r="B25" s="16">
        <f>Neaps!C26</f>
        <v>18</v>
      </c>
      <c r="C25" s="34">
        <f>Neaps!D26</f>
        <v>9.4761990298855181E-2</v>
      </c>
      <c r="D25" s="34">
        <f>B25-Neaps!$A$3</f>
        <v>-14</v>
      </c>
      <c r="E25" s="17">
        <f>'Wave particle velocity'!$B$15*'Wave particle velocity'!$B$13*((0.5*'Wave particle velocity'!$B$3)^2)*(EXP(2*'Wave particle velocity'!$B$15*D25))</f>
        <v>7.2125551796828368E-5</v>
      </c>
      <c r="F25" s="18">
        <f>0.5*'Wave particle velocity'!$B$13*EXP('Wave particle velocity'!$B$15*D25)*COS(('Wave particle velocity'!$B$15*'Wave particle velocity'!$B$8)-('Wave particle velocity'!$B$13*'Wave particle velocity'!$B$9))</f>
        <v>-1.0791213343178362E-2</v>
      </c>
      <c r="G25" s="37">
        <f t="shared" si="11"/>
        <v>8.4042902507473649E-2</v>
      </c>
      <c r="H25" s="18">
        <f>Neaps!I26</f>
        <v>18</v>
      </c>
      <c r="I25" s="13">
        <f>Neaps!E26</f>
        <v>18</v>
      </c>
      <c r="J25" s="13">
        <f>Neaps!F26</f>
        <v>0.56857194179313109</v>
      </c>
      <c r="K25" s="34">
        <f>I25-Neaps!$A$3</f>
        <v>-14</v>
      </c>
      <c r="L25" s="17">
        <f>'Wave particle velocity'!$B$15*'Wave particle velocity'!$B$13*((0.5*'Wave particle velocity'!$B$3)^2)*(EXP(2*'Wave particle velocity'!$B$15*K25))</f>
        <v>7.2125551796828368E-5</v>
      </c>
      <c r="M25" s="18">
        <f>0.5*'Wave particle velocity'!$B$13*EXP('Wave particle velocity'!$B$15*K25)*COS(('Wave particle velocity'!$B$15*'Wave particle velocity'!$B$8)-('Wave particle velocity'!$B$13*'Wave particle velocity'!$B$9))</f>
        <v>-1.0791213343178362E-2</v>
      </c>
      <c r="N25" s="37">
        <f t="shared" si="10"/>
        <v>0.55785285400174955</v>
      </c>
      <c r="O25" s="13">
        <f>Neaps!G26</f>
        <v>18</v>
      </c>
      <c r="P25" s="13">
        <f>Neaps!H26</f>
        <v>0.94761990298855181</v>
      </c>
      <c r="Q25" s="34">
        <f>O25-Neaps!$A$3</f>
        <v>-14</v>
      </c>
      <c r="R25" s="17">
        <f>'Wave particle velocity'!$B$15*'Wave particle velocity'!$B$13*((0.5*'Wave particle velocity'!$B$3)^2)*(EXP(2*'Wave particle velocity'!$B$15*Q25))</f>
        <v>7.2125551796828368E-5</v>
      </c>
      <c r="S25" s="18">
        <f>0.5*'Wave particle velocity'!$B$13*EXP('Wave particle velocity'!$B$15*Q25)*COS(('Wave particle velocity'!$B$15*'Wave particle velocity'!$B$8)-('Wave particle velocity'!$B$13*'Wave particle velocity'!$B$9))</f>
        <v>-1.0791213343178362E-2</v>
      </c>
      <c r="T25" s="37">
        <f t="shared" si="9"/>
        <v>0.93690081519717028</v>
      </c>
      <c r="U25" s="13">
        <f>Neaps!I26</f>
        <v>18</v>
      </c>
      <c r="V25" s="13">
        <f>Neaps!J26</f>
        <v>0.99500089813797954</v>
      </c>
      <c r="W25" s="34">
        <f>U25-Neaps!$A$3</f>
        <v>-14</v>
      </c>
      <c r="X25" s="17">
        <f>'Wave particle velocity'!$B$15*'Wave particle velocity'!$B$13*((0.5*'Wave particle velocity'!$B$3)^2)*(EXP(2*'Wave particle velocity'!$B$15*W25))</f>
        <v>7.2125551796828368E-5</v>
      </c>
      <c r="Y25" s="18">
        <f>0.5*'Wave particle velocity'!$B$13*EXP('Wave particle velocity'!$B$15*W25)*COS(('Wave particle velocity'!$B$15*'Wave particle velocity'!$B$8)-('Wave particle velocity'!$B$13*'Wave particle velocity'!$B$9))</f>
        <v>-1.0791213343178362E-2</v>
      </c>
      <c r="Z25" s="37">
        <f t="shared" si="8"/>
        <v>0.98428181034659801</v>
      </c>
      <c r="AA25" s="13">
        <f>Neaps!K26</f>
        <v>18</v>
      </c>
      <c r="AB25" s="57">
        <f>Neaps!L26</f>
        <v>0.85285791268969668</v>
      </c>
      <c r="AC25" s="34">
        <f>AA25-Neaps!$A$3</f>
        <v>-14</v>
      </c>
      <c r="AD25" s="17">
        <f>'Wave particle velocity'!$B$15*'Wave particle velocity'!$B$13*((0.5*'Wave particle velocity'!$B$3)^2)*(EXP(2*'Wave particle velocity'!$B$15*AC25))</f>
        <v>7.2125551796828368E-5</v>
      </c>
      <c r="AE25" s="18">
        <f>0.5*'Wave particle velocity'!$B$13*EXP('Wave particle velocity'!$B$15*AC25)*COS(('Wave particle velocity'!$B$15*'Wave particle velocity'!$B$8)-('Wave particle velocity'!$B$13*'Wave particle velocity'!$B$9))</f>
        <v>-1.0791213343178362E-2</v>
      </c>
      <c r="AF25" s="37">
        <f t="shared" si="7"/>
        <v>0.84213882489831515</v>
      </c>
      <c r="AG25" s="13">
        <f>Neaps!M26</f>
        <v>18</v>
      </c>
      <c r="AH25" s="57">
        <f>Neaps!N26</f>
        <v>0.37904796119542072</v>
      </c>
      <c r="AI25" s="34">
        <f>AG25-Neaps!$A$3</f>
        <v>-14</v>
      </c>
      <c r="AJ25" s="17">
        <f>'Wave particle velocity'!$B$15*'Wave particle velocity'!$B$13*((0.5*'Wave particle velocity'!$B$3)^2)*(EXP(2*'Wave particle velocity'!$B$15*AI25))</f>
        <v>7.2125551796828368E-5</v>
      </c>
      <c r="AK25" s="18">
        <f>0.5*'Wave particle velocity'!$B$13*EXP('Wave particle velocity'!$B$15*AI25)*COS(('Wave particle velocity'!$B$15*'Wave particle velocity'!$B$8)-('Wave particle velocity'!$B$13*'Wave particle velocity'!$B$9))</f>
        <v>-1.0791213343178362E-2</v>
      </c>
      <c r="AL25" s="37">
        <f t="shared" si="6"/>
        <v>0.36832887340403919</v>
      </c>
      <c r="AM25" s="13">
        <f>Neaps!O26</f>
        <v>18</v>
      </c>
      <c r="AN25" s="57">
        <f>Neaps!P26</f>
        <v>4.738099514942759E-2</v>
      </c>
      <c r="AO25" s="34">
        <f>AM25-Neaps!$A$3</f>
        <v>-14</v>
      </c>
      <c r="AP25" s="17">
        <f>'Wave particle velocity'!$B$15*'Wave particle velocity'!$B$13*((0.5*'Wave particle velocity'!$B$3)^2)*(EXP(2*'Wave particle velocity'!$B$15*AO25))</f>
        <v>7.2125551796828368E-5</v>
      </c>
      <c r="AQ25" s="18">
        <f>0.5*'Wave particle velocity'!$B$13*EXP('Wave particle velocity'!$B$15*AO25)*COS(('Wave particle velocity'!$B$15*'Wave particle velocity'!$B$8)-('Wave particle velocity'!$B$13*'Wave particle velocity'!$B$9))</f>
        <v>-1.0791213343178362E-2</v>
      </c>
      <c r="AR25" s="37">
        <f t="shared" si="5"/>
        <v>3.6661907358046059E-2</v>
      </c>
      <c r="AS25" s="13">
        <f>Neaps!Q26</f>
        <v>18</v>
      </c>
      <c r="AT25" s="13">
        <f>Neaps!R26</f>
        <v>0.37904796119542072</v>
      </c>
      <c r="AU25" s="34">
        <f>AS25-Neaps!$A$3</f>
        <v>-14</v>
      </c>
      <c r="AV25" s="17">
        <f>'Wave particle velocity'!$B$15*'Wave particle velocity'!$B$13*((0.5*'Wave particle velocity'!$B$3)^2)*(EXP(2*'Wave particle velocity'!$B$15*AU25))</f>
        <v>7.2125551796828368E-5</v>
      </c>
      <c r="AW25" s="18">
        <f>0.5*'Wave particle velocity'!$B$13*EXP('Wave particle velocity'!$B$15*AU25)*COS(('Wave particle velocity'!$B$15*'Wave particle velocity'!$B$8)-('Wave particle velocity'!$B$13*'Wave particle velocity'!$B$9))</f>
        <v>-1.0791213343178362E-2</v>
      </c>
      <c r="AX25" s="37">
        <f t="shared" si="17"/>
        <v>0.36832887340403919</v>
      </c>
      <c r="AY25" s="13">
        <f>Neaps!S26</f>
        <v>18</v>
      </c>
      <c r="AZ25" s="13">
        <f>Neaps!T26</f>
        <v>0.71071492724141383</v>
      </c>
      <c r="BA25" s="34">
        <f>AY25-Neaps!$A$3</f>
        <v>-14</v>
      </c>
      <c r="BB25" s="17">
        <f>'Wave particle velocity'!$B$15*'Wave particle velocity'!$B$13*((0.5*'Wave particle velocity'!$B$3)^2)*(EXP(2*'Wave particle velocity'!$B$15*BA25))</f>
        <v>7.2125551796828368E-5</v>
      </c>
      <c r="BC25" s="18">
        <f>0.5*'Wave particle velocity'!$B$13*EXP('Wave particle velocity'!$B$15*BA25)*COS(('Wave particle velocity'!$B$15*'Wave particle velocity'!$B$8)-('Wave particle velocity'!$B$13*'Wave particle velocity'!$B$9))</f>
        <v>-1.0791213343178362E-2</v>
      </c>
      <c r="BD25" s="37">
        <f t="shared" si="18"/>
        <v>0.6999958394500323</v>
      </c>
      <c r="BE25" s="13">
        <f>Neaps!U26</f>
        <v>18</v>
      </c>
      <c r="BF25" s="13">
        <f>Neaps!V26</f>
        <v>0.94761990298855181</v>
      </c>
      <c r="BG25" s="34">
        <f>BE25-Neaps!$A$3</f>
        <v>-14</v>
      </c>
      <c r="BH25" s="17">
        <f>'Wave particle velocity'!$B$15*'Wave particle velocity'!$B$13*((0.5*'Wave particle velocity'!$B$3)^2)*(EXP(2*'Wave particle velocity'!$B$15*BG25))</f>
        <v>7.2125551796828368E-5</v>
      </c>
      <c r="BI25" s="18">
        <f>0.5*'Wave particle velocity'!$B$13*EXP('Wave particle velocity'!$B$15*BG25)*COS(('Wave particle velocity'!$B$15*'Wave particle velocity'!$B$8)-('Wave particle velocity'!$B$13*'Wave particle velocity'!$B$9))</f>
        <v>-1.0791213343178362E-2</v>
      </c>
      <c r="BJ25" s="37">
        <f t="shared" si="19"/>
        <v>0.93690081519717028</v>
      </c>
      <c r="BK25" s="13">
        <f>Neaps!W26</f>
        <v>18</v>
      </c>
      <c r="BL25" s="13">
        <f>Neaps!X26</f>
        <v>0.90023890783912419</v>
      </c>
      <c r="BM25" s="34">
        <f>BK25-Neaps!$A$3</f>
        <v>-14</v>
      </c>
      <c r="BN25" s="17">
        <f>'Wave particle velocity'!$B$15*'Wave particle velocity'!$B$13*((0.5*'Wave particle velocity'!$B$3)^2)*(EXP(2*'Wave particle velocity'!$B$15*BM25))</f>
        <v>7.2125551796828368E-5</v>
      </c>
      <c r="BO25" s="18">
        <f>0.5*'Wave particle velocity'!$B$13*EXP('Wave particle velocity'!$B$15*BM25)*COS(('Wave particle velocity'!$B$15*'Wave particle velocity'!$B$8)-('Wave particle velocity'!$B$13*'Wave particle velocity'!$B$9))</f>
        <v>-1.0791213343178362E-2</v>
      </c>
      <c r="BP25" s="37">
        <f t="shared" si="20"/>
        <v>0.88951982004774266</v>
      </c>
      <c r="BQ25" s="13">
        <f>Neaps!Y26</f>
        <v>18</v>
      </c>
      <c r="BR25" s="13">
        <f>Neaps!Z26</f>
        <v>0.6159529369425587</v>
      </c>
      <c r="BS25" s="34">
        <f>BQ25-Neaps!$A$3</f>
        <v>-14</v>
      </c>
      <c r="BT25" s="17">
        <f>'Wave particle velocity'!$B$15*'Wave particle velocity'!$B$13*((0.5*'Wave particle velocity'!$B$3)^2)*(EXP(2*'Wave particle velocity'!$B$15*BS25))</f>
        <v>7.2125551796828368E-5</v>
      </c>
      <c r="BU25" s="18">
        <f>0.5*'Wave particle velocity'!$B$13*EXP('Wave particle velocity'!$B$15*BS25)*COS(('Wave particle velocity'!$B$15*'Wave particle velocity'!$B$8)-('Wave particle velocity'!$B$13*'Wave particle velocity'!$B$9))</f>
        <v>-1.0791213343178362E-2</v>
      </c>
      <c r="BV25" s="37">
        <f t="shared" si="21"/>
        <v>0.60523384915117717</v>
      </c>
    </row>
    <row r="26" spans="2:74" ht="15.75" thickBot="1">
      <c r="B26" s="16">
        <f>Neaps!C27</f>
        <v>17</v>
      </c>
      <c r="C26" s="34">
        <f>Neaps!D27</f>
        <v>9.3991362989166646E-2</v>
      </c>
      <c r="D26" s="34">
        <f>B26-Neaps!$A$3</f>
        <v>-15</v>
      </c>
      <c r="E26" s="17">
        <f>'Wave particle velocity'!$B$15*'Wave particle velocity'!$B$13*((0.5*'Wave particle velocity'!$B$3)^2)*(EXP(2*'Wave particle velocity'!$B$15*D26))</f>
        <v>3.8478122946982463E-5</v>
      </c>
      <c r="F26" s="18">
        <f>0.5*'Wave particle velocity'!$B$13*EXP('Wave particle velocity'!$B$15*D26)*COS(('Wave particle velocity'!$B$15*'Wave particle velocity'!$B$8)-('Wave particle velocity'!$B$13*'Wave particle velocity'!$B$9))</f>
        <v>-7.881931265537526E-3</v>
      </c>
      <c r="G26" s="37">
        <f t="shared" si="11"/>
        <v>8.6147909846576096E-2</v>
      </c>
      <c r="H26" s="18">
        <f>Neaps!I27</f>
        <v>17</v>
      </c>
      <c r="I26" s="13">
        <f>Neaps!E27</f>
        <v>17</v>
      </c>
      <c r="J26" s="13">
        <f>Neaps!F27</f>
        <v>0.56394817793499985</v>
      </c>
      <c r="K26" s="34">
        <f>I26-Neaps!$A$3</f>
        <v>-15</v>
      </c>
      <c r="L26" s="17">
        <f>'Wave particle velocity'!$B$15*'Wave particle velocity'!$B$13*((0.5*'Wave particle velocity'!$B$3)^2)*(EXP(2*'Wave particle velocity'!$B$15*K26))</f>
        <v>3.8478122946982463E-5</v>
      </c>
      <c r="M26" s="18">
        <f>0.5*'Wave particle velocity'!$B$13*EXP('Wave particle velocity'!$B$15*K26)*COS(('Wave particle velocity'!$B$15*'Wave particle velocity'!$B$8)-('Wave particle velocity'!$B$13*'Wave particle velocity'!$B$9))</f>
        <v>-7.881931265537526E-3</v>
      </c>
      <c r="N26" s="37">
        <f t="shared" si="10"/>
        <v>0.55610472479240936</v>
      </c>
      <c r="O26" s="13">
        <f>Neaps!G27</f>
        <v>17</v>
      </c>
      <c r="P26" s="13">
        <f>Neaps!H27</f>
        <v>0.93991362989166638</v>
      </c>
      <c r="Q26" s="34">
        <f>O26-Neaps!$A$3</f>
        <v>-15</v>
      </c>
      <c r="R26" s="17">
        <f>'Wave particle velocity'!$B$15*'Wave particle velocity'!$B$13*((0.5*'Wave particle velocity'!$B$3)^2)*(EXP(2*'Wave particle velocity'!$B$15*Q26))</f>
        <v>3.8478122946982463E-5</v>
      </c>
      <c r="S26" s="18">
        <f>0.5*'Wave particle velocity'!$B$13*EXP('Wave particle velocity'!$B$15*Q26)*COS(('Wave particle velocity'!$B$15*'Wave particle velocity'!$B$8)-('Wave particle velocity'!$B$13*'Wave particle velocity'!$B$9))</f>
        <v>-7.881931265537526E-3</v>
      </c>
      <c r="T26" s="37">
        <f t="shared" si="9"/>
        <v>0.93207017674907588</v>
      </c>
      <c r="U26" s="13">
        <f>Neaps!I27</f>
        <v>17</v>
      </c>
      <c r="V26" s="13">
        <f>Neaps!J27</f>
        <v>0.98690931138624993</v>
      </c>
      <c r="W26" s="34">
        <f>U26-Neaps!$A$3</f>
        <v>-15</v>
      </c>
      <c r="X26" s="17">
        <f>'Wave particle velocity'!$B$15*'Wave particle velocity'!$B$13*((0.5*'Wave particle velocity'!$B$3)^2)*(EXP(2*'Wave particle velocity'!$B$15*W26))</f>
        <v>3.8478122946982463E-5</v>
      </c>
      <c r="Y26" s="18">
        <f>0.5*'Wave particle velocity'!$B$13*EXP('Wave particle velocity'!$B$15*W26)*COS(('Wave particle velocity'!$B$15*'Wave particle velocity'!$B$8)-('Wave particle velocity'!$B$13*'Wave particle velocity'!$B$9))</f>
        <v>-7.881931265537526E-3</v>
      </c>
      <c r="Z26" s="37">
        <f t="shared" si="8"/>
        <v>0.97906585824365944</v>
      </c>
      <c r="AA26" s="13">
        <f>Neaps!K27</f>
        <v>17</v>
      </c>
      <c r="AB26" s="57">
        <f>Neaps!L27</f>
        <v>0.84592226690249983</v>
      </c>
      <c r="AC26" s="34">
        <f>AA26-Neaps!$A$3</f>
        <v>-15</v>
      </c>
      <c r="AD26" s="17">
        <f>'Wave particle velocity'!$B$15*'Wave particle velocity'!$B$13*((0.5*'Wave particle velocity'!$B$3)^2)*(EXP(2*'Wave particle velocity'!$B$15*AC26))</f>
        <v>3.8478122946982463E-5</v>
      </c>
      <c r="AE26" s="18">
        <f>0.5*'Wave particle velocity'!$B$13*EXP('Wave particle velocity'!$B$15*AC26)*COS(('Wave particle velocity'!$B$15*'Wave particle velocity'!$B$8)-('Wave particle velocity'!$B$13*'Wave particle velocity'!$B$9))</f>
        <v>-7.881931265537526E-3</v>
      </c>
      <c r="AF26" s="37">
        <f t="shared" si="7"/>
        <v>0.83807881375990934</v>
      </c>
      <c r="AG26" s="13">
        <f>Neaps!M27</f>
        <v>17</v>
      </c>
      <c r="AH26" s="57">
        <f>Neaps!N27</f>
        <v>0.37596545195666659</v>
      </c>
      <c r="AI26" s="34">
        <f>AG26-Neaps!$A$3</f>
        <v>-15</v>
      </c>
      <c r="AJ26" s="17">
        <f>'Wave particle velocity'!$B$15*'Wave particle velocity'!$B$13*((0.5*'Wave particle velocity'!$B$3)^2)*(EXP(2*'Wave particle velocity'!$B$15*AI26))</f>
        <v>3.8478122946982463E-5</v>
      </c>
      <c r="AK26" s="18">
        <f>0.5*'Wave particle velocity'!$B$13*EXP('Wave particle velocity'!$B$15*AI26)*COS(('Wave particle velocity'!$B$15*'Wave particle velocity'!$B$8)-('Wave particle velocity'!$B$13*'Wave particle velocity'!$B$9))</f>
        <v>-7.881931265537526E-3</v>
      </c>
      <c r="AL26" s="37">
        <f t="shared" si="6"/>
        <v>0.36812199881407603</v>
      </c>
      <c r="AM26" s="13">
        <f>Neaps!O27</f>
        <v>17</v>
      </c>
      <c r="AN26" s="57">
        <f>Neaps!P27</f>
        <v>4.6995681494583323E-2</v>
      </c>
      <c r="AO26" s="34">
        <f>AM26-Neaps!$A$3</f>
        <v>-15</v>
      </c>
      <c r="AP26" s="17">
        <f>'Wave particle velocity'!$B$15*'Wave particle velocity'!$B$13*((0.5*'Wave particle velocity'!$B$3)^2)*(EXP(2*'Wave particle velocity'!$B$15*AO26))</f>
        <v>3.8478122946982463E-5</v>
      </c>
      <c r="AQ26" s="18">
        <f>0.5*'Wave particle velocity'!$B$13*EXP('Wave particle velocity'!$B$15*AO26)*COS(('Wave particle velocity'!$B$15*'Wave particle velocity'!$B$8)-('Wave particle velocity'!$B$13*'Wave particle velocity'!$B$9))</f>
        <v>-7.881931265537526E-3</v>
      </c>
      <c r="AR26" s="37">
        <f t="shared" si="5"/>
        <v>3.9152228351992779E-2</v>
      </c>
      <c r="AS26" s="13">
        <f>Neaps!Q27</f>
        <v>17</v>
      </c>
      <c r="AT26" s="13">
        <f>Neaps!R27</f>
        <v>0.37596545195666659</v>
      </c>
      <c r="AU26" s="34">
        <f>AS26-Neaps!$A$3</f>
        <v>-15</v>
      </c>
      <c r="AV26" s="17">
        <f>'Wave particle velocity'!$B$15*'Wave particle velocity'!$B$13*((0.5*'Wave particle velocity'!$B$3)^2)*(EXP(2*'Wave particle velocity'!$B$15*AU26))</f>
        <v>3.8478122946982463E-5</v>
      </c>
      <c r="AW26" s="18">
        <f>0.5*'Wave particle velocity'!$B$13*EXP('Wave particle velocity'!$B$15*AU26)*COS(('Wave particle velocity'!$B$15*'Wave particle velocity'!$B$8)-('Wave particle velocity'!$B$13*'Wave particle velocity'!$B$9))</f>
        <v>-7.881931265537526E-3</v>
      </c>
      <c r="AX26" s="37">
        <f t="shared" si="17"/>
        <v>0.36812199881407603</v>
      </c>
      <c r="AY26" s="13">
        <f>Neaps!S27</f>
        <v>17</v>
      </c>
      <c r="AZ26" s="13">
        <f>Neaps!T27</f>
        <v>0.70493522241874984</v>
      </c>
      <c r="BA26" s="34">
        <f>AY26-Neaps!$A$3</f>
        <v>-15</v>
      </c>
      <c r="BB26" s="17">
        <f>'Wave particle velocity'!$B$15*'Wave particle velocity'!$B$13*((0.5*'Wave particle velocity'!$B$3)^2)*(EXP(2*'Wave particle velocity'!$B$15*BA26))</f>
        <v>3.8478122946982463E-5</v>
      </c>
      <c r="BC26" s="18">
        <f>0.5*'Wave particle velocity'!$B$13*EXP('Wave particle velocity'!$B$15*BA26)*COS(('Wave particle velocity'!$B$15*'Wave particle velocity'!$B$8)-('Wave particle velocity'!$B$13*'Wave particle velocity'!$B$9))</f>
        <v>-7.881931265537526E-3</v>
      </c>
      <c r="BD26" s="37">
        <f t="shared" si="18"/>
        <v>0.69709176927615935</v>
      </c>
      <c r="BE26" s="13">
        <f>Neaps!U27</f>
        <v>17</v>
      </c>
      <c r="BF26" s="13">
        <f>Neaps!V27</f>
        <v>0.93991362989166638</v>
      </c>
      <c r="BG26" s="34">
        <f>BE26-Neaps!$A$3</f>
        <v>-15</v>
      </c>
      <c r="BH26" s="17">
        <f>'Wave particle velocity'!$B$15*'Wave particle velocity'!$B$13*((0.5*'Wave particle velocity'!$B$3)^2)*(EXP(2*'Wave particle velocity'!$B$15*BG26))</f>
        <v>3.8478122946982463E-5</v>
      </c>
      <c r="BI26" s="18">
        <f>0.5*'Wave particle velocity'!$B$13*EXP('Wave particle velocity'!$B$15*BG26)*COS(('Wave particle velocity'!$B$15*'Wave particle velocity'!$B$8)-('Wave particle velocity'!$B$13*'Wave particle velocity'!$B$9))</f>
        <v>-7.881931265537526E-3</v>
      </c>
      <c r="BJ26" s="37">
        <f t="shared" si="19"/>
        <v>0.93207017674907588</v>
      </c>
      <c r="BK26" s="13">
        <f>Neaps!W27</f>
        <v>17</v>
      </c>
      <c r="BL26" s="13">
        <f>Neaps!X27</f>
        <v>0.89291794839708305</v>
      </c>
      <c r="BM26" s="34">
        <f>BK26-Neaps!$A$3</f>
        <v>-15</v>
      </c>
      <c r="BN26" s="17">
        <f>'Wave particle velocity'!$B$15*'Wave particle velocity'!$B$13*((0.5*'Wave particle velocity'!$B$3)^2)*(EXP(2*'Wave particle velocity'!$B$15*BM26))</f>
        <v>3.8478122946982463E-5</v>
      </c>
      <c r="BO26" s="18">
        <f>0.5*'Wave particle velocity'!$B$13*EXP('Wave particle velocity'!$B$15*BM26)*COS(('Wave particle velocity'!$B$15*'Wave particle velocity'!$B$8)-('Wave particle velocity'!$B$13*'Wave particle velocity'!$B$9))</f>
        <v>-7.881931265537526E-3</v>
      </c>
      <c r="BP26" s="37">
        <f t="shared" si="20"/>
        <v>0.88507449525449255</v>
      </c>
      <c r="BQ26" s="13">
        <f>Neaps!Y27</f>
        <v>17</v>
      </c>
      <c r="BR26" s="13">
        <f>Neaps!Z27</f>
        <v>0.61094385942958318</v>
      </c>
      <c r="BS26" s="34">
        <f>BQ26-Neaps!$A$3</f>
        <v>-15</v>
      </c>
      <c r="BT26" s="17">
        <f>'Wave particle velocity'!$B$15*'Wave particle velocity'!$B$13*((0.5*'Wave particle velocity'!$B$3)^2)*(EXP(2*'Wave particle velocity'!$B$15*BS26))</f>
        <v>3.8478122946982463E-5</v>
      </c>
      <c r="BU26" s="18">
        <f>0.5*'Wave particle velocity'!$B$13*EXP('Wave particle velocity'!$B$15*BS26)*COS(('Wave particle velocity'!$B$15*'Wave particle velocity'!$B$8)-('Wave particle velocity'!$B$13*'Wave particle velocity'!$B$9))</f>
        <v>-7.881931265537526E-3</v>
      </c>
      <c r="BV26" s="37">
        <f t="shared" si="21"/>
        <v>0.60310040628699269</v>
      </c>
    </row>
    <row r="27" spans="2:74" ht="15.75" thickBot="1">
      <c r="B27" s="16">
        <f>Neaps!C28</f>
        <v>16</v>
      </c>
      <c r="C27" s="34">
        <f>Neaps!D28</f>
        <v>9.3180850579470717E-2</v>
      </c>
      <c r="D27" s="34">
        <f>B27-Neaps!$A$3</f>
        <v>-16</v>
      </c>
      <c r="E27" s="17">
        <f>'Wave particle velocity'!$B$15*'Wave particle velocity'!$B$13*((0.5*'Wave particle velocity'!$B$3)^2)*(EXP(2*'Wave particle velocity'!$B$15*D27))</f>
        <v>2.0527620359754447E-5</v>
      </c>
      <c r="F27" s="18">
        <f>0.5*'Wave particle velocity'!$B$13*EXP('Wave particle velocity'!$B$15*D27)*COS(('Wave particle velocity'!$B$15*'Wave particle velocity'!$B$8)-('Wave particle velocity'!$B$13*'Wave particle velocity'!$B$9))</f>
        <v>-5.7569838070090666E-3</v>
      </c>
      <c r="G27" s="37">
        <f t="shared" si="11"/>
        <v>8.7444394392821409E-2</v>
      </c>
      <c r="H27" s="18">
        <f>Neaps!I28</f>
        <v>16</v>
      </c>
      <c r="I27" s="13">
        <f>Neaps!E28</f>
        <v>16</v>
      </c>
      <c r="J27" s="13">
        <f>Neaps!F28</f>
        <v>0.55908510347682427</v>
      </c>
      <c r="K27" s="34">
        <f>I27-Neaps!$A$3</f>
        <v>-16</v>
      </c>
      <c r="L27" s="17">
        <f>'Wave particle velocity'!$B$15*'Wave particle velocity'!$B$13*((0.5*'Wave particle velocity'!$B$3)^2)*(EXP(2*'Wave particle velocity'!$B$15*K27))</f>
        <v>2.0527620359754447E-5</v>
      </c>
      <c r="M27" s="18">
        <f>0.5*'Wave particle velocity'!$B$13*EXP('Wave particle velocity'!$B$15*K27)*COS(('Wave particle velocity'!$B$15*'Wave particle velocity'!$B$8)-('Wave particle velocity'!$B$13*'Wave particle velocity'!$B$9))</f>
        <v>-5.7569838070090666E-3</v>
      </c>
      <c r="N27" s="37">
        <f t="shared" si="10"/>
        <v>0.55334864729017497</v>
      </c>
      <c r="O27" s="13">
        <f>Neaps!G28</f>
        <v>16</v>
      </c>
      <c r="P27" s="13">
        <f>Neaps!H28</f>
        <v>0.9318085057947072</v>
      </c>
      <c r="Q27" s="34">
        <f>O27-Neaps!$A$3</f>
        <v>-16</v>
      </c>
      <c r="R27" s="17">
        <f>'Wave particle velocity'!$B$15*'Wave particle velocity'!$B$13*((0.5*'Wave particle velocity'!$B$3)^2)*(EXP(2*'Wave particle velocity'!$B$15*Q27))</f>
        <v>2.0527620359754447E-5</v>
      </c>
      <c r="S27" s="18">
        <f>0.5*'Wave particle velocity'!$B$13*EXP('Wave particle velocity'!$B$15*Q27)*COS(('Wave particle velocity'!$B$15*'Wave particle velocity'!$B$8)-('Wave particle velocity'!$B$13*'Wave particle velocity'!$B$9))</f>
        <v>-5.7569838070090666E-3</v>
      </c>
      <c r="T27" s="37">
        <f t="shared" si="9"/>
        <v>0.92607204960805789</v>
      </c>
      <c r="U27" s="13">
        <f>Neaps!I28</f>
        <v>16</v>
      </c>
      <c r="V27" s="13">
        <f>Neaps!J28</f>
        <v>0.97839893108444265</v>
      </c>
      <c r="W27" s="34">
        <f>U27-Neaps!$A$3</f>
        <v>-16</v>
      </c>
      <c r="X27" s="17">
        <f>'Wave particle velocity'!$B$15*'Wave particle velocity'!$B$13*((0.5*'Wave particle velocity'!$B$3)^2)*(EXP(2*'Wave particle velocity'!$B$15*W27))</f>
        <v>2.0527620359754447E-5</v>
      </c>
      <c r="Y27" s="18">
        <f>0.5*'Wave particle velocity'!$B$13*EXP('Wave particle velocity'!$B$15*W27)*COS(('Wave particle velocity'!$B$15*'Wave particle velocity'!$B$8)-('Wave particle velocity'!$B$13*'Wave particle velocity'!$B$9))</f>
        <v>-5.7569838070090666E-3</v>
      </c>
      <c r="Z27" s="37">
        <f t="shared" si="8"/>
        <v>0.97266247489779334</v>
      </c>
      <c r="AA27" s="13">
        <f>Neaps!K28</f>
        <v>16</v>
      </c>
      <c r="AB27" s="57">
        <f>Neaps!L28</f>
        <v>0.83862765521523652</v>
      </c>
      <c r="AC27" s="34">
        <f>AA27-Neaps!$A$3</f>
        <v>-16</v>
      </c>
      <c r="AD27" s="17">
        <f>'Wave particle velocity'!$B$15*'Wave particle velocity'!$B$13*((0.5*'Wave particle velocity'!$B$3)^2)*(EXP(2*'Wave particle velocity'!$B$15*AC27))</f>
        <v>2.0527620359754447E-5</v>
      </c>
      <c r="AE27" s="18">
        <f>0.5*'Wave particle velocity'!$B$13*EXP('Wave particle velocity'!$B$15*AC27)*COS(('Wave particle velocity'!$B$15*'Wave particle velocity'!$B$8)-('Wave particle velocity'!$B$13*'Wave particle velocity'!$B$9))</f>
        <v>-5.7569838070090666E-3</v>
      </c>
      <c r="AF27" s="37">
        <f t="shared" si="7"/>
        <v>0.83289119902858721</v>
      </c>
      <c r="AG27" s="13">
        <f>Neaps!M28</f>
        <v>16</v>
      </c>
      <c r="AH27" s="57">
        <f>Neaps!N28</f>
        <v>0.37272340231788287</v>
      </c>
      <c r="AI27" s="34">
        <f>AG27-Neaps!$A$3</f>
        <v>-16</v>
      </c>
      <c r="AJ27" s="17">
        <f>'Wave particle velocity'!$B$15*'Wave particle velocity'!$B$13*((0.5*'Wave particle velocity'!$B$3)^2)*(EXP(2*'Wave particle velocity'!$B$15*AI27))</f>
        <v>2.0527620359754447E-5</v>
      </c>
      <c r="AK27" s="18">
        <f>0.5*'Wave particle velocity'!$B$13*EXP('Wave particle velocity'!$B$15*AI27)*COS(('Wave particle velocity'!$B$15*'Wave particle velocity'!$B$8)-('Wave particle velocity'!$B$13*'Wave particle velocity'!$B$9))</f>
        <v>-5.7569838070090666E-3</v>
      </c>
      <c r="AL27" s="37">
        <f t="shared" si="6"/>
        <v>0.36698694613123356</v>
      </c>
      <c r="AM27" s="13">
        <f>Neaps!O28</f>
        <v>16</v>
      </c>
      <c r="AN27" s="57">
        <f>Neaps!P28</f>
        <v>4.6590425289735359E-2</v>
      </c>
      <c r="AO27" s="34">
        <f>AM27-Neaps!$A$3</f>
        <v>-16</v>
      </c>
      <c r="AP27" s="17">
        <f>'Wave particle velocity'!$B$15*'Wave particle velocity'!$B$13*((0.5*'Wave particle velocity'!$B$3)^2)*(EXP(2*'Wave particle velocity'!$B$15*AO27))</f>
        <v>2.0527620359754447E-5</v>
      </c>
      <c r="AQ27" s="18">
        <f>0.5*'Wave particle velocity'!$B$13*EXP('Wave particle velocity'!$B$15*AO27)*COS(('Wave particle velocity'!$B$15*'Wave particle velocity'!$B$8)-('Wave particle velocity'!$B$13*'Wave particle velocity'!$B$9))</f>
        <v>-5.7569838070090666E-3</v>
      </c>
      <c r="AR27" s="37">
        <f t="shared" si="5"/>
        <v>4.0853969103086051E-2</v>
      </c>
      <c r="AS27" s="13">
        <f>Neaps!Q28</f>
        <v>16</v>
      </c>
      <c r="AT27" s="13">
        <f>Neaps!R28</f>
        <v>0.37272340231788287</v>
      </c>
      <c r="AU27" s="34">
        <f>AS27-Neaps!$A$3</f>
        <v>-16</v>
      </c>
      <c r="AV27" s="17">
        <f>'Wave particle velocity'!$B$15*'Wave particle velocity'!$B$13*((0.5*'Wave particle velocity'!$B$3)^2)*(EXP(2*'Wave particle velocity'!$B$15*AU27))</f>
        <v>2.0527620359754447E-5</v>
      </c>
      <c r="AW27" s="18">
        <f>0.5*'Wave particle velocity'!$B$13*EXP('Wave particle velocity'!$B$15*AU27)*COS(('Wave particle velocity'!$B$15*'Wave particle velocity'!$B$8)-('Wave particle velocity'!$B$13*'Wave particle velocity'!$B$9))</f>
        <v>-5.7569838070090666E-3</v>
      </c>
      <c r="AX27" s="37">
        <f t="shared" si="17"/>
        <v>0.36698694613123356</v>
      </c>
      <c r="AY27" s="13">
        <f>Neaps!S28</f>
        <v>16</v>
      </c>
      <c r="AZ27" s="13">
        <f>Neaps!T28</f>
        <v>0.6988563793460304</v>
      </c>
      <c r="BA27" s="34">
        <f>AY27-Neaps!$A$3</f>
        <v>-16</v>
      </c>
      <c r="BB27" s="17">
        <f>'Wave particle velocity'!$B$15*'Wave particle velocity'!$B$13*((0.5*'Wave particle velocity'!$B$3)^2)*(EXP(2*'Wave particle velocity'!$B$15*BA27))</f>
        <v>2.0527620359754447E-5</v>
      </c>
      <c r="BC27" s="18">
        <f>0.5*'Wave particle velocity'!$B$13*EXP('Wave particle velocity'!$B$15*BA27)*COS(('Wave particle velocity'!$B$15*'Wave particle velocity'!$B$8)-('Wave particle velocity'!$B$13*'Wave particle velocity'!$B$9))</f>
        <v>-5.7569838070090666E-3</v>
      </c>
      <c r="BD27" s="37">
        <f t="shared" si="18"/>
        <v>0.69311992315938109</v>
      </c>
      <c r="BE27" s="13">
        <f>Neaps!U28</f>
        <v>16</v>
      </c>
      <c r="BF27" s="13">
        <f>Neaps!V28</f>
        <v>0.9318085057947072</v>
      </c>
      <c r="BG27" s="34">
        <f>BE27-Neaps!$A$3</f>
        <v>-16</v>
      </c>
      <c r="BH27" s="17">
        <f>'Wave particle velocity'!$B$15*'Wave particle velocity'!$B$13*((0.5*'Wave particle velocity'!$B$3)^2)*(EXP(2*'Wave particle velocity'!$B$15*BG27))</f>
        <v>2.0527620359754447E-5</v>
      </c>
      <c r="BI27" s="18">
        <f>0.5*'Wave particle velocity'!$B$13*EXP('Wave particle velocity'!$B$15*BG27)*COS(('Wave particle velocity'!$B$15*'Wave particle velocity'!$B$8)-('Wave particle velocity'!$B$13*'Wave particle velocity'!$B$9))</f>
        <v>-5.7569838070090666E-3</v>
      </c>
      <c r="BJ27" s="37">
        <f t="shared" si="19"/>
        <v>0.92607204960805789</v>
      </c>
      <c r="BK27" s="13">
        <f>Neaps!W28</f>
        <v>16</v>
      </c>
      <c r="BL27" s="13">
        <f>Neaps!X28</f>
        <v>0.88521808050497175</v>
      </c>
      <c r="BM27" s="34">
        <f>BK27-Neaps!$A$3</f>
        <v>-16</v>
      </c>
      <c r="BN27" s="17">
        <f>'Wave particle velocity'!$B$15*'Wave particle velocity'!$B$13*((0.5*'Wave particle velocity'!$B$3)^2)*(EXP(2*'Wave particle velocity'!$B$15*BM27))</f>
        <v>2.0527620359754447E-5</v>
      </c>
      <c r="BO27" s="18">
        <f>0.5*'Wave particle velocity'!$B$13*EXP('Wave particle velocity'!$B$15*BM27)*COS(('Wave particle velocity'!$B$15*'Wave particle velocity'!$B$8)-('Wave particle velocity'!$B$13*'Wave particle velocity'!$B$9))</f>
        <v>-5.7569838070090666E-3</v>
      </c>
      <c r="BP27" s="37">
        <f t="shared" si="20"/>
        <v>0.87948162431832244</v>
      </c>
      <c r="BQ27" s="13">
        <f>Neaps!Y28</f>
        <v>16</v>
      </c>
      <c r="BR27" s="13">
        <f>Neaps!Z28</f>
        <v>0.60567552876655972</v>
      </c>
      <c r="BS27" s="34">
        <f>BQ27-Neaps!$A$3</f>
        <v>-16</v>
      </c>
      <c r="BT27" s="17">
        <f>'Wave particle velocity'!$B$15*'Wave particle velocity'!$B$13*((0.5*'Wave particle velocity'!$B$3)^2)*(EXP(2*'Wave particle velocity'!$B$15*BS27))</f>
        <v>2.0527620359754447E-5</v>
      </c>
      <c r="BU27" s="18">
        <f>0.5*'Wave particle velocity'!$B$13*EXP('Wave particle velocity'!$B$15*BS27)*COS(('Wave particle velocity'!$B$15*'Wave particle velocity'!$B$8)-('Wave particle velocity'!$B$13*'Wave particle velocity'!$B$9))</f>
        <v>-5.7569838070090666E-3</v>
      </c>
      <c r="BV27" s="37">
        <f t="shared" si="21"/>
        <v>0.59993907257991042</v>
      </c>
    </row>
    <row r="28" spans="2:74" ht="15.75" thickBot="1">
      <c r="B28" s="16">
        <f>Neaps!C29</f>
        <v>15</v>
      </c>
      <c r="C28" s="34">
        <f>Neaps!D29</f>
        <v>9.2325691075750574E-2</v>
      </c>
      <c r="D28" s="34">
        <f>B28-Neaps!$A$3</f>
        <v>-17</v>
      </c>
      <c r="E28" s="17">
        <f>'Wave particle velocity'!$B$15*'Wave particle velocity'!$B$13*((0.5*'Wave particle velocity'!$B$3)^2)*(EXP(2*'Wave particle velocity'!$B$15*D28))</f>
        <v>1.0951241000368268E-5</v>
      </c>
      <c r="F28" s="18">
        <f>0.5*'Wave particle velocity'!$B$13*EXP('Wave particle velocity'!$B$15*D28)*COS(('Wave particle velocity'!$B$15*'Wave particle velocity'!$B$8)-('Wave particle velocity'!$B$13*'Wave particle velocity'!$B$9))</f>
        <v>-4.2049164649628993E-3</v>
      </c>
      <c r="G28" s="37">
        <f t="shared" si="11"/>
        <v>8.8131725851788037E-2</v>
      </c>
      <c r="H28" s="18">
        <f>Neaps!I29</f>
        <v>15</v>
      </c>
      <c r="I28" s="13">
        <f>Neaps!E29</f>
        <v>15</v>
      </c>
      <c r="J28" s="13">
        <f>Neaps!F29</f>
        <v>0.55395414645450336</v>
      </c>
      <c r="K28" s="34">
        <f>I28-Neaps!$A$3</f>
        <v>-17</v>
      </c>
      <c r="L28" s="17">
        <f>'Wave particle velocity'!$B$15*'Wave particle velocity'!$B$13*((0.5*'Wave particle velocity'!$B$3)^2)*(EXP(2*'Wave particle velocity'!$B$15*K28))</f>
        <v>1.0951241000368268E-5</v>
      </c>
      <c r="M28" s="18">
        <f>0.5*'Wave particle velocity'!$B$13*EXP('Wave particle velocity'!$B$15*K28)*COS(('Wave particle velocity'!$B$15*'Wave particle velocity'!$B$8)-('Wave particle velocity'!$B$13*'Wave particle velocity'!$B$9))</f>
        <v>-4.2049164649628993E-3</v>
      </c>
      <c r="N28" s="37">
        <f t="shared" si="10"/>
        <v>0.54976018123054082</v>
      </c>
      <c r="O28" s="13">
        <f>Neaps!G29</f>
        <v>15</v>
      </c>
      <c r="P28" s="13">
        <f>Neaps!H29</f>
        <v>0.9232569107575056</v>
      </c>
      <c r="Q28" s="34">
        <f>O28-Neaps!$A$3</f>
        <v>-17</v>
      </c>
      <c r="R28" s="17">
        <f>'Wave particle velocity'!$B$15*'Wave particle velocity'!$B$13*((0.5*'Wave particle velocity'!$B$3)^2)*(EXP(2*'Wave particle velocity'!$B$15*Q28))</f>
        <v>1.0951241000368268E-5</v>
      </c>
      <c r="S28" s="18">
        <f>0.5*'Wave particle velocity'!$B$13*EXP('Wave particle velocity'!$B$15*Q28)*COS(('Wave particle velocity'!$B$15*'Wave particle velocity'!$B$8)-('Wave particle velocity'!$B$13*'Wave particle velocity'!$B$9))</f>
        <v>-4.2049164649628993E-3</v>
      </c>
      <c r="T28" s="37">
        <f t="shared" si="9"/>
        <v>0.91906294553354306</v>
      </c>
      <c r="U28" s="13">
        <f>Neaps!I29</f>
        <v>15</v>
      </c>
      <c r="V28" s="13">
        <f>Neaps!J29</f>
        <v>0.96941975629538102</v>
      </c>
      <c r="W28" s="34">
        <f>U28-Neaps!$A$3</f>
        <v>-17</v>
      </c>
      <c r="X28" s="17">
        <f>'Wave particle velocity'!$B$15*'Wave particle velocity'!$B$13*((0.5*'Wave particle velocity'!$B$3)^2)*(EXP(2*'Wave particle velocity'!$B$15*W28))</f>
        <v>1.0951241000368268E-5</v>
      </c>
      <c r="Y28" s="18">
        <f>0.5*'Wave particle velocity'!$B$13*EXP('Wave particle velocity'!$B$15*W28)*COS(('Wave particle velocity'!$B$15*'Wave particle velocity'!$B$8)-('Wave particle velocity'!$B$13*'Wave particle velocity'!$B$9))</f>
        <v>-4.2049164649628993E-3</v>
      </c>
      <c r="Z28" s="37">
        <f t="shared" si="8"/>
        <v>0.96522579107141848</v>
      </c>
      <c r="AA28" s="13">
        <f>Neaps!K29</f>
        <v>15</v>
      </c>
      <c r="AB28" s="57">
        <f>Neaps!L29</f>
        <v>0.8309312196817551</v>
      </c>
      <c r="AC28" s="34">
        <f>AA28-Neaps!$A$3</f>
        <v>-17</v>
      </c>
      <c r="AD28" s="17">
        <f>'Wave particle velocity'!$B$15*'Wave particle velocity'!$B$13*((0.5*'Wave particle velocity'!$B$3)^2)*(EXP(2*'Wave particle velocity'!$B$15*AC28))</f>
        <v>1.0951241000368268E-5</v>
      </c>
      <c r="AE28" s="18">
        <f>0.5*'Wave particle velocity'!$B$13*EXP('Wave particle velocity'!$B$15*AC28)*COS(('Wave particle velocity'!$B$15*'Wave particle velocity'!$B$8)-('Wave particle velocity'!$B$13*'Wave particle velocity'!$B$9))</f>
        <v>-4.2049164649628993E-3</v>
      </c>
      <c r="AF28" s="37">
        <f t="shared" si="7"/>
        <v>0.82673725445779256</v>
      </c>
      <c r="AG28" s="13">
        <f>Neaps!M29</f>
        <v>15</v>
      </c>
      <c r="AH28" s="57">
        <f>Neaps!N29</f>
        <v>0.3693027643030023</v>
      </c>
      <c r="AI28" s="34">
        <f>AG28-Neaps!$A$3</f>
        <v>-17</v>
      </c>
      <c r="AJ28" s="17">
        <f>'Wave particle velocity'!$B$15*'Wave particle velocity'!$B$13*((0.5*'Wave particle velocity'!$B$3)^2)*(EXP(2*'Wave particle velocity'!$B$15*AI28))</f>
        <v>1.0951241000368268E-5</v>
      </c>
      <c r="AK28" s="18">
        <f>0.5*'Wave particle velocity'!$B$13*EXP('Wave particle velocity'!$B$15*AI28)*COS(('Wave particle velocity'!$B$15*'Wave particle velocity'!$B$8)-('Wave particle velocity'!$B$13*'Wave particle velocity'!$B$9))</f>
        <v>-4.2049164649628993E-3</v>
      </c>
      <c r="AL28" s="37">
        <f t="shared" si="6"/>
        <v>0.36510879907903976</v>
      </c>
      <c r="AM28" s="13">
        <f>Neaps!O29</f>
        <v>15</v>
      </c>
      <c r="AN28" s="57">
        <f>Neaps!P29</f>
        <v>4.6162845537875287E-2</v>
      </c>
      <c r="AO28" s="34">
        <f>AM28-Neaps!$A$3</f>
        <v>-17</v>
      </c>
      <c r="AP28" s="17">
        <f>'Wave particle velocity'!$B$15*'Wave particle velocity'!$B$13*((0.5*'Wave particle velocity'!$B$3)^2)*(EXP(2*'Wave particle velocity'!$B$15*AO28))</f>
        <v>1.0951241000368268E-5</v>
      </c>
      <c r="AQ28" s="18">
        <f>0.5*'Wave particle velocity'!$B$13*EXP('Wave particle velocity'!$B$15*AO28)*COS(('Wave particle velocity'!$B$15*'Wave particle velocity'!$B$8)-('Wave particle velocity'!$B$13*'Wave particle velocity'!$B$9))</f>
        <v>-4.2049164649628993E-3</v>
      </c>
      <c r="AR28" s="37">
        <f t="shared" si="5"/>
        <v>4.1968880313912757E-2</v>
      </c>
      <c r="AS28" s="13">
        <f>Neaps!Q29</f>
        <v>15</v>
      </c>
      <c r="AT28" s="13">
        <f>Neaps!R29</f>
        <v>0.3693027643030023</v>
      </c>
      <c r="AU28" s="34">
        <f>AS28-Neaps!$A$3</f>
        <v>-17</v>
      </c>
      <c r="AV28" s="17">
        <f>'Wave particle velocity'!$B$15*'Wave particle velocity'!$B$13*((0.5*'Wave particle velocity'!$B$3)^2)*(EXP(2*'Wave particle velocity'!$B$15*AU28))</f>
        <v>1.0951241000368268E-5</v>
      </c>
      <c r="AW28" s="18">
        <f>0.5*'Wave particle velocity'!$B$13*EXP('Wave particle velocity'!$B$15*AU28)*COS(('Wave particle velocity'!$B$15*'Wave particle velocity'!$B$8)-('Wave particle velocity'!$B$13*'Wave particle velocity'!$B$9))</f>
        <v>-4.2049164649628993E-3</v>
      </c>
      <c r="AX28" s="37">
        <f t="shared" si="17"/>
        <v>0.36510879907903976</v>
      </c>
      <c r="AY28" s="13">
        <f>Neaps!S29</f>
        <v>15</v>
      </c>
      <c r="AZ28" s="13">
        <f>Neaps!T29</f>
        <v>0.69244268306812917</v>
      </c>
      <c r="BA28" s="34">
        <f>AY28-Neaps!$A$3</f>
        <v>-17</v>
      </c>
      <c r="BB28" s="17">
        <f>'Wave particle velocity'!$B$15*'Wave particle velocity'!$B$13*((0.5*'Wave particle velocity'!$B$3)^2)*(EXP(2*'Wave particle velocity'!$B$15*BA28))</f>
        <v>1.0951241000368268E-5</v>
      </c>
      <c r="BC28" s="18">
        <f>0.5*'Wave particle velocity'!$B$13*EXP('Wave particle velocity'!$B$15*BA28)*COS(('Wave particle velocity'!$B$15*'Wave particle velocity'!$B$8)-('Wave particle velocity'!$B$13*'Wave particle velocity'!$B$9))</f>
        <v>-4.2049164649628993E-3</v>
      </c>
      <c r="BD28" s="37">
        <f t="shared" si="18"/>
        <v>0.68824871784416664</v>
      </c>
      <c r="BE28" s="13">
        <f>Neaps!U29</f>
        <v>15</v>
      </c>
      <c r="BF28" s="13">
        <f>Neaps!V29</f>
        <v>0.9232569107575056</v>
      </c>
      <c r="BG28" s="34">
        <f>BE28-Neaps!$A$3</f>
        <v>-17</v>
      </c>
      <c r="BH28" s="17">
        <f>'Wave particle velocity'!$B$15*'Wave particle velocity'!$B$13*((0.5*'Wave particle velocity'!$B$3)^2)*(EXP(2*'Wave particle velocity'!$B$15*BG28))</f>
        <v>1.0951241000368268E-5</v>
      </c>
      <c r="BI28" s="18">
        <f>0.5*'Wave particle velocity'!$B$13*EXP('Wave particle velocity'!$B$15*BG28)*COS(('Wave particle velocity'!$B$15*'Wave particle velocity'!$B$8)-('Wave particle velocity'!$B$13*'Wave particle velocity'!$B$9))</f>
        <v>-4.2049164649628993E-3</v>
      </c>
      <c r="BJ28" s="37">
        <f t="shared" si="19"/>
        <v>0.91906294553354306</v>
      </c>
      <c r="BK28" s="13">
        <f>Neaps!W29</f>
        <v>15</v>
      </c>
      <c r="BL28" s="13">
        <f>Neaps!X29</f>
        <v>0.87709406521963029</v>
      </c>
      <c r="BM28" s="34">
        <f>BK28-Neaps!$A$3</f>
        <v>-17</v>
      </c>
      <c r="BN28" s="17">
        <f>'Wave particle velocity'!$B$15*'Wave particle velocity'!$B$13*((0.5*'Wave particle velocity'!$B$3)^2)*(EXP(2*'Wave particle velocity'!$B$15*BM28))</f>
        <v>1.0951241000368268E-5</v>
      </c>
      <c r="BO28" s="18">
        <f>0.5*'Wave particle velocity'!$B$13*EXP('Wave particle velocity'!$B$15*BM28)*COS(('Wave particle velocity'!$B$15*'Wave particle velocity'!$B$8)-('Wave particle velocity'!$B$13*'Wave particle velocity'!$B$9))</f>
        <v>-4.2049164649628993E-3</v>
      </c>
      <c r="BP28" s="37">
        <f t="shared" si="20"/>
        <v>0.87290009999566776</v>
      </c>
      <c r="BQ28" s="13">
        <f>Neaps!Y29</f>
        <v>15</v>
      </c>
      <c r="BR28" s="13">
        <f>Neaps!Z29</f>
        <v>0.60011699199237867</v>
      </c>
      <c r="BS28" s="34">
        <f>BQ28-Neaps!$A$3</f>
        <v>-17</v>
      </c>
      <c r="BT28" s="17">
        <f>'Wave particle velocity'!$B$15*'Wave particle velocity'!$B$13*((0.5*'Wave particle velocity'!$B$3)^2)*(EXP(2*'Wave particle velocity'!$B$15*BS28))</f>
        <v>1.0951241000368268E-5</v>
      </c>
      <c r="BU28" s="18">
        <f>0.5*'Wave particle velocity'!$B$13*EXP('Wave particle velocity'!$B$15*BS28)*COS(('Wave particle velocity'!$B$15*'Wave particle velocity'!$B$8)-('Wave particle velocity'!$B$13*'Wave particle velocity'!$B$9))</f>
        <v>-4.2049164649628993E-3</v>
      </c>
      <c r="BV28" s="37">
        <f t="shared" si="21"/>
        <v>0.59592302676841613</v>
      </c>
    </row>
    <row r="29" spans="2:74" ht="15.75" thickBot="1">
      <c r="B29" s="16">
        <f>Neaps!C30</f>
        <v>14</v>
      </c>
      <c r="C29" s="34">
        <f>Neaps!D30</f>
        <v>9.1420187279488363E-2</v>
      </c>
      <c r="D29" s="34">
        <f>B29-Neaps!$A$3</f>
        <v>-18</v>
      </c>
      <c r="E29" s="17">
        <f>'Wave particle velocity'!$B$15*'Wave particle velocity'!$B$13*((0.5*'Wave particle velocity'!$B$3)^2)*(EXP(2*'Wave particle velocity'!$B$15*D29))</f>
        <v>5.8423566563650912E-6</v>
      </c>
      <c r="F29" s="18">
        <f>0.5*'Wave particle velocity'!$B$13*EXP('Wave particle velocity'!$B$15*D29)*COS(('Wave particle velocity'!$B$15*'Wave particle velocity'!$B$8)-('Wave particle velocity'!$B$13*'Wave particle velocity'!$B$9))</f>
        <v>-3.0712823016436591E-3</v>
      </c>
      <c r="G29" s="37">
        <f t="shared" si="11"/>
        <v>8.8354747334501063E-2</v>
      </c>
      <c r="H29" s="18">
        <f>Neaps!I30</f>
        <v>14</v>
      </c>
      <c r="I29" s="13">
        <f>Neaps!E30</f>
        <v>14</v>
      </c>
      <c r="J29" s="13">
        <f>Neaps!F30</f>
        <v>0.54852112367693018</v>
      </c>
      <c r="K29" s="34">
        <f>I29-Neaps!$A$3</f>
        <v>-18</v>
      </c>
      <c r="L29" s="17">
        <f>'Wave particle velocity'!$B$15*'Wave particle velocity'!$B$13*((0.5*'Wave particle velocity'!$B$3)^2)*(EXP(2*'Wave particle velocity'!$B$15*K29))</f>
        <v>5.8423566563650912E-6</v>
      </c>
      <c r="M29" s="18">
        <f>0.5*'Wave particle velocity'!$B$13*EXP('Wave particle velocity'!$B$15*K29)*COS(('Wave particle velocity'!$B$15*'Wave particle velocity'!$B$8)-('Wave particle velocity'!$B$13*'Wave particle velocity'!$B$9))</f>
        <v>-3.0712823016436591E-3</v>
      </c>
      <c r="N29" s="37">
        <f t="shared" si="10"/>
        <v>0.54545568373194286</v>
      </c>
      <c r="O29" s="13">
        <f>Neaps!G30</f>
        <v>14</v>
      </c>
      <c r="P29" s="13">
        <f>Neaps!H30</f>
        <v>0.91420187279488363</v>
      </c>
      <c r="Q29" s="34">
        <f>O29-Neaps!$A$3</f>
        <v>-18</v>
      </c>
      <c r="R29" s="17">
        <f>'Wave particle velocity'!$B$15*'Wave particle velocity'!$B$13*((0.5*'Wave particle velocity'!$B$3)^2)*(EXP(2*'Wave particle velocity'!$B$15*Q29))</f>
        <v>5.8423566563650912E-6</v>
      </c>
      <c r="S29" s="18">
        <f>0.5*'Wave particle velocity'!$B$13*EXP('Wave particle velocity'!$B$15*Q29)*COS(('Wave particle velocity'!$B$15*'Wave particle velocity'!$B$8)-('Wave particle velocity'!$B$13*'Wave particle velocity'!$B$9))</f>
        <v>-3.0712823016436591E-3</v>
      </c>
      <c r="T29" s="37">
        <f t="shared" si="9"/>
        <v>0.91113643284989632</v>
      </c>
      <c r="U29" s="13">
        <f>Neaps!I30</f>
        <v>14</v>
      </c>
      <c r="V29" s="13">
        <f>Neaps!J30</f>
        <v>0.95991196643462795</v>
      </c>
      <c r="W29" s="34">
        <f>U29-Neaps!$A$3</f>
        <v>-18</v>
      </c>
      <c r="X29" s="17">
        <f>'Wave particle velocity'!$B$15*'Wave particle velocity'!$B$13*((0.5*'Wave particle velocity'!$B$3)^2)*(EXP(2*'Wave particle velocity'!$B$15*W29))</f>
        <v>5.8423566563650912E-6</v>
      </c>
      <c r="Y29" s="18">
        <f>0.5*'Wave particle velocity'!$B$13*EXP('Wave particle velocity'!$B$15*W29)*COS(('Wave particle velocity'!$B$15*'Wave particle velocity'!$B$8)-('Wave particle velocity'!$B$13*'Wave particle velocity'!$B$9))</f>
        <v>-3.0712823016436591E-3</v>
      </c>
      <c r="Z29" s="37">
        <f t="shared" si="8"/>
        <v>0.95684652648964064</v>
      </c>
      <c r="AA29" s="13">
        <f>Neaps!K30</f>
        <v>14</v>
      </c>
      <c r="AB29" s="57">
        <f>Neaps!L30</f>
        <v>0.82278168551539521</v>
      </c>
      <c r="AC29" s="34">
        <f>AA29-Neaps!$A$3</f>
        <v>-18</v>
      </c>
      <c r="AD29" s="17">
        <f>'Wave particle velocity'!$B$15*'Wave particle velocity'!$B$13*((0.5*'Wave particle velocity'!$B$3)^2)*(EXP(2*'Wave particle velocity'!$B$15*AC29))</f>
        <v>5.8423566563650912E-6</v>
      </c>
      <c r="AE29" s="18">
        <f>0.5*'Wave particle velocity'!$B$13*EXP('Wave particle velocity'!$B$15*AC29)*COS(('Wave particle velocity'!$B$15*'Wave particle velocity'!$B$8)-('Wave particle velocity'!$B$13*'Wave particle velocity'!$B$9))</f>
        <v>-3.0712823016436591E-3</v>
      </c>
      <c r="AF29" s="37">
        <f t="shared" si="7"/>
        <v>0.8197162455704079</v>
      </c>
      <c r="AG29" s="13">
        <f>Neaps!M30</f>
        <v>14</v>
      </c>
      <c r="AH29" s="57">
        <f>Neaps!N30</f>
        <v>0.36568074911795345</v>
      </c>
      <c r="AI29" s="34">
        <f>AG29-Neaps!$A$3</f>
        <v>-18</v>
      </c>
      <c r="AJ29" s="17">
        <f>'Wave particle velocity'!$B$15*'Wave particle velocity'!$B$13*((0.5*'Wave particle velocity'!$B$3)^2)*(EXP(2*'Wave particle velocity'!$B$15*AI29))</f>
        <v>5.8423566563650912E-6</v>
      </c>
      <c r="AK29" s="18">
        <f>0.5*'Wave particle velocity'!$B$13*EXP('Wave particle velocity'!$B$15*AI29)*COS(('Wave particle velocity'!$B$15*'Wave particle velocity'!$B$8)-('Wave particle velocity'!$B$13*'Wave particle velocity'!$B$9))</f>
        <v>-3.0712823016436591E-3</v>
      </c>
      <c r="AL29" s="37">
        <f t="shared" si="6"/>
        <v>0.36261530917296614</v>
      </c>
      <c r="AM29" s="13">
        <f>Neaps!O30</f>
        <v>14</v>
      </c>
      <c r="AN29" s="57">
        <f>Neaps!P30</f>
        <v>4.5710093639744181E-2</v>
      </c>
      <c r="AO29" s="34">
        <f>AM29-Neaps!$A$3</f>
        <v>-18</v>
      </c>
      <c r="AP29" s="17">
        <f>'Wave particle velocity'!$B$15*'Wave particle velocity'!$B$13*((0.5*'Wave particle velocity'!$B$3)^2)*(EXP(2*'Wave particle velocity'!$B$15*AO29))</f>
        <v>5.8423566563650912E-6</v>
      </c>
      <c r="AQ29" s="18">
        <f>0.5*'Wave particle velocity'!$B$13*EXP('Wave particle velocity'!$B$15*AO29)*COS(('Wave particle velocity'!$B$15*'Wave particle velocity'!$B$8)-('Wave particle velocity'!$B$13*'Wave particle velocity'!$B$9))</f>
        <v>-3.0712823016436591E-3</v>
      </c>
      <c r="AR29" s="37">
        <f t="shared" si="5"/>
        <v>4.2644653694756889E-2</v>
      </c>
      <c r="AS29" s="13">
        <f>Neaps!Q30</f>
        <v>14</v>
      </c>
      <c r="AT29" s="13">
        <f>Neaps!R30</f>
        <v>0.36568074911795345</v>
      </c>
      <c r="AU29" s="34">
        <f>AS29-Neaps!$A$3</f>
        <v>-18</v>
      </c>
      <c r="AV29" s="17">
        <f>'Wave particle velocity'!$B$15*'Wave particle velocity'!$B$13*((0.5*'Wave particle velocity'!$B$3)^2)*(EXP(2*'Wave particle velocity'!$B$15*AU29))</f>
        <v>5.8423566563650912E-6</v>
      </c>
      <c r="AW29" s="18">
        <f>0.5*'Wave particle velocity'!$B$13*EXP('Wave particle velocity'!$B$15*AU29)*COS(('Wave particle velocity'!$B$15*'Wave particle velocity'!$B$8)-('Wave particle velocity'!$B$13*'Wave particle velocity'!$B$9))</f>
        <v>-3.0712823016436591E-3</v>
      </c>
      <c r="AX29" s="37">
        <f t="shared" si="17"/>
        <v>0.36261530917296614</v>
      </c>
      <c r="AY29" s="13">
        <f>Neaps!S30</f>
        <v>14</v>
      </c>
      <c r="AZ29" s="13">
        <f>Neaps!T30</f>
        <v>0.68565140459616269</v>
      </c>
      <c r="BA29" s="34">
        <f>AY29-Neaps!$A$3</f>
        <v>-18</v>
      </c>
      <c r="BB29" s="17">
        <f>'Wave particle velocity'!$B$15*'Wave particle velocity'!$B$13*((0.5*'Wave particle velocity'!$B$3)^2)*(EXP(2*'Wave particle velocity'!$B$15*BA29))</f>
        <v>5.8423566563650912E-6</v>
      </c>
      <c r="BC29" s="18">
        <f>0.5*'Wave particle velocity'!$B$13*EXP('Wave particle velocity'!$B$15*BA29)*COS(('Wave particle velocity'!$B$15*'Wave particle velocity'!$B$8)-('Wave particle velocity'!$B$13*'Wave particle velocity'!$B$9))</f>
        <v>-3.0712823016436591E-3</v>
      </c>
      <c r="BD29" s="37">
        <f t="shared" si="18"/>
        <v>0.68258596465117538</v>
      </c>
      <c r="BE29" s="13">
        <f>Neaps!U30</f>
        <v>14</v>
      </c>
      <c r="BF29" s="13">
        <f>Neaps!V30</f>
        <v>0.91420187279488363</v>
      </c>
      <c r="BG29" s="34">
        <f>BE29-Neaps!$A$3</f>
        <v>-18</v>
      </c>
      <c r="BH29" s="17">
        <f>'Wave particle velocity'!$B$15*'Wave particle velocity'!$B$13*((0.5*'Wave particle velocity'!$B$3)^2)*(EXP(2*'Wave particle velocity'!$B$15*BG29))</f>
        <v>5.8423566563650912E-6</v>
      </c>
      <c r="BI29" s="18">
        <f>0.5*'Wave particle velocity'!$B$13*EXP('Wave particle velocity'!$B$15*BG29)*COS(('Wave particle velocity'!$B$15*'Wave particle velocity'!$B$8)-('Wave particle velocity'!$B$13*'Wave particle velocity'!$B$9))</f>
        <v>-3.0712823016436591E-3</v>
      </c>
      <c r="BJ29" s="37">
        <f t="shared" si="19"/>
        <v>0.91113643284989632</v>
      </c>
      <c r="BK29" s="13">
        <f>Neaps!W30</f>
        <v>14</v>
      </c>
      <c r="BL29" s="13">
        <f>Neaps!X30</f>
        <v>0.86849177915513942</v>
      </c>
      <c r="BM29" s="34">
        <f>BK29-Neaps!$A$3</f>
        <v>-18</v>
      </c>
      <c r="BN29" s="17">
        <f>'Wave particle velocity'!$B$15*'Wave particle velocity'!$B$13*((0.5*'Wave particle velocity'!$B$3)^2)*(EXP(2*'Wave particle velocity'!$B$15*BM29))</f>
        <v>5.8423566563650912E-6</v>
      </c>
      <c r="BO29" s="18">
        <f>0.5*'Wave particle velocity'!$B$13*EXP('Wave particle velocity'!$B$15*BM29)*COS(('Wave particle velocity'!$B$15*'Wave particle velocity'!$B$8)-('Wave particle velocity'!$B$13*'Wave particle velocity'!$B$9))</f>
        <v>-3.0712823016436591E-3</v>
      </c>
      <c r="BP29" s="37">
        <f t="shared" si="20"/>
        <v>0.86542633921015211</v>
      </c>
      <c r="BQ29" s="13">
        <f>Neaps!Y30</f>
        <v>14</v>
      </c>
      <c r="BR29" s="13">
        <f>Neaps!Z30</f>
        <v>0.59423121731667439</v>
      </c>
      <c r="BS29" s="34">
        <f>BQ29-Neaps!$A$3</f>
        <v>-18</v>
      </c>
      <c r="BT29" s="17">
        <f>'Wave particle velocity'!$B$15*'Wave particle velocity'!$B$13*((0.5*'Wave particle velocity'!$B$3)^2)*(EXP(2*'Wave particle velocity'!$B$15*BS29))</f>
        <v>5.8423566563650912E-6</v>
      </c>
      <c r="BU29" s="18">
        <f>0.5*'Wave particle velocity'!$B$13*EXP('Wave particle velocity'!$B$15*BS29)*COS(('Wave particle velocity'!$B$15*'Wave particle velocity'!$B$8)-('Wave particle velocity'!$B$13*'Wave particle velocity'!$B$9))</f>
        <v>-3.0712823016436591E-3</v>
      </c>
      <c r="BV29" s="37">
        <f t="shared" si="21"/>
        <v>0.59116577737168707</v>
      </c>
    </row>
    <row r="30" spans="2:74" ht="15.75" thickBot="1">
      <c r="B30" s="16">
        <f>Neaps!C31</f>
        <v>13</v>
      </c>
      <c r="C30" s="34">
        <f>Neaps!D31</f>
        <v>9.0457440402527123E-2</v>
      </c>
      <c r="D30" s="34">
        <f>B30-Neaps!$A$3</f>
        <v>-19</v>
      </c>
      <c r="E30" s="17">
        <f>'Wave particle velocity'!$B$15*'Wave particle velocity'!$B$13*((0.5*'Wave particle velocity'!$B$3)^2)*(EXP(2*'Wave particle velocity'!$B$15*D30))</f>
        <v>3.1168277000776133E-6</v>
      </c>
      <c r="F30" s="18">
        <f>0.5*'Wave particle velocity'!$B$13*EXP('Wave particle velocity'!$B$15*D30)*COS(('Wave particle velocity'!$B$15*'Wave particle velocity'!$B$8)-('Wave particle velocity'!$B$13*'Wave particle velocity'!$B$9))</f>
        <v>-2.243272858090607E-3</v>
      </c>
      <c r="G30" s="37">
        <f t="shared" si="11"/>
        <v>8.8217284372136592E-2</v>
      </c>
      <c r="H30" s="18">
        <f>Neaps!I31</f>
        <v>13</v>
      </c>
      <c r="I30" s="13">
        <f>Neaps!E31</f>
        <v>13</v>
      </c>
      <c r="J30" s="13">
        <f>Neaps!F31</f>
        <v>0.54274464241516274</v>
      </c>
      <c r="K30" s="34">
        <f>I30-Neaps!$A$3</f>
        <v>-19</v>
      </c>
      <c r="L30" s="17">
        <f>'Wave particle velocity'!$B$15*'Wave particle velocity'!$B$13*((0.5*'Wave particle velocity'!$B$3)^2)*(EXP(2*'Wave particle velocity'!$B$15*K30))</f>
        <v>3.1168277000776133E-6</v>
      </c>
      <c r="M30" s="18">
        <f>0.5*'Wave particle velocity'!$B$13*EXP('Wave particle velocity'!$B$15*K30)*COS(('Wave particle velocity'!$B$15*'Wave particle velocity'!$B$8)-('Wave particle velocity'!$B$13*'Wave particle velocity'!$B$9))</f>
        <v>-2.243272858090607E-3</v>
      </c>
      <c r="N30" s="37">
        <f t="shared" si="10"/>
        <v>0.54050448638477222</v>
      </c>
      <c r="O30" s="13">
        <f>Neaps!G31</f>
        <v>13</v>
      </c>
      <c r="P30" s="13">
        <f>Neaps!H31</f>
        <v>0.90457440402527123</v>
      </c>
      <c r="Q30" s="34">
        <f>O30-Neaps!$A$3</f>
        <v>-19</v>
      </c>
      <c r="R30" s="17">
        <f>'Wave particle velocity'!$B$15*'Wave particle velocity'!$B$13*((0.5*'Wave particle velocity'!$B$3)^2)*(EXP(2*'Wave particle velocity'!$B$15*Q30))</f>
        <v>3.1168277000776133E-6</v>
      </c>
      <c r="S30" s="18">
        <f>0.5*'Wave particle velocity'!$B$13*EXP('Wave particle velocity'!$B$15*Q30)*COS(('Wave particle velocity'!$B$15*'Wave particle velocity'!$B$8)-('Wave particle velocity'!$B$13*'Wave particle velocity'!$B$9))</f>
        <v>-2.243272858090607E-3</v>
      </c>
      <c r="T30" s="37">
        <f t="shared" si="9"/>
        <v>0.90233424799488071</v>
      </c>
      <c r="U30" s="13">
        <f>Neaps!I31</f>
        <v>13</v>
      </c>
      <c r="V30" s="13">
        <f>Neaps!J31</f>
        <v>0.9498031242265349</v>
      </c>
      <c r="W30" s="34">
        <f>U30-Neaps!$A$3</f>
        <v>-19</v>
      </c>
      <c r="X30" s="17">
        <f>'Wave particle velocity'!$B$15*'Wave particle velocity'!$B$13*((0.5*'Wave particle velocity'!$B$3)^2)*(EXP(2*'Wave particle velocity'!$B$15*W30))</f>
        <v>3.1168277000776133E-6</v>
      </c>
      <c r="Y30" s="18">
        <f>0.5*'Wave particle velocity'!$B$13*EXP('Wave particle velocity'!$B$15*W30)*COS(('Wave particle velocity'!$B$15*'Wave particle velocity'!$B$8)-('Wave particle velocity'!$B$13*'Wave particle velocity'!$B$9))</f>
        <v>-2.243272858090607E-3</v>
      </c>
      <c r="Z30" s="37">
        <f t="shared" si="8"/>
        <v>0.94756296819614438</v>
      </c>
      <c r="AA30" s="13">
        <f>Neaps!K31</f>
        <v>13</v>
      </c>
      <c r="AB30" s="57">
        <f>Neaps!L31</f>
        <v>0.81411696362274411</v>
      </c>
      <c r="AC30" s="34">
        <f>AA30-Neaps!$A$3</f>
        <v>-19</v>
      </c>
      <c r="AD30" s="17">
        <f>'Wave particle velocity'!$B$15*'Wave particle velocity'!$B$13*((0.5*'Wave particle velocity'!$B$3)^2)*(EXP(2*'Wave particle velocity'!$B$15*AC30))</f>
        <v>3.1168277000776133E-6</v>
      </c>
      <c r="AE30" s="18">
        <f>0.5*'Wave particle velocity'!$B$13*EXP('Wave particle velocity'!$B$15*AC30)*COS(('Wave particle velocity'!$B$15*'Wave particle velocity'!$B$8)-('Wave particle velocity'!$B$13*'Wave particle velocity'!$B$9))</f>
        <v>-2.243272858090607E-3</v>
      </c>
      <c r="AF30" s="37">
        <f t="shared" si="7"/>
        <v>0.81187680759235359</v>
      </c>
      <c r="AG30" s="13">
        <f>Neaps!M31</f>
        <v>13</v>
      </c>
      <c r="AH30" s="57">
        <f>Neaps!N31</f>
        <v>0.36182976161010849</v>
      </c>
      <c r="AI30" s="34">
        <f>AG30-Neaps!$A$3</f>
        <v>-19</v>
      </c>
      <c r="AJ30" s="17">
        <f>'Wave particle velocity'!$B$15*'Wave particle velocity'!$B$13*((0.5*'Wave particle velocity'!$B$3)^2)*(EXP(2*'Wave particle velocity'!$B$15*AI30))</f>
        <v>3.1168277000776133E-6</v>
      </c>
      <c r="AK30" s="18">
        <f>0.5*'Wave particle velocity'!$B$13*EXP('Wave particle velocity'!$B$15*AI30)*COS(('Wave particle velocity'!$B$15*'Wave particle velocity'!$B$8)-('Wave particle velocity'!$B$13*'Wave particle velocity'!$B$9))</f>
        <v>-2.243272858090607E-3</v>
      </c>
      <c r="AL30" s="37">
        <f t="shared" si="6"/>
        <v>0.35958960557971797</v>
      </c>
      <c r="AM30" s="13">
        <f>Neaps!O31</f>
        <v>13</v>
      </c>
      <c r="AN30" s="57">
        <f>Neaps!P31</f>
        <v>4.5228720201263561E-2</v>
      </c>
      <c r="AO30" s="34">
        <f>AM30-Neaps!$A$3</f>
        <v>-19</v>
      </c>
      <c r="AP30" s="17">
        <f>'Wave particle velocity'!$B$15*'Wave particle velocity'!$B$13*((0.5*'Wave particle velocity'!$B$3)^2)*(EXP(2*'Wave particle velocity'!$B$15*AO30))</f>
        <v>3.1168277000776133E-6</v>
      </c>
      <c r="AQ30" s="18">
        <f>0.5*'Wave particle velocity'!$B$13*EXP('Wave particle velocity'!$B$15*AO30)*COS(('Wave particle velocity'!$B$15*'Wave particle velocity'!$B$8)-('Wave particle velocity'!$B$13*'Wave particle velocity'!$B$9))</f>
        <v>-2.243272858090607E-3</v>
      </c>
      <c r="AR30" s="37">
        <f t="shared" si="5"/>
        <v>4.2988564170873031E-2</v>
      </c>
      <c r="AS30" s="13">
        <f>Neaps!Q31</f>
        <v>13</v>
      </c>
      <c r="AT30" s="13">
        <f>Neaps!R31</f>
        <v>0.36182976161010849</v>
      </c>
      <c r="AU30" s="34">
        <f>AS30-Neaps!$A$3</f>
        <v>-19</v>
      </c>
      <c r="AV30" s="17">
        <f>'Wave particle velocity'!$B$15*'Wave particle velocity'!$B$13*((0.5*'Wave particle velocity'!$B$3)^2)*(EXP(2*'Wave particle velocity'!$B$15*AU30))</f>
        <v>3.1168277000776133E-6</v>
      </c>
      <c r="AW30" s="18">
        <f>0.5*'Wave particle velocity'!$B$13*EXP('Wave particle velocity'!$B$15*AU30)*COS(('Wave particle velocity'!$B$15*'Wave particle velocity'!$B$8)-('Wave particle velocity'!$B$13*'Wave particle velocity'!$B$9))</f>
        <v>-2.243272858090607E-3</v>
      </c>
      <c r="AX30" s="37">
        <f t="shared" si="17"/>
        <v>0.35958960557971797</v>
      </c>
      <c r="AY30" s="13">
        <f>Neaps!S31</f>
        <v>13</v>
      </c>
      <c r="AZ30" s="13">
        <f>Neaps!T31</f>
        <v>0.67843080301895342</v>
      </c>
      <c r="BA30" s="34">
        <f>AY30-Neaps!$A$3</f>
        <v>-19</v>
      </c>
      <c r="BB30" s="17">
        <f>'Wave particle velocity'!$B$15*'Wave particle velocity'!$B$13*((0.5*'Wave particle velocity'!$B$3)^2)*(EXP(2*'Wave particle velocity'!$B$15*BA30))</f>
        <v>3.1168277000776133E-6</v>
      </c>
      <c r="BC30" s="18">
        <f>0.5*'Wave particle velocity'!$B$13*EXP('Wave particle velocity'!$B$15*BA30)*COS(('Wave particle velocity'!$B$15*'Wave particle velocity'!$B$8)-('Wave particle velocity'!$B$13*'Wave particle velocity'!$B$9))</f>
        <v>-2.243272858090607E-3</v>
      </c>
      <c r="BD30" s="37">
        <f t="shared" si="18"/>
        <v>0.6761906469885629</v>
      </c>
      <c r="BE30" s="13">
        <f>Neaps!U31</f>
        <v>13</v>
      </c>
      <c r="BF30" s="13">
        <f>Neaps!V31</f>
        <v>0.90457440402527123</v>
      </c>
      <c r="BG30" s="34">
        <f>BE30-Neaps!$A$3</f>
        <v>-19</v>
      </c>
      <c r="BH30" s="17">
        <f>'Wave particle velocity'!$B$15*'Wave particle velocity'!$B$13*((0.5*'Wave particle velocity'!$B$3)^2)*(EXP(2*'Wave particle velocity'!$B$15*BG30))</f>
        <v>3.1168277000776133E-6</v>
      </c>
      <c r="BI30" s="18">
        <f>0.5*'Wave particle velocity'!$B$13*EXP('Wave particle velocity'!$B$15*BG30)*COS(('Wave particle velocity'!$B$15*'Wave particle velocity'!$B$8)-('Wave particle velocity'!$B$13*'Wave particle velocity'!$B$9))</f>
        <v>-2.243272858090607E-3</v>
      </c>
      <c r="BJ30" s="37">
        <f t="shared" si="19"/>
        <v>0.90233424799488071</v>
      </c>
      <c r="BK30" s="13">
        <f>Neaps!W31</f>
        <v>13</v>
      </c>
      <c r="BL30" s="13">
        <f>Neaps!X31</f>
        <v>0.85934568382400756</v>
      </c>
      <c r="BM30" s="34">
        <f>BK30-Neaps!$A$3</f>
        <v>-19</v>
      </c>
      <c r="BN30" s="17">
        <f>'Wave particle velocity'!$B$15*'Wave particle velocity'!$B$13*((0.5*'Wave particle velocity'!$B$3)^2)*(EXP(2*'Wave particle velocity'!$B$15*BM30))</f>
        <v>3.1168277000776133E-6</v>
      </c>
      <c r="BO30" s="18">
        <f>0.5*'Wave particle velocity'!$B$13*EXP('Wave particle velocity'!$B$15*BM30)*COS(('Wave particle velocity'!$B$15*'Wave particle velocity'!$B$8)-('Wave particle velocity'!$B$13*'Wave particle velocity'!$B$9))</f>
        <v>-2.243272858090607E-3</v>
      </c>
      <c r="BP30" s="37">
        <f t="shared" si="20"/>
        <v>0.85710552779361704</v>
      </c>
      <c r="BQ30" s="13">
        <f>Neaps!Y31</f>
        <v>13</v>
      </c>
      <c r="BR30" s="13">
        <f>Neaps!Z31</f>
        <v>0.5879733626164263</v>
      </c>
      <c r="BS30" s="34">
        <f>BQ30-Neaps!$A$3</f>
        <v>-19</v>
      </c>
      <c r="BT30" s="17">
        <f>'Wave particle velocity'!$B$15*'Wave particle velocity'!$B$13*((0.5*'Wave particle velocity'!$B$3)^2)*(EXP(2*'Wave particle velocity'!$B$15*BS30))</f>
        <v>3.1168277000776133E-6</v>
      </c>
      <c r="BU30" s="18">
        <f>0.5*'Wave particle velocity'!$B$13*EXP('Wave particle velocity'!$B$15*BS30)*COS(('Wave particle velocity'!$B$15*'Wave particle velocity'!$B$8)-('Wave particle velocity'!$B$13*'Wave particle velocity'!$B$9))</f>
        <v>-2.243272858090607E-3</v>
      </c>
      <c r="BV30" s="37">
        <f t="shared" si="21"/>
        <v>0.58573320658603578</v>
      </c>
    </row>
    <row r="31" spans="2:74" ht="15.75" thickBot="1">
      <c r="B31" s="16">
        <f>Neaps!C32</f>
        <v>12</v>
      </c>
      <c r="C31" s="34">
        <f>Neaps!D32</f>
        <v>8.9428980451518314E-2</v>
      </c>
      <c r="D31" s="34">
        <f>B31-Neaps!$A$3</f>
        <v>-20</v>
      </c>
      <c r="E31" s="17">
        <f>'Wave particle velocity'!$B$15*'Wave particle velocity'!$B$13*((0.5*'Wave particle velocity'!$B$3)^2)*(EXP(2*'Wave particle velocity'!$B$15*D31))</f>
        <v>1.6627904599742797E-6</v>
      </c>
      <c r="F31" s="18">
        <f>0.5*'Wave particle velocity'!$B$13*EXP('Wave particle velocity'!$B$15*D31)*COS(('Wave particle velocity'!$B$15*'Wave particle velocity'!$B$8)-('Wave particle velocity'!$B$13*'Wave particle velocity'!$B$9))</f>
        <v>-1.6384925323057659E-3</v>
      </c>
      <c r="G31" s="37">
        <f t="shared" si="11"/>
        <v>8.7792150709672528E-2</v>
      </c>
      <c r="H31" s="18">
        <f>Neaps!I32</f>
        <v>12</v>
      </c>
      <c r="I31" s="13">
        <f>Neaps!E32</f>
        <v>12</v>
      </c>
      <c r="J31" s="13">
        <f>Neaps!F32</f>
        <v>0.53657388270910977</v>
      </c>
      <c r="K31" s="34">
        <f>I31-Neaps!$A$3</f>
        <v>-20</v>
      </c>
      <c r="L31" s="17">
        <f>'Wave particle velocity'!$B$15*'Wave particle velocity'!$B$13*((0.5*'Wave particle velocity'!$B$3)^2)*(EXP(2*'Wave particle velocity'!$B$15*K31))</f>
        <v>1.6627904599742797E-6</v>
      </c>
      <c r="M31" s="18">
        <f>0.5*'Wave particle velocity'!$B$13*EXP('Wave particle velocity'!$B$15*K31)*COS(('Wave particle velocity'!$B$15*'Wave particle velocity'!$B$8)-('Wave particle velocity'!$B$13*'Wave particle velocity'!$B$9))</f>
        <v>-1.6384925323057659E-3</v>
      </c>
      <c r="N31" s="37">
        <f t="shared" si="10"/>
        <v>0.53493705296726402</v>
      </c>
      <c r="O31" s="13">
        <f>Neaps!G32</f>
        <v>12</v>
      </c>
      <c r="P31" s="13">
        <f>Neaps!H32</f>
        <v>0.89428980451518303</v>
      </c>
      <c r="Q31" s="34">
        <f>O31-Neaps!$A$3</f>
        <v>-20</v>
      </c>
      <c r="R31" s="17">
        <f>'Wave particle velocity'!$B$15*'Wave particle velocity'!$B$13*((0.5*'Wave particle velocity'!$B$3)^2)*(EXP(2*'Wave particle velocity'!$B$15*Q31))</f>
        <v>1.6627904599742797E-6</v>
      </c>
      <c r="S31" s="18">
        <f>0.5*'Wave particle velocity'!$B$13*EXP('Wave particle velocity'!$B$15*Q31)*COS(('Wave particle velocity'!$B$15*'Wave particle velocity'!$B$8)-('Wave particle velocity'!$B$13*'Wave particle velocity'!$B$9))</f>
        <v>-1.6384925323057659E-3</v>
      </c>
      <c r="T31" s="37">
        <f t="shared" si="9"/>
        <v>0.89265297477333727</v>
      </c>
      <c r="U31" s="13">
        <f>Neaps!I32</f>
        <v>12</v>
      </c>
      <c r="V31" s="13">
        <f>Neaps!J32</f>
        <v>0.93900429474094238</v>
      </c>
      <c r="W31" s="34">
        <f>U31-Neaps!$A$3</f>
        <v>-20</v>
      </c>
      <c r="X31" s="17">
        <f>'Wave particle velocity'!$B$15*'Wave particle velocity'!$B$13*((0.5*'Wave particle velocity'!$B$3)^2)*(EXP(2*'Wave particle velocity'!$B$15*W31))</f>
        <v>1.6627904599742797E-6</v>
      </c>
      <c r="Y31" s="18">
        <f>0.5*'Wave particle velocity'!$B$13*EXP('Wave particle velocity'!$B$15*W31)*COS(('Wave particle velocity'!$B$15*'Wave particle velocity'!$B$8)-('Wave particle velocity'!$B$13*'Wave particle velocity'!$B$9))</f>
        <v>-1.6384925323057659E-3</v>
      </c>
      <c r="Z31" s="37">
        <f t="shared" si="8"/>
        <v>0.93736746499909662</v>
      </c>
      <c r="AA31" s="13">
        <f>Neaps!K32</f>
        <v>12</v>
      </c>
      <c r="AB31" s="57">
        <f>Neaps!L32</f>
        <v>0.80486082406366477</v>
      </c>
      <c r="AC31" s="34">
        <f>AA31-Neaps!$A$3</f>
        <v>-20</v>
      </c>
      <c r="AD31" s="17">
        <f>'Wave particle velocity'!$B$15*'Wave particle velocity'!$B$13*((0.5*'Wave particle velocity'!$B$3)^2)*(EXP(2*'Wave particle velocity'!$B$15*AC31))</f>
        <v>1.6627904599742797E-6</v>
      </c>
      <c r="AE31" s="18">
        <f>0.5*'Wave particle velocity'!$B$13*EXP('Wave particle velocity'!$B$15*AC31)*COS(('Wave particle velocity'!$B$15*'Wave particle velocity'!$B$8)-('Wave particle velocity'!$B$13*'Wave particle velocity'!$B$9))</f>
        <v>-1.6384925323057659E-3</v>
      </c>
      <c r="AF31" s="37">
        <f t="shared" si="7"/>
        <v>0.80322399432181901</v>
      </c>
      <c r="AG31" s="13">
        <f>Neaps!M32</f>
        <v>12</v>
      </c>
      <c r="AH31" s="57">
        <f>Neaps!N32</f>
        <v>0.35771592180607326</v>
      </c>
      <c r="AI31" s="34">
        <f>AG31-Neaps!$A$3</f>
        <v>-20</v>
      </c>
      <c r="AJ31" s="17">
        <f>'Wave particle velocity'!$B$15*'Wave particle velocity'!$B$13*((0.5*'Wave particle velocity'!$B$3)^2)*(EXP(2*'Wave particle velocity'!$B$15*AI31))</f>
        <v>1.6627904599742797E-6</v>
      </c>
      <c r="AK31" s="18">
        <f>0.5*'Wave particle velocity'!$B$13*EXP('Wave particle velocity'!$B$15*AI31)*COS(('Wave particle velocity'!$B$15*'Wave particle velocity'!$B$8)-('Wave particle velocity'!$B$13*'Wave particle velocity'!$B$9))</f>
        <v>-1.6384925323057659E-3</v>
      </c>
      <c r="AL31" s="37">
        <f t="shared" si="6"/>
        <v>0.3560790920642275</v>
      </c>
      <c r="AM31" s="13">
        <f>Neaps!O32</f>
        <v>12</v>
      </c>
      <c r="AN31" s="57">
        <f>Neaps!P32</f>
        <v>4.4714490225759157E-2</v>
      </c>
      <c r="AO31" s="34">
        <f>AM31-Neaps!$A$3</f>
        <v>-20</v>
      </c>
      <c r="AP31" s="17">
        <f>'Wave particle velocity'!$B$15*'Wave particle velocity'!$B$13*((0.5*'Wave particle velocity'!$B$3)^2)*(EXP(2*'Wave particle velocity'!$B$15*AO31))</f>
        <v>1.6627904599742797E-6</v>
      </c>
      <c r="AQ31" s="18">
        <f>0.5*'Wave particle velocity'!$B$13*EXP('Wave particle velocity'!$B$15*AO31)*COS(('Wave particle velocity'!$B$15*'Wave particle velocity'!$B$8)-('Wave particle velocity'!$B$13*'Wave particle velocity'!$B$9))</f>
        <v>-1.6384925323057659E-3</v>
      </c>
      <c r="AR31" s="37">
        <f t="shared" si="5"/>
        <v>4.3077660483913364E-2</v>
      </c>
      <c r="AS31" s="13">
        <f>Neaps!Q32</f>
        <v>12</v>
      </c>
      <c r="AT31" s="13">
        <f>Neaps!R32</f>
        <v>0.35771592180607326</v>
      </c>
      <c r="AU31" s="34">
        <f>AS31-Neaps!$A$3</f>
        <v>-20</v>
      </c>
      <c r="AV31" s="17">
        <f>'Wave particle velocity'!$B$15*'Wave particle velocity'!$B$13*((0.5*'Wave particle velocity'!$B$3)^2)*(EXP(2*'Wave particle velocity'!$B$15*AU31))</f>
        <v>1.6627904599742797E-6</v>
      </c>
      <c r="AW31" s="18">
        <f>0.5*'Wave particle velocity'!$B$13*EXP('Wave particle velocity'!$B$15*AU31)*COS(('Wave particle velocity'!$B$15*'Wave particle velocity'!$B$8)-('Wave particle velocity'!$B$13*'Wave particle velocity'!$B$9))</f>
        <v>-1.6384925323057659E-3</v>
      </c>
      <c r="AX31" s="37">
        <f t="shared" si="17"/>
        <v>0.3560790920642275</v>
      </c>
      <c r="AY31" s="13">
        <f>Neaps!S32</f>
        <v>12</v>
      </c>
      <c r="AZ31" s="13">
        <f>Neaps!T32</f>
        <v>0.67071735338638727</v>
      </c>
      <c r="BA31" s="34">
        <f>AY31-Neaps!$A$3</f>
        <v>-20</v>
      </c>
      <c r="BB31" s="17">
        <f>'Wave particle velocity'!$B$15*'Wave particle velocity'!$B$13*((0.5*'Wave particle velocity'!$B$3)^2)*(EXP(2*'Wave particle velocity'!$B$15*BA31))</f>
        <v>1.6627904599742797E-6</v>
      </c>
      <c r="BC31" s="18">
        <f>0.5*'Wave particle velocity'!$B$13*EXP('Wave particle velocity'!$B$15*BA31)*COS(('Wave particle velocity'!$B$15*'Wave particle velocity'!$B$8)-('Wave particle velocity'!$B$13*'Wave particle velocity'!$B$9))</f>
        <v>-1.6384925323057659E-3</v>
      </c>
      <c r="BD31" s="37">
        <f t="shared" si="18"/>
        <v>0.66908052364454151</v>
      </c>
      <c r="BE31" s="13">
        <f>Neaps!U32</f>
        <v>12</v>
      </c>
      <c r="BF31" s="13">
        <f>Neaps!V32</f>
        <v>0.89428980451518303</v>
      </c>
      <c r="BG31" s="34">
        <f>BE31-Neaps!$A$3</f>
        <v>-20</v>
      </c>
      <c r="BH31" s="17">
        <f>'Wave particle velocity'!$B$15*'Wave particle velocity'!$B$13*((0.5*'Wave particle velocity'!$B$3)^2)*(EXP(2*'Wave particle velocity'!$B$15*BG31))</f>
        <v>1.6627904599742797E-6</v>
      </c>
      <c r="BI31" s="18">
        <f>0.5*'Wave particle velocity'!$B$13*EXP('Wave particle velocity'!$B$15*BG31)*COS(('Wave particle velocity'!$B$15*'Wave particle velocity'!$B$8)-('Wave particle velocity'!$B$13*'Wave particle velocity'!$B$9))</f>
        <v>-1.6384925323057659E-3</v>
      </c>
      <c r="BJ31" s="37">
        <f t="shared" si="19"/>
        <v>0.89265297477333727</v>
      </c>
      <c r="BK31" s="13">
        <f>Neaps!W32</f>
        <v>12</v>
      </c>
      <c r="BL31" s="13">
        <f>Neaps!X32</f>
        <v>0.8495753142894239</v>
      </c>
      <c r="BM31" s="34">
        <f>BK31-Neaps!$A$3</f>
        <v>-20</v>
      </c>
      <c r="BN31" s="17">
        <f>'Wave particle velocity'!$B$15*'Wave particle velocity'!$B$13*((0.5*'Wave particle velocity'!$B$3)^2)*(EXP(2*'Wave particle velocity'!$B$15*BM31))</f>
        <v>1.6627904599742797E-6</v>
      </c>
      <c r="BO31" s="18">
        <f>0.5*'Wave particle velocity'!$B$13*EXP('Wave particle velocity'!$B$15*BM31)*COS(('Wave particle velocity'!$B$15*'Wave particle velocity'!$B$8)-('Wave particle velocity'!$B$13*'Wave particle velocity'!$B$9))</f>
        <v>-1.6384925323057659E-3</v>
      </c>
      <c r="BP31" s="37">
        <f t="shared" si="20"/>
        <v>0.84793848454757814</v>
      </c>
      <c r="BQ31" s="13">
        <f>Neaps!Y32</f>
        <v>12</v>
      </c>
      <c r="BR31" s="13">
        <f>Neaps!Z32</f>
        <v>0.58128837293486901</v>
      </c>
      <c r="BS31" s="34">
        <f>BQ31-Neaps!$A$3</f>
        <v>-20</v>
      </c>
      <c r="BT31" s="17">
        <f>'Wave particle velocity'!$B$15*'Wave particle velocity'!$B$13*((0.5*'Wave particle velocity'!$B$3)^2)*(EXP(2*'Wave particle velocity'!$B$15*BS31))</f>
        <v>1.6627904599742797E-6</v>
      </c>
      <c r="BU31" s="18">
        <f>0.5*'Wave particle velocity'!$B$13*EXP('Wave particle velocity'!$B$15*BS31)*COS(('Wave particle velocity'!$B$15*'Wave particle velocity'!$B$8)-('Wave particle velocity'!$B$13*'Wave particle velocity'!$B$9))</f>
        <v>-1.6384925323057659E-3</v>
      </c>
      <c r="BV31" s="37">
        <f t="shared" si="21"/>
        <v>0.57965154319302326</v>
      </c>
    </row>
    <row r="32" spans="2:74" ht="15.75" thickBot="1">
      <c r="B32" s="16">
        <f>Neaps!C33</f>
        <v>11</v>
      </c>
      <c r="C32" s="34">
        <f>Neaps!D33</f>
        <v>8.8324240921901317E-2</v>
      </c>
      <c r="D32" s="34">
        <f>B32-Neaps!$A$3</f>
        <v>-21</v>
      </c>
      <c r="E32" s="17">
        <f>'Wave particle velocity'!$B$15*'Wave particle velocity'!$B$13*((0.5*'Wave particle velocity'!$B$3)^2)*(EXP(2*'Wave particle velocity'!$B$15*D32))</f>
        <v>8.87078908376176E-7</v>
      </c>
      <c r="F32" s="18">
        <f>0.5*'Wave particle velocity'!$B$13*EXP('Wave particle velocity'!$B$15*D32)*COS(('Wave particle velocity'!$B$15*'Wave particle velocity'!$B$8)-('Wave particle velocity'!$B$13*'Wave particle velocity'!$B$9))</f>
        <v>-1.1967593548592413E-3</v>
      </c>
      <c r="G32" s="37">
        <f t="shared" si="11"/>
        <v>8.7128368645950444E-2</v>
      </c>
      <c r="H32" s="18">
        <f>Neaps!I33</f>
        <v>11</v>
      </c>
      <c r="I32" s="13">
        <f>Neaps!E33</f>
        <v>11</v>
      </c>
      <c r="J32" s="13">
        <f>Neaps!F33</f>
        <v>0.52994544553140788</v>
      </c>
      <c r="K32" s="34">
        <f>I32-Neaps!$A$3</f>
        <v>-21</v>
      </c>
      <c r="L32" s="17">
        <f>'Wave particle velocity'!$B$15*'Wave particle velocity'!$B$13*((0.5*'Wave particle velocity'!$B$3)^2)*(EXP(2*'Wave particle velocity'!$B$15*K32))</f>
        <v>8.87078908376176E-7</v>
      </c>
      <c r="M32" s="18">
        <f>0.5*'Wave particle velocity'!$B$13*EXP('Wave particle velocity'!$B$15*K32)*COS(('Wave particle velocity'!$B$15*'Wave particle velocity'!$B$8)-('Wave particle velocity'!$B$13*'Wave particle velocity'!$B$9))</f>
        <v>-1.1967593548592413E-3</v>
      </c>
      <c r="N32" s="37">
        <f t="shared" si="10"/>
        <v>0.52874957325545702</v>
      </c>
      <c r="O32" s="13">
        <f>Neaps!G33</f>
        <v>11</v>
      </c>
      <c r="P32" s="13">
        <f>Neaps!H33</f>
        <v>0.88324240921901309</v>
      </c>
      <c r="Q32" s="34">
        <f>O32-Neaps!$A$3</f>
        <v>-21</v>
      </c>
      <c r="R32" s="17">
        <f>'Wave particle velocity'!$B$15*'Wave particle velocity'!$B$13*((0.5*'Wave particle velocity'!$B$3)^2)*(EXP(2*'Wave particle velocity'!$B$15*Q32))</f>
        <v>8.87078908376176E-7</v>
      </c>
      <c r="S32" s="18">
        <f>0.5*'Wave particle velocity'!$B$13*EXP('Wave particle velocity'!$B$15*Q32)*COS(('Wave particle velocity'!$B$15*'Wave particle velocity'!$B$8)-('Wave particle velocity'!$B$13*'Wave particle velocity'!$B$9))</f>
        <v>-1.1967593548592413E-3</v>
      </c>
      <c r="T32" s="37">
        <f t="shared" si="9"/>
        <v>0.88204653694306223</v>
      </c>
      <c r="U32" s="13">
        <f>Neaps!I33</f>
        <v>11</v>
      </c>
      <c r="V32" s="13">
        <f>Neaps!J33</f>
        <v>0.9274045296799639</v>
      </c>
      <c r="W32" s="34">
        <f>U32-Neaps!$A$3</f>
        <v>-21</v>
      </c>
      <c r="X32" s="17">
        <f>'Wave particle velocity'!$B$15*'Wave particle velocity'!$B$13*((0.5*'Wave particle velocity'!$B$3)^2)*(EXP(2*'Wave particle velocity'!$B$15*W32))</f>
        <v>8.87078908376176E-7</v>
      </c>
      <c r="Y32" s="18">
        <f>0.5*'Wave particle velocity'!$B$13*EXP('Wave particle velocity'!$B$15*W32)*COS(('Wave particle velocity'!$B$15*'Wave particle velocity'!$B$8)-('Wave particle velocity'!$B$13*'Wave particle velocity'!$B$9))</f>
        <v>-1.1967593548592413E-3</v>
      </c>
      <c r="Z32" s="37">
        <f t="shared" si="8"/>
        <v>0.92620865740401304</v>
      </c>
      <c r="AA32" s="13">
        <f>Neaps!K33</f>
        <v>11</v>
      </c>
      <c r="AB32" s="57">
        <f>Neaps!L33</f>
        <v>0.79491816829711182</v>
      </c>
      <c r="AC32" s="34">
        <f>AA32-Neaps!$A$3</f>
        <v>-21</v>
      </c>
      <c r="AD32" s="17">
        <f>'Wave particle velocity'!$B$15*'Wave particle velocity'!$B$13*((0.5*'Wave particle velocity'!$B$3)^2)*(EXP(2*'Wave particle velocity'!$B$15*AC32))</f>
        <v>8.87078908376176E-7</v>
      </c>
      <c r="AE32" s="18">
        <f>0.5*'Wave particle velocity'!$B$13*EXP('Wave particle velocity'!$B$15*AC32)*COS(('Wave particle velocity'!$B$15*'Wave particle velocity'!$B$8)-('Wave particle velocity'!$B$13*'Wave particle velocity'!$B$9))</f>
        <v>-1.1967593548592413E-3</v>
      </c>
      <c r="AF32" s="37">
        <f t="shared" si="7"/>
        <v>0.79372229602116096</v>
      </c>
      <c r="AG32" s="13">
        <f>Neaps!M33</f>
        <v>11</v>
      </c>
      <c r="AH32" s="57">
        <f>Neaps!N33</f>
        <v>0.35329696368760527</v>
      </c>
      <c r="AI32" s="34">
        <f>AG32-Neaps!$A$3</f>
        <v>-21</v>
      </c>
      <c r="AJ32" s="17">
        <f>'Wave particle velocity'!$B$15*'Wave particle velocity'!$B$13*((0.5*'Wave particle velocity'!$B$3)^2)*(EXP(2*'Wave particle velocity'!$B$15*AI32))</f>
        <v>8.87078908376176E-7</v>
      </c>
      <c r="AK32" s="18">
        <f>0.5*'Wave particle velocity'!$B$13*EXP('Wave particle velocity'!$B$15*AI32)*COS(('Wave particle velocity'!$B$15*'Wave particle velocity'!$B$8)-('Wave particle velocity'!$B$13*'Wave particle velocity'!$B$9))</f>
        <v>-1.1967593548592413E-3</v>
      </c>
      <c r="AL32" s="37">
        <f t="shared" si="6"/>
        <v>0.35210109141165441</v>
      </c>
      <c r="AM32" s="13">
        <f>Neaps!O33</f>
        <v>11</v>
      </c>
      <c r="AN32" s="57">
        <f>Neaps!P33</f>
        <v>4.4162120460950659E-2</v>
      </c>
      <c r="AO32" s="34">
        <f>AM32-Neaps!$A$3</f>
        <v>-21</v>
      </c>
      <c r="AP32" s="17">
        <f>'Wave particle velocity'!$B$15*'Wave particle velocity'!$B$13*((0.5*'Wave particle velocity'!$B$3)^2)*(EXP(2*'Wave particle velocity'!$B$15*AO32))</f>
        <v>8.87078908376176E-7</v>
      </c>
      <c r="AQ32" s="18">
        <f>0.5*'Wave particle velocity'!$B$13*EXP('Wave particle velocity'!$B$15*AO32)*COS(('Wave particle velocity'!$B$15*'Wave particle velocity'!$B$8)-('Wave particle velocity'!$B$13*'Wave particle velocity'!$B$9))</f>
        <v>-1.1967593548592413E-3</v>
      </c>
      <c r="AR32" s="37">
        <f t="shared" si="5"/>
        <v>4.2966248184999792E-2</v>
      </c>
      <c r="AS32" s="13">
        <f>Neaps!Q33</f>
        <v>11</v>
      </c>
      <c r="AT32" s="13">
        <f>Neaps!R33</f>
        <v>0.35329696368760527</v>
      </c>
      <c r="AU32" s="34">
        <f>AS32-Neaps!$A$3</f>
        <v>-21</v>
      </c>
      <c r="AV32" s="17">
        <f>'Wave particle velocity'!$B$15*'Wave particle velocity'!$B$13*((0.5*'Wave particle velocity'!$B$3)^2)*(EXP(2*'Wave particle velocity'!$B$15*AU32))</f>
        <v>8.87078908376176E-7</v>
      </c>
      <c r="AW32" s="18">
        <f>0.5*'Wave particle velocity'!$B$13*EXP('Wave particle velocity'!$B$15*AU32)*COS(('Wave particle velocity'!$B$15*'Wave particle velocity'!$B$8)-('Wave particle velocity'!$B$13*'Wave particle velocity'!$B$9))</f>
        <v>-1.1967593548592413E-3</v>
      </c>
      <c r="AX32" s="37">
        <f t="shared" si="17"/>
        <v>0.35210109141165441</v>
      </c>
      <c r="AY32" s="13">
        <f>Neaps!S33</f>
        <v>11</v>
      </c>
      <c r="AZ32" s="13">
        <f>Neaps!T33</f>
        <v>0.66243180691425985</v>
      </c>
      <c r="BA32" s="34">
        <f>AY32-Neaps!$A$3</f>
        <v>-21</v>
      </c>
      <c r="BB32" s="17">
        <f>'Wave particle velocity'!$B$15*'Wave particle velocity'!$B$13*((0.5*'Wave particle velocity'!$B$3)^2)*(EXP(2*'Wave particle velocity'!$B$15*BA32))</f>
        <v>8.87078908376176E-7</v>
      </c>
      <c r="BC32" s="18">
        <f>0.5*'Wave particle velocity'!$B$13*EXP('Wave particle velocity'!$B$15*BA32)*COS(('Wave particle velocity'!$B$15*'Wave particle velocity'!$B$8)-('Wave particle velocity'!$B$13*'Wave particle velocity'!$B$9))</f>
        <v>-1.1967593548592413E-3</v>
      </c>
      <c r="BD32" s="37">
        <f t="shared" si="18"/>
        <v>0.66123593463830899</v>
      </c>
      <c r="BE32" s="13">
        <f>Neaps!U33</f>
        <v>11</v>
      </c>
      <c r="BF32" s="13">
        <f>Neaps!V33</f>
        <v>0.88324240921901309</v>
      </c>
      <c r="BG32" s="34">
        <f>BE32-Neaps!$A$3</f>
        <v>-21</v>
      </c>
      <c r="BH32" s="17">
        <f>'Wave particle velocity'!$B$15*'Wave particle velocity'!$B$13*((0.5*'Wave particle velocity'!$B$3)^2)*(EXP(2*'Wave particle velocity'!$B$15*BG32))</f>
        <v>8.87078908376176E-7</v>
      </c>
      <c r="BI32" s="18">
        <f>0.5*'Wave particle velocity'!$B$13*EXP('Wave particle velocity'!$B$15*BG32)*COS(('Wave particle velocity'!$B$15*'Wave particle velocity'!$B$8)-('Wave particle velocity'!$B$13*'Wave particle velocity'!$B$9))</f>
        <v>-1.1967593548592413E-3</v>
      </c>
      <c r="BJ32" s="37">
        <f t="shared" si="19"/>
        <v>0.88204653694306223</v>
      </c>
      <c r="BK32" s="13">
        <f>Neaps!W33</f>
        <v>11</v>
      </c>
      <c r="BL32" s="13">
        <f>Neaps!X33</f>
        <v>0.8390802887580624</v>
      </c>
      <c r="BM32" s="34">
        <f>BK32-Neaps!$A$3</f>
        <v>-21</v>
      </c>
      <c r="BN32" s="17">
        <f>'Wave particle velocity'!$B$15*'Wave particle velocity'!$B$13*((0.5*'Wave particle velocity'!$B$3)^2)*(EXP(2*'Wave particle velocity'!$B$15*BM32))</f>
        <v>8.87078908376176E-7</v>
      </c>
      <c r="BO32" s="18">
        <f>0.5*'Wave particle velocity'!$B$13*EXP('Wave particle velocity'!$B$15*BM32)*COS(('Wave particle velocity'!$B$15*'Wave particle velocity'!$B$8)-('Wave particle velocity'!$B$13*'Wave particle velocity'!$B$9))</f>
        <v>-1.1967593548592413E-3</v>
      </c>
      <c r="BP32" s="37">
        <f t="shared" si="20"/>
        <v>0.83788441648211154</v>
      </c>
      <c r="BQ32" s="13">
        <f>Neaps!Y33</f>
        <v>11</v>
      </c>
      <c r="BR32" s="13">
        <f>Neaps!Z33</f>
        <v>0.57410756599235857</v>
      </c>
      <c r="BS32" s="34">
        <f>BQ32-Neaps!$A$3</f>
        <v>-21</v>
      </c>
      <c r="BT32" s="17">
        <f>'Wave particle velocity'!$B$15*'Wave particle velocity'!$B$13*((0.5*'Wave particle velocity'!$B$3)^2)*(EXP(2*'Wave particle velocity'!$B$15*BS32))</f>
        <v>8.87078908376176E-7</v>
      </c>
      <c r="BU32" s="18">
        <f>0.5*'Wave particle velocity'!$B$13*EXP('Wave particle velocity'!$B$15*BS32)*COS(('Wave particle velocity'!$B$15*'Wave particle velocity'!$B$8)-('Wave particle velocity'!$B$13*'Wave particle velocity'!$B$9))</f>
        <v>-1.1967593548592413E-3</v>
      </c>
      <c r="BV32" s="37">
        <f t="shared" si="21"/>
        <v>0.57291169371640771</v>
      </c>
    </row>
    <row r="33" spans="2:74" ht="15.75" thickBot="1">
      <c r="B33" s="16">
        <f>Neaps!C34</f>
        <v>10</v>
      </c>
      <c r="C33" s="34">
        <f>Neaps!D34</f>
        <v>8.7129791136161525E-2</v>
      </c>
      <c r="D33" s="34">
        <f>B33-Neaps!$A$3</f>
        <v>-22</v>
      </c>
      <c r="E33" s="17">
        <f>'Wave particle velocity'!$B$15*'Wave particle velocity'!$B$13*((0.5*'Wave particle velocity'!$B$3)^2)*(EXP(2*'Wave particle velocity'!$B$15*D33))</f>
        <v>4.7324603347678583E-7</v>
      </c>
      <c r="F33" s="18">
        <f>0.5*'Wave particle velocity'!$B$13*EXP('Wave particle velocity'!$B$15*D33)*COS(('Wave particle velocity'!$B$15*'Wave particle velocity'!$B$8)-('Wave particle velocity'!$B$13*'Wave particle velocity'!$B$9))</f>
        <v>-8.7411625332683084E-4</v>
      </c>
      <c r="G33" s="37">
        <f t="shared" si="11"/>
        <v>8.6256148128868171E-2</v>
      </c>
      <c r="H33" s="18">
        <f>Neaps!I34</f>
        <v>10</v>
      </c>
      <c r="I33" s="13">
        <f>Neaps!E34</f>
        <v>10</v>
      </c>
      <c r="J33" s="13">
        <f>Neaps!F34</f>
        <v>0.52277874681696912</v>
      </c>
      <c r="K33" s="34">
        <f>I33-Neaps!$A$3</f>
        <v>-22</v>
      </c>
      <c r="L33" s="17">
        <f>'Wave particle velocity'!$B$15*'Wave particle velocity'!$B$13*((0.5*'Wave particle velocity'!$B$3)^2)*(EXP(2*'Wave particle velocity'!$B$15*K33))</f>
        <v>4.7324603347678583E-7</v>
      </c>
      <c r="M33" s="18">
        <f>0.5*'Wave particle velocity'!$B$13*EXP('Wave particle velocity'!$B$15*K33)*COS(('Wave particle velocity'!$B$15*'Wave particle velocity'!$B$8)-('Wave particle velocity'!$B$13*'Wave particle velocity'!$B$9))</f>
        <v>-8.7411625332683084E-4</v>
      </c>
      <c r="N33" s="37">
        <f t="shared" si="10"/>
        <v>0.52190510380967581</v>
      </c>
      <c r="O33" s="13">
        <f>Neaps!G34</f>
        <v>10</v>
      </c>
      <c r="P33" s="13">
        <f>Neaps!H34</f>
        <v>0.87129791136161516</v>
      </c>
      <c r="Q33" s="34">
        <f>O33-Neaps!$A$3</f>
        <v>-22</v>
      </c>
      <c r="R33" s="17">
        <f>'Wave particle velocity'!$B$15*'Wave particle velocity'!$B$13*((0.5*'Wave particle velocity'!$B$3)^2)*(EXP(2*'Wave particle velocity'!$B$15*Q33))</f>
        <v>4.7324603347678583E-7</v>
      </c>
      <c r="S33" s="18">
        <f>0.5*'Wave particle velocity'!$B$13*EXP('Wave particle velocity'!$B$15*Q33)*COS(('Wave particle velocity'!$B$15*'Wave particle velocity'!$B$8)-('Wave particle velocity'!$B$13*'Wave particle velocity'!$B$9))</f>
        <v>-8.7411625332683084E-4</v>
      </c>
      <c r="T33" s="37">
        <f t="shared" si="9"/>
        <v>0.87042426835432185</v>
      </c>
      <c r="U33" s="13">
        <f>Neaps!I34</f>
        <v>10</v>
      </c>
      <c r="V33" s="13">
        <f>Neaps!J34</f>
        <v>0.91486280692969613</v>
      </c>
      <c r="W33" s="34">
        <f>U33-Neaps!$A$3</f>
        <v>-22</v>
      </c>
      <c r="X33" s="17">
        <f>'Wave particle velocity'!$B$15*'Wave particle velocity'!$B$13*((0.5*'Wave particle velocity'!$B$3)^2)*(EXP(2*'Wave particle velocity'!$B$15*W33))</f>
        <v>4.7324603347678583E-7</v>
      </c>
      <c r="Y33" s="18">
        <f>0.5*'Wave particle velocity'!$B$13*EXP('Wave particle velocity'!$B$15*W33)*COS(('Wave particle velocity'!$B$15*'Wave particle velocity'!$B$8)-('Wave particle velocity'!$B$13*'Wave particle velocity'!$B$9))</f>
        <v>-8.7411625332683084E-4</v>
      </c>
      <c r="Z33" s="37">
        <f t="shared" si="8"/>
        <v>0.91398916392240281</v>
      </c>
      <c r="AA33" s="13">
        <f>Neaps!K34</f>
        <v>10</v>
      </c>
      <c r="AB33" s="57">
        <f>Neaps!L34</f>
        <v>0.78416812022545368</v>
      </c>
      <c r="AC33" s="34">
        <f>AA33-Neaps!$A$3</f>
        <v>-22</v>
      </c>
      <c r="AD33" s="17">
        <f>'Wave particle velocity'!$B$15*'Wave particle velocity'!$B$13*((0.5*'Wave particle velocity'!$B$3)^2)*(EXP(2*'Wave particle velocity'!$B$15*AC33))</f>
        <v>4.7324603347678583E-7</v>
      </c>
      <c r="AE33" s="18">
        <f>0.5*'Wave particle velocity'!$B$13*EXP('Wave particle velocity'!$B$15*AC33)*COS(('Wave particle velocity'!$B$15*'Wave particle velocity'!$B$8)-('Wave particle velocity'!$B$13*'Wave particle velocity'!$B$9))</f>
        <v>-8.7411625332683084E-4</v>
      </c>
      <c r="AF33" s="37">
        <f t="shared" si="7"/>
        <v>0.78329447721816037</v>
      </c>
      <c r="AG33" s="13">
        <f>Neaps!M34</f>
        <v>10</v>
      </c>
      <c r="AH33" s="57">
        <f>Neaps!N34</f>
        <v>0.3485191645446461</v>
      </c>
      <c r="AI33" s="34">
        <f>AG33-Neaps!$A$3</f>
        <v>-22</v>
      </c>
      <c r="AJ33" s="17">
        <f>'Wave particle velocity'!$B$15*'Wave particle velocity'!$B$13*((0.5*'Wave particle velocity'!$B$3)^2)*(EXP(2*'Wave particle velocity'!$B$15*AI33))</f>
        <v>4.7324603347678583E-7</v>
      </c>
      <c r="AK33" s="18">
        <f>0.5*'Wave particle velocity'!$B$13*EXP('Wave particle velocity'!$B$15*AI33)*COS(('Wave particle velocity'!$B$15*'Wave particle velocity'!$B$8)-('Wave particle velocity'!$B$13*'Wave particle velocity'!$B$9))</f>
        <v>-8.7411625332683084E-4</v>
      </c>
      <c r="AL33" s="37">
        <f t="shared" si="6"/>
        <v>0.34764552153735273</v>
      </c>
      <c r="AM33" s="13">
        <f>Neaps!O34</f>
        <v>10</v>
      </c>
      <c r="AN33" s="57">
        <f>Neaps!P34</f>
        <v>4.3564895568080762E-2</v>
      </c>
      <c r="AO33" s="34">
        <f>AM33-Neaps!$A$3</f>
        <v>-22</v>
      </c>
      <c r="AP33" s="17">
        <f>'Wave particle velocity'!$B$15*'Wave particle velocity'!$B$13*((0.5*'Wave particle velocity'!$B$3)^2)*(EXP(2*'Wave particle velocity'!$B$15*AO33))</f>
        <v>4.7324603347678583E-7</v>
      </c>
      <c r="AQ33" s="18">
        <f>0.5*'Wave particle velocity'!$B$13*EXP('Wave particle velocity'!$B$15*AO33)*COS(('Wave particle velocity'!$B$15*'Wave particle velocity'!$B$8)-('Wave particle velocity'!$B$13*'Wave particle velocity'!$B$9))</f>
        <v>-8.7411625332683084E-4</v>
      </c>
      <c r="AR33" s="37">
        <f t="shared" si="5"/>
        <v>4.2691252560787409E-2</v>
      </c>
      <c r="AS33" s="13">
        <f>Neaps!Q34</f>
        <v>10</v>
      </c>
      <c r="AT33" s="13">
        <f>Neaps!R34</f>
        <v>0.3485191645446461</v>
      </c>
      <c r="AU33" s="34">
        <f>AS33-Neaps!$A$3</f>
        <v>-22</v>
      </c>
      <c r="AV33" s="17">
        <f>'Wave particle velocity'!$B$15*'Wave particle velocity'!$B$13*((0.5*'Wave particle velocity'!$B$3)^2)*(EXP(2*'Wave particle velocity'!$B$15*AU33))</f>
        <v>4.7324603347678583E-7</v>
      </c>
      <c r="AW33" s="18">
        <f>0.5*'Wave particle velocity'!$B$13*EXP('Wave particle velocity'!$B$15*AU33)*COS(('Wave particle velocity'!$B$15*'Wave particle velocity'!$B$8)-('Wave particle velocity'!$B$13*'Wave particle velocity'!$B$9))</f>
        <v>-8.7411625332683084E-4</v>
      </c>
      <c r="AX33" s="37">
        <f t="shared" si="17"/>
        <v>0.34764552153735273</v>
      </c>
      <c r="AY33" s="13">
        <f>Neaps!S34</f>
        <v>10</v>
      </c>
      <c r="AZ33" s="13">
        <f>Neaps!T34</f>
        <v>0.65347343352121146</v>
      </c>
      <c r="BA33" s="34">
        <f>AY33-Neaps!$A$3</f>
        <v>-22</v>
      </c>
      <c r="BB33" s="17">
        <f>'Wave particle velocity'!$B$15*'Wave particle velocity'!$B$13*((0.5*'Wave particle velocity'!$B$3)^2)*(EXP(2*'Wave particle velocity'!$B$15*BA33))</f>
        <v>4.7324603347678583E-7</v>
      </c>
      <c r="BC33" s="18">
        <f>0.5*'Wave particle velocity'!$B$13*EXP('Wave particle velocity'!$B$15*BA33)*COS(('Wave particle velocity'!$B$15*'Wave particle velocity'!$B$8)-('Wave particle velocity'!$B$13*'Wave particle velocity'!$B$9))</f>
        <v>-8.7411625332683084E-4</v>
      </c>
      <c r="BD33" s="37">
        <f t="shared" si="18"/>
        <v>0.65259979051391814</v>
      </c>
      <c r="BE33" s="13">
        <f>Neaps!U34</f>
        <v>10</v>
      </c>
      <c r="BF33" s="13">
        <f>Neaps!V34</f>
        <v>0.87129791136161516</v>
      </c>
      <c r="BG33" s="34">
        <f>BE33-Neaps!$A$3</f>
        <v>-22</v>
      </c>
      <c r="BH33" s="17">
        <f>'Wave particle velocity'!$B$15*'Wave particle velocity'!$B$13*((0.5*'Wave particle velocity'!$B$3)^2)*(EXP(2*'Wave particle velocity'!$B$15*BG33))</f>
        <v>4.7324603347678583E-7</v>
      </c>
      <c r="BI33" s="18">
        <f>0.5*'Wave particle velocity'!$B$13*EXP('Wave particle velocity'!$B$15*BG33)*COS(('Wave particle velocity'!$B$15*'Wave particle velocity'!$B$8)-('Wave particle velocity'!$B$13*'Wave particle velocity'!$B$9))</f>
        <v>-8.7411625332683084E-4</v>
      </c>
      <c r="BJ33" s="37">
        <f t="shared" si="19"/>
        <v>0.87042426835432185</v>
      </c>
      <c r="BK33" s="13">
        <f>Neaps!W34</f>
        <v>10</v>
      </c>
      <c r="BL33" s="13">
        <f>Neaps!X34</f>
        <v>0.82773301579353442</v>
      </c>
      <c r="BM33" s="34">
        <f>BK33-Neaps!$A$3</f>
        <v>-22</v>
      </c>
      <c r="BN33" s="17">
        <f>'Wave particle velocity'!$B$15*'Wave particle velocity'!$B$13*((0.5*'Wave particle velocity'!$B$3)^2)*(EXP(2*'Wave particle velocity'!$B$15*BM33))</f>
        <v>4.7324603347678583E-7</v>
      </c>
      <c r="BO33" s="18">
        <f>0.5*'Wave particle velocity'!$B$13*EXP('Wave particle velocity'!$B$15*BM33)*COS(('Wave particle velocity'!$B$15*'Wave particle velocity'!$B$8)-('Wave particle velocity'!$B$13*'Wave particle velocity'!$B$9))</f>
        <v>-8.7411625332683084E-4</v>
      </c>
      <c r="BP33" s="37">
        <f t="shared" si="20"/>
        <v>0.82685937278624111</v>
      </c>
      <c r="BQ33" s="13">
        <f>Neaps!Y34</f>
        <v>10</v>
      </c>
      <c r="BR33" s="13">
        <f>Neaps!Z34</f>
        <v>0.56634364238504986</v>
      </c>
      <c r="BS33" s="34">
        <f>BQ33-Neaps!$A$3</f>
        <v>-22</v>
      </c>
      <c r="BT33" s="17">
        <f>'Wave particle velocity'!$B$15*'Wave particle velocity'!$B$13*((0.5*'Wave particle velocity'!$B$3)^2)*(EXP(2*'Wave particle velocity'!$B$15*BS33))</f>
        <v>4.7324603347678583E-7</v>
      </c>
      <c r="BU33" s="18">
        <f>0.5*'Wave particle velocity'!$B$13*EXP('Wave particle velocity'!$B$15*BS33)*COS(('Wave particle velocity'!$B$15*'Wave particle velocity'!$B$8)-('Wave particle velocity'!$B$13*'Wave particle velocity'!$B$9))</f>
        <v>-8.7411625332683084E-4</v>
      </c>
      <c r="BV33" s="37">
        <f t="shared" si="21"/>
        <v>0.56546999937775655</v>
      </c>
    </row>
    <row r="34" spans="2:74" ht="15.75" thickBot="1">
      <c r="B34" s="16">
        <f>Neaps!C35</f>
        <v>9</v>
      </c>
      <c r="C34" s="34">
        <f>Neaps!D35</f>
        <v>8.5828177086419891E-2</v>
      </c>
      <c r="D34" s="34">
        <f>B34-Neaps!$A$3</f>
        <v>-23</v>
      </c>
      <c r="E34" s="17">
        <f>'Wave particle velocity'!$B$15*'Wave particle velocity'!$B$13*((0.5*'Wave particle velocity'!$B$3)^2)*(EXP(2*'Wave particle velocity'!$B$15*D34))</f>
        <v>2.5247112301596682E-7</v>
      </c>
      <c r="F34" s="18">
        <f>0.5*'Wave particle velocity'!$B$13*EXP('Wave particle velocity'!$B$15*D34)*COS(('Wave particle velocity'!$B$15*'Wave particle velocity'!$B$8)-('Wave particle velocity'!$B$13*'Wave particle velocity'!$B$9))</f>
        <v>-6.3845686371927679E-4</v>
      </c>
      <c r="G34" s="37">
        <f t="shared" si="11"/>
        <v>8.518997269382364E-2</v>
      </c>
      <c r="H34" s="18">
        <f>Neaps!I35</f>
        <v>9</v>
      </c>
      <c r="I34" s="13">
        <f>Neaps!E35</f>
        <v>9</v>
      </c>
      <c r="J34" s="13">
        <f>Neaps!F35</f>
        <v>0.51496906251851926</v>
      </c>
      <c r="K34" s="34">
        <f>I34-Neaps!$A$3</f>
        <v>-23</v>
      </c>
      <c r="L34" s="17">
        <f>'Wave particle velocity'!$B$15*'Wave particle velocity'!$B$13*((0.5*'Wave particle velocity'!$B$3)^2)*(EXP(2*'Wave particle velocity'!$B$15*K34))</f>
        <v>2.5247112301596682E-7</v>
      </c>
      <c r="M34" s="18">
        <f>0.5*'Wave particle velocity'!$B$13*EXP('Wave particle velocity'!$B$15*K34)*COS(('Wave particle velocity'!$B$15*'Wave particle velocity'!$B$8)-('Wave particle velocity'!$B$13*'Wave particle velocity'!$B$9))</f>
        <v>-6.3845686371927679E-4</v>
      </c>
      <c r="N34" s="37">
        <f t="shared" si="10"/>
        <v>0.51433085812592294</v>
      </c>
      <c r="O34" s="13">
        <f>Neaps!G35</f>
        <v>9</v>
      </c>
      <c r="P34" s="13">
        <f>Neaps!H35</f>
        <v>0.85828177086419888</v>
      </c>
      <c r="Q34" s="34">
        <f>O34-Neaps!$A$3</f>
        <v>-23</v>
      </c>
      <c r="R34" s="17">
        <f>'Wave particle velocity'!$B$15*'Wave particle velocity'!$B$13*((0.5*'Wave particle velocity'!$B$3)^2)*(EXP(2*'Wave particle velocity'!$B$15*Q34))</f>
        <v>2.5247112301596682E-7</v>
      </c>
      <c r="S34" s="18">
        <f>0.5*'Wave particle velocity'!$B$13*EXP('Wave particle velocity'!$B$15*Q34)*COS(('Wave particle velocity'!$B$15*'Wave particle velocity'!$B$8)-('Wave particle velocity'!$B$13*'Wave particle velocity'!$B$9))</f>
        <v>-6.3845686371927679E-4</v>
      </c>
      <c r="T34" s="37">
        <f t="shared" si="9"/>
        <v>0.85764356647160256</v>
      </c>
      <c r="U34" s="13">
        <f>Neaps!I35</f>
        <v>9</v>
      </c>
      <c r="V34" s="13">
        <f>Neaps!J35</f>
        <v>0.90119585940740887</v>
      </c>
      <c r="W34" s="34">
        <f>U34-Neaps!$A$3</f>
        <v>-23</v>
      </c>
      <c r="X34" s="17">
        <f>'Wave particle velocity'!$B$15*'Wave particle velocity'!$B$13*((0.5*'Wave particle velocity'!$B$3)^2)*(EXP(2*'Wave particle velocity'!$B$15*W34))</f>
        <v>2.5247112301596682E-7</v>
      </c>
      <c r="Y34" s="18">
        <f>0.5*'Wave particle velocity'!$B$13*EXP('Wave particle velocity'!$B$15*W34)*COS(('Wave particle velocity'!$B$15*'Wave particle velocity'!$B$8)-('Wave particle velocity'!$B$13*'Wave particle velocity'!$B$9))</f>
        <v>-6.3845686371927679E-4</v>
      </c>
      <c r="Z34" s="37">
        <f t="shared" si="8"/>
        <v>0.90055765501481255</v>
      </c>
      <c r="AA34" s="13">
        <f>Neaps!K35</f>
        <v>9</v>
      </c>
      <c r="AB34" s="57">
        <f>Neaps!L35</f>
        <v>0.772453593777779</v>
      </c>
      <c r="AC34" s="34">
        <f>AA34-Neaps!$A$3</f>
        <v>-23</v>
      </c>
      <c r="AD34" s="17">
        <f>'Wave particle velocity'!$B$15*'Wave particle velocity'!$B$13*((0.5*'Wave particle velocity'!$B$3)^2)*(EXP(2*'Wave particle velocity'!$B$15*AC34))</f>
        <v>2.5247112301596682E-7</v>
      </c>
      <c r="AE34" s="18">
        <f>0.5*'Wave particle velocity'!$B$13*EXP('Wave particle velocity'!$B$15*AC34)*COS(('Wave particle velocity'!$B$15*'Wave particle velocity'!$B$8)-('Wave particle velocity'!$B$13*'Wave particle velocity'!$B$9))</f>
        <v>-6.3845686371927679E-4</v>
      </c>
      <c r="AF34" s="37">
        <f t="shared" si="7"/>
        <v>0.77181538938518268</v>
      </c>
      <c r="AG34" s="13">
        <f>Neaps!M35</f>
        <v>9</v>
      </c>
      <c r="AH34" s="57">
        <f>Neaps!N35</f>
        <v>0.34331270834567956</v>
      </c>
      <c r="AI34" s="34">
        <f>AG34-Neaps!$A$3</f>
        <v>-23</v>
      </c>
      <c r="AJ34" s="17">
        <f>'Wave particle velocity'!$B$15*'Wave particle velocity'!$B$13*((0.5*'Wave particle velocity'!$B$3)^2)*(EXP(2*'Wave particle velocity'!$B$15*AI34))</f>
        <v>2.5247112301596682E-7</v>
      </c>
      <c r="AK34" s="18">
        <f>0.5*'Wave particle velocity'!$B$13*EXP('Wave particle velocity'!$B$15*AI34)*COS(('Wave particle velocity'!$B$15*'Wave particle velocity'!$B$8)-('Wave particle velocity'!$B$13*'Wave particle velocity'!$B$9))</f>
        <v>-6.3845686371927679E-4</v>
      </c>
      <c r="AL34" s="37">
        <f t="shared" si="6"/>
        <v>0.3426745039530833</v>
      </c>
      <c r="AM34" s="13">
        <f>Neaps!O35</f>
        <v>9</v>
      </c>
      <c r="AN34" s="57">
        <f>Neaps!P35</f>
        <v>4.2914088543209945E-2</v>
      </c>
      <c r="AO34" s="34">
        <f>AM34-Neaps!$A$3</f>
        <v>-23</v>
      </c>
      <c r="AP34" s="17">
        <f>'Wave particle velocity'!$B$15*'Wave particle velocity'!$B$13*((0.5*'Wave particle velocity'!$B$3)^2)*(EXP(2*'Wave particle velocity'!$B$15*AO34))</f>
        <v>2.5247112301596682E-7</v>
      </c>
      <c r="AQ34" s="18">
        <f>0.5*'Wave particle velocity'!$B$13*EXP('Wave particle velocity'!$B$15*AO34)*COS(('Wave particle velocity'!$B$15*'Wave particle velocity'!$B$8)-('Wave particle velocity'!$B$13*'Wave particle velocity'!$B$9))</f>
        <v>-6.3845686371927679E-4</v>
      </c>
      <c r="AR34" s="37">
        <f t="shared" si="5"/>
        <v>4.2275884150613681E-2</v>
      </c>
      <c r="AS34" s="13">
        <f>Neaps!Q35</f>
        <v>9</v>
      </c>
      <c r="AT34" s="13">
        <f>Neaps!R35</f>
        <v>0.34331270834567956</v>
      </c>
      <c r="AU34" s="34">
        <f>AS34-Neaps!$A$3</f>
        <v>-23</v>
      </c>
      <c r="AV34" s="17">
        <f>'Wave particle velocity'!$B$15*'Wave particle velocity'!$B$13*((0.5*'Wave particle velocity'!$B$3)^2)*(EXP(2*'Wave particle velocity'!$B$15*AU34))</f>
        <v>2.5247112301596682E-7</v>
      </c>
      <c r="AW34" s="18">
        <f>0.5*'Wave particle velocity'!$B$13*EXP('Wave particle velocity'!$B$15*AU34)*COS(('Wave particle velocity'!$B$15*'Wave particle velocity'!$B$8)-('Wave particle velocity'!$B$13*'Wave particle velocity'!$B$9))</f>
        <v>-6.3845686371927679E-4</v>
      </c>
      <c r="AX34" s="37">
        <f t="shared" si="17"/>
        <v>0.3426745039530833</v>
      </c>
      <c r="AY34" s="13">
        <f>Neaps!S35</f>
        <v>9</v>
      </c>
      <c r="AZ34" s="13">
        <f>Neaps!T35</f>
        <v>0.64371132814814913</v>
      </c>
      <c r="BA34" s="34">
        <f>AY34-Neaps!$A$3</f>
        <v>-23</v>
      </c>
      <c r="BB34" s="17">
        <f>'Wave particle velocity'!$B$15*'Wave particle velocity'!$B$13*((0.5*'Wave particle velocity'!$B$3)^2)*(EXP(2*'Wave particle velocity'!$B$15*BA34))</f>
        <v>2.5247112301596682E-7</v>
      </c>
      <c r="BC34" s="18">
        <f>0.5*'Wave particle velocity'!$B$13*EXP('Wave particle velocity'!$B$15*BA34)*COS(('Wave particle velocity'!$B$15*'Wave particle velocity'!$B$8)-('Wave particle velocity'!$B$13*'Wave particle velocity'!$B$9))</f>
        <v>-6.3845686371927679E-4</v>
      </c>
      <c r="BD34" s="37">
        <f t="shared" si="18"/>
        <v>0.64307312375555281</v>
      </c>
      <c r="BE34" s="13">
        <f>Neaps!U35</f>
        <v>9</v>
      </c>
      <c r="BF34" s="13">
        <f>Neaps!V35</f>
        <v>0.85828177086419888</v>
      </c>
      <c r="BG34" s="34">
        <f>BE34-Neaps!$A$3</f>
        <v>-23</v>
      </c>
      <c r="BH34" s="17">
        <f>'Wave particle velocity'!$B$15*'Wave particle velocity'!$B$13*((0.5*'Wave particle velocity'!$B$3)^2)*(EXP(2*'Wave particle velocity'!$B$15*BG34))</f>
        <v>2.5247112301596682E-7</v>
      </c>
      <c r="BI34" s="18">
        <f>0.5*'Wave particle velocity'!$B$13*EXP('Wave particle velocity'!$B$15*BG34)*COS(('Wave particle velocity'!$B$15*'Wave particle velocity'!$B$8)-('Wave particle velocity'!$B$13*'Wave particle velocity'!$B$9))</f>
        <v>-6.3845686371927679E-4</v>
      </c>
      <c r="BJ34" s="37">
        <f t="shared" si="19"/>
        <v>0.85764356647160256</v>
      </c>
      <c r="BK34" s="13">
        <f>Neaps!W35</f>
        <v>9</v>
      </c>
      <c r="BL34" s="13">
        <f>Neaps!X35</f>
        <v>0.81536768232098888</v>
      </c>
      <c r="BM34" s="34">
        <f>BK34-Neaps!$A$3</f>
        <v>-23</v>
      </c>
      <c r="BN34" s="17">
        <f>'Wave particle velocity'!$B$15*'Wave particle velocity'!$B$13*((0.5*'Wave particle velocity'!$B$3)^2)*(EXP(2*'Wave particle velocity'!$B$15*BM34))</f>
        <v>2.5247112301596682E-7</v>
      </c>
      <c r="BO34" s="18">
        <f>0.5*'Wave particle velocity'!$B$13*EXP('Wave particle velocity'!$B$15*BM34)*COS(('Wave particle velocity'!$B$15*'Wave particle velocity'!$B$8)-('Wave particle velocity'!$B$13*'Wave particle velocity'!$B$9))</f>
        <v>-6.3845686371927679E-4</v>
      </c>
      <c r="BP34" s="37">
        <f t="shared" si="20"/>
        <v>0.81472947792839256</v>
      </c>
      <c r="BQ34" s="13">
        <f>Neaps!Y35</f>
        <v>9</v>
      </c>
      <c r="BR34" s="13">
        <f>Neaps!Z35</f>
        <v>0.55788315106172925</v>
      </c>
      <c r="BS34" s="34">
        <f>BQ34-Neaps!$A$3</f>
        <v>-23</v>
      </c>
      <c r="BT34" s="17">
        <f>'Wave particle velocity'!$B$15*'Wave particle velocity'!$B$13*((0.5*'Wave particle velocity'!$B$3)^2)*(EXP(2*'Wave particle velocity'!$B$15*BS34))</f>
        <v>2.5247112301596682E-7</v>
      </c>
      <c r="BU34" s="18">
        <f>0.5*'Wave particle velocity'!$B$13*EXP('Wave particle velocity'!$B$15*BS34)*COS(('Wave particle velocity'!$B$15*'Wave particle velocity'!$B$8)-('Wave particle velocity'!$B$13*'Wave particle velocity'!$B$9))</f>
        <v>-6.3845686371927679E-4</v>
      </c>
      <c r="BV34" s="37">
        <f t="shared" si="21"/>
        <v>0.55724494666913293</v>
      </c>
    </row>
    <row r="35" spans="2:74" ht="15.75" thickBot="1">
      <c r="B35" s="16">
        <f>Neaps!C36</f>
        <v>8</v>
      </c>
      <c r="C35" s="34">
        <f>Neaps!D36</f>
        <v>8.4396101426065795E-2</v>
      </c>
      <c r="D35" s="34">
        <f>B35-Neaps!$A$3</f>
        <v>-24</v>
      </c>
      <c r="E35" s="17">
        <f>'Wave particle velocity'!$B$15*'Wave particle velocity'!$B$13*((0.5*'Wave particle velocity'!$B$3)^2)*(EXP(2*'Wave particle velocity'!$B$15*D35))</f>
        <v>1.3469033747341524E-7</v>
      </c>
      <c r="F35" s="18">
        <f>0.5*'Wave particle velocity'!$B$13*EXP('Wave particle velocity'!$B$15*D35)*COS(('Wave particle velocity'!$B$15*'Wave particle velocity'!$B$8)-('Wave particle velocity'!$B$13*'Wave particle velocity'!$B$9))</f>
        <v>-4.6633061137903826E-4</v>
      </c>
      <c r="G35" s="37">
        <f t="shared" si="11"/>
        <v>8.392990550502423E-2</v>
      </c>
      <c r="H35" s="18">
        <f>Neaps!I36</f>
        <v>8</v>
      </c>
      <c r="I35" s="13">
        <f>Neaps!E36</f>
        <v>8</v>
      </c>
      <c r="J35" s="13">
        <f>Neaps!F36</f>
        <v>0.50637660855639466</v>
      </c>
      <c r="K35" s="34">
        <f>I35-Neaps!$A$3</f>
        <v>-24</v>
      </c>
      <c r="L35" s="17">
        <f>'Wave particle velocity'!$B$15*'Wave particle velocity'!$B$13*((0.5*'Wave particle velocity'!$B$3)^2)*(EXP(2*'Wave particle velocity'!$B$15*K35))</f>
        <v>1.3469033747341524E-7</v>
      </c>
      <c r="M35" s="18">
        <f>0.5*'Wave particle velocity'!$B$13*EXP('Wave particle velocity'!$B$15*K35)*COS(('Wave particle velocity'!$B$15*'Wave particle velocity'!$B$8)-('Wave particle velocity'!$B$13*'Wave particle velocity'!$B$9))</f>
        <v>-4.6633061137903826E-4</v>
      </c>
      <c r="N35" s="37">
        <f t="shared" si="10"/>
        <v>0.50591041263535308</v>
      </c>
      <c r="O35" s="13">
        <f>Neaps!G36</f>
        <v>8</v>
      </c>
      <c r="P35" s="13">
        <f>Neaps!H36</f>
        <v>0.84396101426065784</v>
      </c>
      <c r="Q35" s="34">
        <f>O35-Neaps!$A$3</f>
        <v>-24</v>
      </c>
      <c r="R35" s="17">
        <f>'Wave particle velocity'!$B$15*'Wave particle velocity'!$B$13*((0.5*'Wave particle velocity'!$B$3)^2)*(EXP(2*'Wave particle velocity'!$B$15*Q35))</f>
        <v>1.3469033747341524E-7</v>
      </c>
      <c r="S35" s="18">
        <f>0.5*'Wave particle velocity'!$B$13*EXP('Wave particle velocity'!$B$15*Q35)*COS(('Wave particle velocity'!$B$15*'Wave particle velocity'!$B$8)-('Wave particle velocity'!$B$13*'Wave particle velocity'!$B$9))</f>
        <v>-4.6633061137903826E-4</v>
      </c>
      <c r="T35" s="37">
        <f t="shared" si="9"/>
        <v>0.84349481833961626</v>
      </c>
      <c r="U35" s="13">
        <f>Neaps!I36</f>
        <v>8</v>
      </c>
      <c r="V35" s="13">
        <f>Neaps!J36</f>
        <v>0.8861590649736909</v>
      </c>
      <c r="W35" s="34">
        <f>U35-Neaps!$A$3</f>
        <v>-24</v>
      </c>
      <c r="X35" s="17">
        <f>'Wave particle velocity'!$B$15*'Wave particle velocity'!$B$13*((0.5*'Wave particle velocity'!$B$3)^2)*(EXP(2*'Wave particle velocity'!$B$15*W35))</f>
        <v>1.3469033747341524E-7</v>
      </c>
      <c r="Y35" s="18">
        <f>0.5*'Wave particle velocity'!$B$13*EXP('Wave particle velocity'!$B$15*W35)*COS(('Wave particle velocity'!$B$15*'Wave particle velocity'!$B$8)-('Wave particle velocity'!$B$13*'Wave particle velocity'!$B$9))</f>
        <v>-4.6633061137903826E-4</v>
      </c>
      <c r="Z35" s="37">
        <f t="shared" si="8"/>
        <v>0.88569286905264932</v>
      </c>
      <c r="AA35" s="13">
        <f>Neaps!K36</f>
        <v>8</v>
      </c>
      <c r="AB35" s="57">
        <f>Neaps!L36</f>
        <v>0.75956491283459215</v>
      </c>
      <c r="AC35" s="34">
        <f>AA35-Neaps!$A$3</f>
        <v>-24</v>
      </c>
      <c r="AD35" s="17">
        <f>'Wave particle velocity'!$B$15*'Wave particle velocity'!$B$13*((0.5*'Wave particle velocity'!$B$3)^2)*(EXP(2*'Wave particle velocity'!$B$15*AC35))</f>
        <v>1.3469033747341524E-7</v>
      </c>
      <c r="AE35" s="18">
        <f>0.5*'Wave particle velocity'!$B$13*EXP('Wave particle velocity'!$B$15*AC35)*COS(('Wave particle velocity'!$B$15*'Wave particle velocity'!$B$8)-('Wave particle velocity'!$B$13*'Wave particle velocity'!$B$9))</f>
        <v>-4.6633061137903826E-4</v>
      </c>
      <c r="AF35" s="37">
        <f t="shared" si="7"/>
        <v>0.75909871691355058</v>
      </c>
      <c r="AG35" s="13">
        <f>Neaps!M36</f>
        <v>8</v>
      </c>
      <c r="AH35" s="57">
        <f>Neaps!N36</f>
        <v>0.33758440570426318</v>
      </c>
      <c r="AI35" s="34">
        <f>AG35-Neaps!$A$3</f>
        <v>-24</v>
      </c>
      <c r="AJ35" s="17">
        <f>'Wave particle velocity'!$B$15*'Wave particle velocity'!$B$13*((0.5*'Wave particle velocity'!$B$3)^2)*(EXP(2*'Wave particle velocity'!$B$15*AI35))</f>
        <v>1.3469033747341524E-7</v>
      </c>
      <c r="AK35" s="18">
        <f>0.5*'Wave particle velocity'!$B$13*EXP('Wave particle velocity'!$B$15*AI35)*COS(('Wave particle velocity'!$B$15*'Wave particle velocity'!$B$8)-('Wave particle velocity'!$B$13*'Wave particle velocity'!$B$9))</f>
        <v>-4.6633061137903826E-4</v>
      </c>
      <c r="AL35" s="37">
        <f t="shared" si="6"/>
        <v>0.33711820978322166</v>
      </c>
      <c r="AM35" s="13">
        <f>Neaps!O36</f>
        <v>8</v>
      </c>
      <c r="AN35" s="57">
        <f>Neaps!P36</f>
        <v>4.2198050713032897E-2</v>
      </c>
      <c r="AO35" s="34">
        <f>AM35-Neaps!$A$3</f>
        <v>-24</v>
      </c>
      <c r="AP35" s="17">
        <f>'Wave particle velocity'!$B$15*'Wave particle velocity'!$B$13*((0.5*'Wave particle velocity'!$B$3)^2)*(EXP(2*'Wave particle velocity'!$B$15*AO35))</f>
        <v>1.3469033747341524E-7</v>
      </c>
      <c r="AQ35" s="18">
        <f>0.5*'Wave particle velocity'!$B$13*EXP('Wave particle velocity'!$B$15*AO35)*COS(('Wave particle velocity'!$B$15*'Wave particle velocity'!$B$8)-('Wave particle velocity'!$B$13*'Wave particle velocity'!$B$9))</f>
        <v>-4.6633061137903826E-4</v>
      </c>
      <c r="AR35" s="37">
        <f t="shared" si="5"/>
        <v>4.1731854791991332E-2</v>
      </c>
      <c r="AS35" s="13">
        <f>Neaps!Q36</f>
        <v>8</v>
      </c>
      <c r="AT35" s="13">
        <f>Neaps!R36</f>
        <v>0.33758440570426318</v>
      </c>
      <c r="AU35" s="34">
        <f>AS35-Neaps!$A$3</f>
        <v>-24</v>
      </c>
      <c r="AV35" s="17">
        <f>'Wave particle velocity'!$B$15*'Wave particle velocity'!$B$13*((0.5*'Wave particle velocity'!$B$3)^2)*(EXP(2*'Wave particle velocity'!$B$15*AU35))</f>
        <v>1.3469033747341524E-7</v>
      </c>
      <c r="AW35" s="18">
        <f>0.5*'Wave particle velocity'!$B$13*EXP('Wave particle velocity'!$B$15*AU35)*COS(('Wave particle velocity'!$B$15*'Wave particle velocity'!$B$8)-('Wave particle velocity'!$B$13*'Wave particle velocity'!$B$9))</f>
        <v>-4.6633061137903826E-4</v>
      </c>
      <c r="AX35" s="37">
        <f t="shared" si="17"/>
        <v>0.33711820978322166</v>
      </c>
      <c r="AY35" s="13">
        <f>Neaps!S36</f>
        <v>8</v>
      </c>
      <c r="AZ35" s="13">
        <f>Neaps!T36</f>
        <v>0.63297076069549341</v>
      </c>
      <c r="BA35" s="34">
        <f>AY35-Neaps!$A$3</f>
        <v>-24</v>
      </c>
      <c r="BB35" s="17">
        <f>'Wave particle velocity'!$B$15*'Wave particle velocity'!$B$13*((0.5*'Wave particle velocity'!$B$3)^2)*(EXP(2*'Wave particle velocity'!$B$15*BA35))</f>
        <v>1.3469033747341524E-7</v>
      </c>
      <c r="BC35" s="18">
        <f>0.5*'Wave particle velocity'!$B$13*EXP('Wave particle velocity'!$B$15*BA35)*COS(('Wave particle velocity'!$B$15*'Wave particle velocity'!$B$8)-('Wave particle velocity'!$B$13*'Wave particle velocity'!$B$9))</f>
        <v>-4.6633061137903826E-4</v>
      </c>
      <c r="BD35" s="37">
        <f t="shared" si="18"/>
        <v>0.63250456477445183</v>
      </c>
      <c r="BE35" s="13">
        <f>Neaps!U36</f>
        <v>8</v>
      </c>
      <c r="BF35" s="13">
        <f>Neaps!V36</f>
        <v>0.84396101426065784</v>
      </c>
      <c r="BG35" s="34">
        <f>BE35-Neaps!$A$3</f>
        <v>-24</v>
      </c>
      <c r="BH35" s="17">
        <f>'Wave particle velocity'!$B$15*'Wave particle velocity'!$B$13*((0.5*'Wave particle velocity'!$B$3)^2)*(EXP(2*'Wave particle velocity'!$B$15*BG35))</f>
        <v>1.3469033747341524E-7</v>
      </c>
      <c r="BI35" s="18">
        <f>0.5*'Wave particle velocity'!$B$13*EXP('Wave particle velocity'!$B$15*BG35)*COS(('Wave particle velocity'!$B$15*'Wave particle velocity'!$B$8)-('Wave particle velocity'!$B$13*'Wave particle velocity'!$B$9))</f>
        <v>-4.6633061137903826E-4</v>
      </c>
      <c r="BJ35" s="37">
        <f t="shared" si="19"/>
        <v>0.84349481833961626</v>
      </c>
      <c r="BK35" s="13">
        <f>Neaps!W36</f>
        <v>8</v>
      </c>
      <c r="BL35" s="13">
        <f>Neaps!X36</f>
        <v>0.801762963547625</v>
      </c>
      <c r="BM35" s="34">
        <f>BK35-Neaps!$A$3</f>
        <v>-24</v>
      </c>
      <c r="BN35" s="17">
        <f>'Wave particle velocity'!$B$15*'Wave particle velocity'!$B$13*((0.5*'Wave particle velocity'!$B$3)^2)*(EXP(2*'Wave particle velocity'!$B$15*BM35))</f>
        <v>1.3469033747341524E-7</v>
      </c>
      <c r="BO35" s="18">
        <f>0.5*'Wave particle velocity'!$B$13*EXP('Wave particle velocity'!$B$15*BM35)*COS(('Wave particle velocity'!$B$15*'Wave particle velocity'!$B$8)-('Wave particle velocity'!$B$13*'Wave particle velocity'!$B$9))</f>
        <v>-4.6633061137903826E-4</v>
      </c>
      <c r="BP35" s="37">
        <f t="shared" si="20"/>
        <v>0.80129676762658342</v>
      </c>
      <c r="BQ35" s="13">
        <f>Neaps!Y36</f>
        <v>8</v>
      </c>
      <c r="BR35" s="13">
        <f>Neaps!Z36</f>
        <v>0.54857465926942761</v>
      </c>
      <c r="BS35" s="34">
        <f>BQ35-Neaps!$A$3</f>
        <v>-24</v>
      </c>
      <c r="BT35" s="17">
        <f>'Wave particle velocity'!$B$15*'Wave particle velocity'!$B$13*((0.5*'Wave particle velocity'!$B$3)^2)*(EXP(2*'Wave particle velocity'!$B$15*BS35))</f>
        <v>1.3469033747341524E-7</v>
      </c>
      <c r="BU35" s="18">
        <f>0.5*'Wave particle velocity'!$B$13*EXP('Wave particle velocity'!$B$15*BS35)*COS(('Wave particle velocity'!$B$15*'Wave particle velocity'!$B$8)-('Wave particle velocity'!$B$13*'Wave particle velocity'!$B$9))</f>
        <v>-4.6633061137903826E-4</v>
      </c>
      <c r="BV35" s="37">
        <f t="shared" si="21"/>
        <v>0.54810846334838603</v>
      </c>
    </row>
    <row r="36" spans="2:74" ht="15.75" thickBot="1">
      <c r="B36" s="16">
        <f>Neaps!C37</f>
        <v>7</v>
      </c>
      <c r="C36" s="34">
        <f>Neaps!D37</f>
        <v>8.2801427010470802E-2</v>
      </c>
      <c r="D36" s="34">
        <f>B36-Neaps!$A$3</f>
        <v>-25</v>
      </c>
      <c r="E36" s="17">
        <f>'Wave particle velocity'!$B$15*'Wave particle velocity'!$B$13*((0.5*'Wave particle velocity'!$B$3)^2)*(EXP(2*'Wave particle velocity'!$B$15*D36))</f>
        <v>7.1855691027108782E-8</v>
      </c>
      <c r="F36" s="18">
        <f>0.5*'Wave particle velocity'!$B$13*EXP('Wave particle velocity'!$B$15*D36)*COS(('Wave particle velocity'!$B$15*'Wave particle velocity'!$B$8)-('Wave particle velocity'!$B$13*'Wave particle velocity'!$B$9))</f>
        <v>-3.4060913346960968E-4</v>
      </c>
      <c r="G36" s="37">
        <f t="shared" si="11"/>
        <v>8.2460889732692208E-2</v>
      </c>
      <c r="H36" s="18">
        <f>Neaps!I37</f>
        <v>7</v>
      </c>
      <c r="I36" s="13">
        <f>Neaps!E37</f>
        <v>7</v>
      </c>
      <c r="J36" s="13">
        <f>Neaps!F37</f>
        <v>0.49680856206282475</v>
      </c>
      <c r="K36" s="34">
        <f>I36-Neaps!$A$3</f>
        <v>-25</v>
      </c>
      <c r="L36" s="17">
        <f>'Wave particle velocity'!$B$15*'Wave particle velocity'!$B$13*((0.5*'Wave particle velocity'!$B$3)^2)*(EXP(2*'Wave particle velocity'!$B$15*K36))</f>
        <v>7.1855691027108782E-8</v>
      </c>
      <c r="M36" s="18">
        <f>0.5*'Wave particle velocity'!$B$13*EXP('Wave particle velocity'!$B$15*K36)*COS(('Wave particle velocity'!$B$15*'Wave particle velocity'!$B$8)-('Wave particle velocity'!$B$13*'Wave particle velocity'!$B$9))</f>
        <v>-3.4060913346960968E-4</v>
      </c>
      <c r="N36" s="37">
        <f t="shared" si="10"/>
        <v>0.49646802478504615</v>
      </c>
      <c r="O36" s="13">
        <f>Neaps!G37</f>
        <v>7</v>
      </c>
      <c r="P36" s="13">
        <f>Neaps!H37</f>
        <v>0.82801427010470796</v>
      </c>
      <c r="Q36" s="34">
        <f>O36-Neaps!$A$3</f>
        <v>-25</v>
      </c>
      <c r="R36" s="17">
        <f>'Wave particle velocity'!$B$15*'Wave particle velocity'!$B$13*((0.5*'Wave particle velocity'!$B$3)^2)*(EXP(2*'Wave particle velocity'!$B$15*Q36))</f>
        <v>7.1855691027108782E-8</v>
      </c>
      <c r="S36" s="18">
        <f>0.5*'Wave particle velocity'!$B$13*EXP('Wave particle velocity'!$B$15*Q36)*COS(('Wave particle velocity'!$B$15*'Wave particle velocity'!$B$8)-('Wave particle velocity'!$B$13*'Wave particle velocity'!$B$9))</f>
        <v>-3.4060913346960968E-4</v>
      </c>
      <c r="T36" s="37">
        <f t="shared" si="9"/>
        <v>0.82767373282692946</v>
      </c>
      <c r="U36" s="13">
        <f>Neaps!I37</f>
        <v>7</v>
      </c>
      <c r="V36" s="13">
        <f>Neaps!J37</f>
        <v>0.86941498360994351</v>
      </c>
      <c r="W36" s="34">
        <f>U36-Neaps!$A$3</f>
        <v>-25</v>
      </c>
      <c r="X36" s="17">
        <f>'Wave particle velocity'!$B$15*'Wave particle velocity'!$B$13*((0.5*'Wave particle velocity'!$B$3)^2)*(EXP(2*'Wave particle velocity'!$B$15*W36))</f>
        <v>7.1855691027108782E-8</v>
      </c>
      <c r="Y36" s="18">
        <f>0.5*'Wave particle velocity'!$B$13*EXP('Wave particle velocity'!$B$15*W36)*COS(('Wave particle velocity'!$B$15*'Wave particle velocity'!$B$8)-('Wave particle velocity'!$B$13*'Wave particle velocity'!$B$9))</f>
        <v>-3.4060913346960968E-4</v>
      </c>
      <c r="Z36" s="37">
        <f t="shared" si="8"/>
        <v>0.86907444633216502</v>
      </c>
      <c r="AA36" s="13">
        <f>Neaps!K37</f>
        <v>7</v>
      </c>
      <c r="AB36" s="57">
        <f>Neaps!L37</f>
        <v>0.74521284309423719</v>
      </c>
      <c r="AC36" s="34">
        <f>AA36-Neaps!$A$3</f>
        <v>-25</v>
      </c>
      <c r="AD36" s="17">
        <f>'Wave particle velocity'!$B$15*'Wave particle velocity'!$B$13*((0.5*'Wave particle velocity'!$B$3)^2)*(EXP(2*'Wave particle velocity'!$B$15*AC36))</f>
        <v>7.1855691027108782E-8</v>
      </c>
      <c r="AE36" s="18">
        <f>0.5*'Wave particle velocity'!$B$13*EXP('Wave particle velocity'!$B$15*AC36)*COS(('Wave particle velocity'!$B$15*'Wave particle velocity'!$B$8)-('Wave particle velocity'!$B$13*'Wave particle velocity'!$B$9))</f>
        <v>-3.4060913346960968E-4</v>
      </c>
      <c r="AF36" s="37">
        <f t="shared" si="7"/>
        <v>0.74487230581645869</v>
      </c>
      <c r="AG36" s="13">
        <f>Neaps!M37</f>
        <v>7</v>
      </c>
      <c r="AH36" s="57">
        <f>Neaps!N37</f>
        <v>0.33120570804188321</v>
      </c>
      <c r="AI36" s="34">
        <f>AG36-Neaps!$A$3</f>
        <v>-25</v>
      </c>
      <c r="AJ36" s="17">
        <f>'Wave particle velocity'!$B$15*'Wave particle velocity'!$B$13*((0.5*'Wave particle velocity'!$B$3)^2)*(EXP(2*'Wave particle velocity'!$B$15*AI36))</f>
        <v>7.1855691027108782E-8</v>
      </c>
      <c r="AK36" s="18">
        <f>0.5*'Wave particle velocity'!$B$13*EXP('Wave particle velocity'!$B$15*AI36)*COS(('Wave particle velocity'!$B$15*'Wave particle velocity'!$B$8)-('Wave particle velocity'!$B$13*'Wave particle velocity'!$B$9))</f>
        <v>-3.4060913346960968E-4</v>
      </c>
      <c r="AL36" s="37">
        <f t="shared" si="6"/>
        <v>0.3308651707641046</v>
      </c>
      <c r="AM36" s="13">
        <f>Neaps!O37</f>
        <v>7</v>
      </c>
      <c r="AN36" s="57">
        <f>Neaps!P37</f>
        <v>4.1400713505235401E-2</v>
      </c>
      <c r="AO36" s="34">
        <f>AM36-Neaps!$A$3</f>
        <v>-25</v>
      </c>
      <c r="AP36" s="17">
        <f>'Wave particle velocity'!$B$15*'Wave particle velocity'!$B$13*((0.5*'Wave particle velocity'!$B$3)^2)*(EXP(2*'Wave particle velocity'!$B$15*AO36))</f>
        <v>7.1855691027108782E-8</v>
      </c>
      <c r="AQ36" s="18">
        <f>0.5*'Wave particle velocity'!$B$13*EXP('Wave particle velocity'!$B$15*AO36)*COS(('Wave particle velocity'!$B$15*'Wave particle velocity'!$B$8)-('Wave particle velocity'!$B$13*'Wave particle velocity'!$B$9))</f>
        <v>-3.4060913346960968E-4</v>
      </c>
      <c r="AR36" s="37">
        <f t="shared" si="5"/>
        <v>4.1060176227456821E-2</v>
      </c>
      <c r="AS36" s="13">
        <f>Neaps!Q37</f>
        <v>7</v>
      </c>
      <c r="AT36" s="13">
        <f>Neaps!R37</f>
        <v>0.33120570804188321</v>
      </c>
      <c r="AU36" s="34">
        <f>AS36-Neaps!$A$3</f>
        <v>-25</v>
      </c>
      <c r="AV36" s="17">
        <f>'Wave particle velocity'!$B$15*'Wave particle velocity'!$B$13*((0.5*'Wave particle velocity'!$B$3)^2)*(EXP(2*'Wave particle velocity'!$B$15*AU36))</f>
        <v>7.1855691027108782E-8</v>
      </c>
      <c r="AW36" s="18">
        <f>0.5*'Wave particle velocity'!$B$13*EXP('Wave particle velocity'!$B$15*AU36)*COS(('Wave particle velocity'!$B$15*'Wave particle velocity'!$B$8)-('Wave particle velocity'!$B$13*'Wave particle velocity'!$B$9))</f>
        <v>-3.4060913346960968E-4</v>
      </c>
      <c r="AX36" s="37">
        <f t="shared" si="17"/>
        <v>0.3308651707641046</v>
      </c>
      <c r="AY36" s="13">
        <f>Neaps!S37</f>
        <v>7</v>
      </c>
      <c r="AZ36" s="13">
        <f>Neaps!T37</f>
        <v>0.62101070257853097</v>
      </c>
      <c r="BA36" s="34">
        <f>AY36-Neaps!$A$3</f>
        <v>-25</v>
      </c>
      <c r="BB36" s="17">
        <f>'Wave particle velocity'!$B$15*'Wave particle velocity'!$B$13*((0.5*'Wave particle velocity'!$B$3)^2)*(EXP(2*'Wave particle velocity'!$B$15*BA36))</f>
        <v>7.1855691027108782E-8</v>
      </c>
      <c r="BC36" s="18">
        <f>0.5*'Wave particle velocity'!$B$13*EXP('Wave particle velocity'!$B$15*BA36)*COS(('Wave particle velocity'!$B$15*'Wave particle velocity'!$B$8)-('Wave particle velocity'!$B$13*'Wave particle velocity'!$B$9))</f>
        <v>-3.4060913346960968E-4</v>
      </c>
      <c r="BD36" s="37">
        <f t="shared" si="18"/>
        <v>0.62067016530075247</v>
      </c>
      <c r="BE36" s="13">
        <f>Neaps!U37</f>
        <v>7</v>
      </c>
      <c r="BF36" s="13">
        <f>Neaps!V37</f>
        <v>0.82801427010470796</v>
      </c>
      <c r="BG36" s="34">
        <f>BE36-Neaps!$A$3</f>
        <v>-25</v>
      </c>
      <c r="BH36" s="17">
        <f>'Wave particle velocity'!$B$15*'Wave particle velocity'!$B$13*((0.5*'Wave particle velocity'!$B$3)^2)*(EXP(2*'Wave particle velocity'!$B$15*BG36))</f>
        <v>7.1855691027108782E-8</v>
      </c>
      <c r="BI36" s="18">
        <f>0.5*'Wave particle velocity'!$B$13*EXP('Wave particle velocity'!$B$15*BG36)*COS(('Wave particle velocity'!$B$15*'Wave particle velocity'!$B$8)-('Wave particle velocity'!$B$13*'Wave particle velocity'!$B$9))</f>
        <v>-3.4060913346960968E-4</v>
      </c>
      <c r="BJ36" s="37">
        <f t="shared" si="19"/>
        <v>0.82767373282692946</v>
      </c>
      <c r="BK36" s="13">
        <f>Neaps!W37</f>
        <v>7</v>
      </c>
      <c r="BL36" s="13">
        <f>Neaps!X37</f>
        <v>0.78661355659947252</v>
      </c>
      <c r="BM36" s="34">
        <f>BK36-Neaps!$A$3</f>
        <v>-25</v>
      </c>
      <c r="BN36" s="17">
        <f>'Wave particle velocity'!$B$15*'Wave particle velocity'!$B$13*((0.5*'Wave particle velocity'!$B$3)^2)*(EXP(2*'Wave particle velocity'!$B$15*BM36))</f>
        <v>7.1855691027108782E-8</v>
      </c>
      <c r="BO36" s="18">
        <f>0.5*'Wave particle velocity'!$B$13*EXP('Wave particle velocity'!$B$15*BM36)*COS(('Wave particle velocity'!$B$15*'Wave particle velocity'!$B$8)-('Wave particle velocity'!$B$13*'Wave particle velocity'!$B$9))</f>
        <v>-3.4060913346960968E-4</v>
      </c>
      <c r="BP36" s="37">
        <f t="shared" si="20"/>
        <v>0.78627301932169402</v>
      </c>
      <c r="BQ36" s="13">
        <f>Neaps!Y37</f>
        <v>7</v>
      </c>
      <c r="BR36" s="13">
        <f>Neaps!Z37</f>
        <v>0.5382092755680602</v>
      </c>
      <c r="BS36" s="34">
        <f>BQ36-Neaps!$A$3</f>
        <v>-25</v>
      </c>
      <c r="BT36" s="17">
        <f>'Wave particle velocity'!$B$15*'Wave particle velocity'!$B$13*((0.5*'Wave particle velocity'!$B$3)^2)*(EXP(2*'Wave particle velocity'!$B$15*BS36))</f>
        <v>7.1855691027108782E-8</v>
      </c>
      <c r="BU36" s="18">
        <f>0.5*'Wave particle velocity'!$B$13*EXP('Wave particle velocity'!$B$15*BS36)*COS(('Wave particle velocity'!$B$15*'Wave particle velocity'!$B$8)-('Wave particle velocity'!$B$13*'Wave particle velocity'!$B$9))</f>
        <v>-3.4060913346960968E-4</v>
      </c>
      <c r="BV36" s="37">
        <f t="shared" si="21"/>
        <v>0.5378687382902817</v>
      </c>
    </row>
    <row r="37" spans="2:74" ht="15.75" thickBot="1">
      <c r="B37" s="16">
        <f>Neaps!C38</f>
        <v>6</v>
      </c>
      <c r="C37" s="34">
        <f>Neaps!D38</f>
        <v>8.0997943865934438E-2</v>
      </c>
      <c r="D37" s="34">
        <f>B37-Neaps!$A$3</f>
        <v>-26</v>
      </c>
      <c r="E37" s="17">
        <f>'Wave particle velocity'!$B$15*'Wave particle velocity'!$B$13*((0.5*'Wave particle velocity'!$B$3)^2)*(EXP(2*'Wave particle velocity'!$B$15*D37))</f>
        <v>3.8334155440084383E-8</v>
      </c>
      <c r="F37" s="18">
        <f>0.5*'Wave particle velocity'!$B$13*EXP('Wave particle velocity'!$B$15*D37)*COS(('Wave particle velocity'!$B$15*'Wave particle velocity'!$B$8)-('Wave particle velocity'!$B$13*'Wave particle velocity'!$B$9))</f>
        <v>-2.4878182768195021E-4</v>
      </c>
      <c r="G37" s="37">
        <f t="shared" si="11"/>
        <v>8.0749200372407917E-2</v>
      </c>
      <c r="H37" s="18">
        <f>Neaps!I38</f>
        <v>6</v>
      </c>
      <c r="I37" s="13">
        <f>Neaps!E38</f>
        <v>6</v>
      </c>
      <c r="J37" s="13">
        <f>Neaps!F38</f>
        <v>0.4859876631956066</v>
      </c>
      <c r="K37" s="34">
        <f>I37-Neaps!$A$3</f>
        <v>-26</v>
      </c>
      <c r="L37" s="17">
        <f>'Wave particle velocity'!$B$15*'Wave particle velocity'!$B$13*((0.5*'Wave particle velocity'!$B$3)^2)*(EXP(2*'Wave particle velocity'!$B$15*K37))</f>
        <v>3.8334155440084383E-8</v>
      </c>
      <c r="M37" s="18">
        <f>0.5*'Wave particle velocity'!$B$13*EXP('Wave particle velocity'!$B$15*K37)*COS(('Wave particle velocity'!$B$15*'Wave particle velocity'!$B$8)-('Wave particle velocity'!$B$13*'Wave particle velocity'!$B$9))</f>
        <v>-2.4878182768195021E-4</v>
      </c>
      <c r="N37" s="37">
        <f t="shared" si="10"/>
        <v>0.48573891970208011</v>
      </c>
      <c r="O37" s="13">
        <f>Neaps!G38</f>
        <v>6</v>
      </c>
      <c r="P37" s="13">
        <f>Neaps!H38</f>
        <v>0.80997943865934441</v>
      </c>
      <c r="Q37" s="34">
        <f>O37-Neaps!$A$3</f>
        <v>-26</v>
      </c>
      <c r="R37" s="17">
        <f>'Wave particle velocity'!$B$15*'Wave particle velocity'!$B$13*((0.5*'Wave particle velocity'!$B$3)^2)*(EXP(2*'Wave particle velocity'!$B$15*Q37))</f>
        <v>3.8334155440084383E-8</v>
      </c>
      <c r="S37" s="18">
        <f>0.5*'Wave particle velocity'!$B$13*EXP('Wave particle velocity'!$B$15*Q37)*COS(('Wave particle velocity'!$B$15*'Wave particle velocity'!$B$8)-('Wave particle velocity'!$B$13*'Wave particle velocity'!$B$9))</f>
        <v>-2.4878182768195021E-4</v>
      </c>
      <c r="T37" s="37">
        <f t="shared" si="9"/>
        <v>0.80973069516581786</v>
      </c>
      <c r="U37" s="13">
        <f>Neaps!I38</f>
        <v>6</v>
      </c>
      <c r="V37" s="13">
        <f>Neaps!J38</f>
        <v>0.85047841059231177</v>
      </c>
      <c r="W37" s="34">
        <f>U37-Neaps!$A$3</f>
        <v>-26</v>
      </c>
      <c r="X37" s="17">
        <f>'Wave particle velocity'!$B$15*'Wave particle velocity'!$B$13*((0.5*'Wave particle velocity'!$B$3)^2)*(EXP(2*'Wave particle velocity'!$B$15*W37))</f>
        <v>3.8334155440084383E-8</v>
      </c>
      <c r="Y37" s="18">
        <f>0.5*'Wave particle velocity'!$B$13*EXP('Wave particle velocity'!$B$15*W37)*COS(('Wave particle velocity'!$B$15*'Wave particle velocity'!$B$8)-('Wave particle velocity'!$B$13*'Wave particle velocity'!$B$9))</f>
        <v>-2.4878182768195021E-4</v>
      </c>
      <c r="Z37" s="37">
        <f t="shared" si="8"/>
        <v>0.85022966709878522</v>
      </c>
      <c r="AA37" s="13">
        <f>Neaps!K38</f>
        <v>6</v>
      </c>
      <c r="AB37" s="57">
        <f>Neaps!L38</f>
        <v>0.72898149479341001</v>
      </c>
      <c r="AC37" s="34">
        <f>AA37-Neaps!$A$3</f>
        <v>-26</v>
      </c>
      <c r="AD37" s="17">
        <f>'Wave particle velocity'!$B$15*'Wave particle velocity'!$B$13*((0.5*'Wave particle velocity'!$B$3)^2)*(EXP(2*'Wave particle velocity'!$B$15*AC37))</f>
        <v>3.8334155440084383E-8</v>
      </c>
      <c r="AE37" s="18">
        <f>0.5*'Wave particle velocity'!$B$13*EXP('Wave particle velocity'!$B$15*AC37)*COS(('Wave particle velocity'!$B$15*'Wave particle velocity'!$B$8)-('Wave particle velocity'!$B$13*'Wave particle velocity'!$B$9))</f>
        <v>-2.4878182768195021E-4</v>
      </c>
      <c r="AF37" s="37">
        <f t="shared" si="7"/>
        <v>0.72873275129988346</v>
      </c>
      <c r="AG37" s="13">
        <f>Neaps!M38</f>
        <v>6</v>
      </c>
      <c r="AH37" s="57">
        <f>Neaps!N38</f>
        <v>0.32399177546373775</v>
      </c>
      <c r="AI37" s="34">
        <f>AG37-Neaps!$A$3</f>
        <v>-26</v>
      </c>
      <c r="AJ37" s="17">
        <f>'Wave particle velocity'!$B$15*'Wave particle velocity'!$B$13*((0.5*'Wave particle velocity'!$B$3)^2)*(EXP(2*'Wave particle velocity'!$B$15*AI37))</f>
        <v>3.8334155440084383E-8</v>
      </c>
      <c r="AK37" s="18">
        <f>0.5*'Wave particle velocity'!$B$13*EXP('Wave particle velocity'!$B$15*AI37)*COS(('Wave particle velocity'!$B$15*'Wave particle velocity'!$B$8)-('Wave particle velocity'!$B$13*'Wave particle velocity'!$B$9))</f>
        <v>-2.4878182768195021E-4</v>
      </c>
      <c r="AL37" s="37">
        <f t="shared" si="6"/>
        <v>0.32374303197021126</v>
      </c>
      <c r="AM37" s="13">
        <f>Neaps!O38</f>
        <v>6</v>
      </c>
      <c r="AN37" s="57">
        <f>Neaps!P38</f>
        <v>4.0498971932967219E-2</v>
      </c>
      <c r="AO37" s="34">
        <f>AM37-Neaps!$A$3</f>
        <v>-26</v>
      </c>
      <c r="AP37" s="17">
        <f>'Wave particle velocity'!$B$15*'Wave particle velocity'!$B$13*((0.5*'Wave particle velocity'!$B$3)^2)*(EXP(2*'Wave particle velocity'!$B$15*AO37))</f>
        <v>3.8334155440084383E-8</v>
      </c>
      <c r="AQ37" s="18">
        <f>0.5*'Wave particle velocity'!$B$13*EXP('Wave particle velocity'!$B$15*AO37)*COS(('Wave particle velocity'!$B$15*'Wave particle velocity'!$B$8)-('Wave particle velocity'!$B$13*'Wave particle velocity'!$B$9))</f>
        <v>-2.4878182768195021E-4</v>
      </c>
      <c r="AR37" s="37">
        <f t="shared" si="5"/>
        <v>4.0250228439440712E-2</v>
      </c>
      <c r="AS37" s="13">
        <f>Neaps!Q38</f>
        <v>6</v>
      </c>
      <c r="AT37" s="13">
        <f>Neaps!R38</f>
        <v>0.32399177546373775</v>
      </c>
      <c r="AU37" s="34">
        <f>AS37-Neaps!$A$3</f>
        <v>-26</v>
      </c>
      <c r="AV37" s="17">
        <f>'Wave particle velocity'!$B$15*'Wave particle velocity'!$B$13*((0.5*'Wave particle velocity'!$B$3)^2)*(EXP(2*'Wave particle velocity'!$B$15*AU37))</f>
        <v>3.8334155440084383E-8</v>
      </c>
      <c r="AW37" s="18">
        <f>0.5*'Wave particle velocity'!$B$13*EXP('Wave particle velocity'!$B$15*AU37)*COS(('Wave particle velocity'!$B$15*'Wave particle velocity'!$B$8)-('Wave particle velocity'!$B$13*'Wave particle velocity'!$B$9))</f>
        <v>-2.4878182768195021E-4</v>
      </c>
      <c r="AX37" s="37">
        <f t="shared" si="17"/>
        <v>0.32374303197021126</v>
      </c>
      <c r="AY37" s="13">
        <f>Neaps!S38</f>
        <v>6</v>
      </c>
      <c r="AZ37" s="13">
        <f>Neaps!T38</f>
        <v>0.60748457899450825</v>
      </c>
      <c r="BA37" s="34">
        <f>AY37-Neaps!$A$3</f>
        <v>-26</v>
      </c>
      <c r="BB37" s="17">
        <f>'Wave particle velocity'!$B$15*'Wave particle velocity'!$B$13*((0.5*'Wave particle velocity'!$B$3)^2)*(EXP(2*'Wave particle velocity'!$B$15*BA37))</f>
        <v>3.8334155440084383E-8</v>
      </c>
      <c r="BC37" s="18">
        <f>0.5*'Wave particle velocity'!$B$13*EXP('Wave particle velocity'!$B$15*BA37)*COS(('Wave particle velocity'!$B$15*'Wave particle velocity'!$B$8)-('Wave particle velocity'!$B$13*'Wave particle velocity'!$B$9))</f>
        <v>-2.4878182768195021E-4</v>
      </c>
      <c r="BD37" s="37">
        <f t="shared" si="18"/>
        <v>0.6072358355009817</v>
      </c>
      <c r="BE37" s="13">
        <f>Neaps!U38</f>
        <v>6</v>
      </c>
      <c r="BF37" s="13">
        <f>Neaps!V38</f>
        <v>0.80997943865934441</v>
      </c>
      <c r="BG37" s="34">
        <f>BE37-Neaps!$A$3</f>
        <v>-26</v>
      </c>
      <c r="BH37" s="17">
        <f>'Wave particle velocity'!$B$15*'Wave particle velocity'!$B$13*((0.5*'Wave particle velocity'!$B$3)^2)*(EXP(2*'Wave particle velocity'!$B$15*BG37))</f>
        <v>3.8334155440084383E-8</v>
      </c>
      <c r="BI37" s="18">
        <f>0.5*'Wave particle velocity'!$B$13*EXP('Wave particle velocity'!$B$15*BG37)*COS(('Wave particle velocity'!$B$15*'Wave particle velocity'!$B$8)-('Wave particle velocity'!$B$13*'Wave particle velocity'!$B$9))</f>
        <v>-2.4878182768195021E-4</v>
      </c>
      <c r="BJ37" s="37">
        <f t="shared" si="19"/>
        <v>0.80973069516581786</v>
      </c>
      <c r="BK37" s="13">
        <f>Neaps!W38</f>
        <v>6</v>
      </c>
      <c r="BL37" s="13">
        <f>Neaps!X38</f>
        <v>0.76948046672637715</v>
      </c>
      <c r="BM37" s="34">
        <f>BK37-Neaps!$A$3</f>
        <v>-26</v>
      </c>
      <c r="BN37" s="17">
        <f>'Wave particle velocity'!$B$15*'Wave particle velocity'!$B$13*((0.5*'Wave particle velocity'!$B$3)^2)*(EXP(2*'Wave particle velocity'!$B$15*BM37))</f>
        <v>3.8334155440084383E-8</v>
      </c>
      <c r="BO37" s="18">
        <f>0.5*'Wave particle velocity'!$B$13*EXP('Wave particle velocity'!$B$15*BM37)*COS(('Wave particle velocity'!$B$15*'Wave particle velocity'!$B$8)-('Wave particle velocity'!$B$13*'Wave particle velocity'!$B$9))</f>
        <v>-2.4878182768195021E-4</v>
      </c>
      <c r="BP37" s="37">
        <f t="shared" si="20"/>
        <v>0.76923172323285061</v>
      </c>
      <c r="BQ37" s="13">
        <f>Neaps!Y38</f>
        <v>6</v>
      </c>
      <c r="BR37" s="13">
        <f>Neaps!Z38</f>
        <v>0.52648663512857385</v>
      </c>
      <c r="BS37" s="34">
        <f>BQ37-Neaps!$A$3</f>
        <v>-26</v>
      </c>
      <c r="BT37" s="17">
        <f>'Wave particle velocity'!$B$15*'Wave particle velocity'!$B$13*((0.5*'Wave particle velocity'!$B$3)^2)*(EXP(2*'Wave particle velocity'!$B$15*BS37))</f>
        <v>3.8334155440084383E-8</v>
      </c>
      <c r="BU37" s="18">
        <f>0.5*'Wave particle velocity'!$B$13*EXP('Wave particle velocity'!$B$15*BS37)*COS(('Wave particle velocity'!$B$15*'Wave particle velocity'!$B$8)-('Wave particle velocity'!$B$13*'Wave particle velocity'!$B$9))</f>
        <v>-2.4878182768195021E-4</v>
      </c>
      <c r="BV37" s="37">
        <f t="shared" si="21"/>
        <v>0.52623789163504731</v>
      </c>
    </row>
    <row r="38" spans="2:74" ht="15.75" thickBot="1">
      <c r="B38" s="16">
        <f>Neaps!C39</f>
        <v>5</v>
      </c>
      <c r="C38" s="34">
        <f>Neaps!D39</f>
        <v>7.8915513694393064E-2</v>
      </c>
      <c r="D38" s="34">
        <f>B38-Neaps!$A$3</f>
        <v>-27</v>
      </c>
      <c r="E38" s="17">
        <f>'Wave particle velocity'!$B$15*'Wave particle velocity'!$B$13*((0.5*'Wave particle velocity'!$B$3)^2)*(EXP(2*'Wave particle velocity'!$B$15*D38))</f>
        <v>2.0450815409320251E-8</v>
      </c>
      <c r="F38" s="18">
        <f>0.5*'Wave particle velocity'!$B$13*EXP('Wave particle velocity'!$B$15*D38)*COS(('Wave particle velocity'!$B$15*'Wave particle velocity'!$B$8)-('Wave particle velocity'!$B$13*'Wave particle velocity'!$B$9))</f>
        <v>-1.8171091642289687E-4</v>
      </c>
      <c r="G38" s="37">
        <f t="shared" si="11"/>
        <v>7.8733823228785582E-2</v>
      </c>
      <c r="H38" s="18">
        <f>Neaps!I39</f>
        <v>5</v>
      </c>
      <c r="I38" s="13">
        <f>Neaps!E39</f>
        <v>5</v>
      </c>
      <c r="J38" s="13">
        <f>Neaps!F39</f>
        <v>0.47349308216635838</v>
      </c>
      <c r="K38" s="34">
        <f>I38-Neaps!$A$3</f>
        <v>-27</v>
      </c>
      <c r="L38" s="17">
        <f>'Wave particle velocity'!$B$15*'Wave particle velocity'!$B$13*((0.5*'Wave particle velocity'!$B$3)^2)*(EXP(2*'Wave particle velocity'!$B$15*K38))</f>
        <v>2.0450815409320251E-8</v>
      </c>
      <c r="M38" s="18">
        <f>0.5*'Wave particle velocity'!$B$13*EXP('Wave particle velocity'!$B$15*K38)*COS(('Wave particle velocity'!$B$15*'Wave particle velocity'!$B$8)-('Wave particle velocity'!$B$13*'Wave particle velocity'!$B$9))</f>
        <v>-1.8171091642289687E-4</v>
      </c>
      <c r="N38" s="37">
        <f t="shared" si="10"/>
        <v>0.47331139170075093</v>
      </c>
      <c r="O38" s="13">
        <f>Neaps!G39</f>
        <v>5</v>
      </c>
      <c r="P38" s="13">
        <f>Neaps!H39</f>
        <v>0.78915513694393058</v>
      </c>
      <c r="Q38" s="34">
        <f>O38-Neaps!$A$3</f>
        <v>-27</v>
      </c>
      <c r="R38" s="17">
        <f>'Wave particle velocity'!$B$15*'Wave particle velocity'!$B$13*((0.5*'Wave particle velocity'!$B$3)^2)*(EXP(2*'Wave particle velocity'!$B$15*Q38))</f>
        <v>2.0450815409320251E-8</v>
      </c>
      <c r="S38" s="18">
        <f>0.5*'Wave particle velocity'!$B$13*EXP('Wave particle velocity'!$B$15*Q38)*COS(('Wave particle velocity'!$B$15*'Wave particle velocity'!$B$8)-('Wave particle velocity'!$B$13*'Wave particle velocity'!$B$9))</f>
        <v>-1.8171091642289687E-4</v>
      </c>
      <c r="T38" s="37">
        <f t="shared" si="9"/>
        <v>0.78897344647832302</v>
      </c>
      <c r="U38" s="13">
        <f>Neaps!I39</f>
        <v>5</v>
      </c>
      <c r="V38" s="13">
        <f>Neaps!J39</f>
        <v>0.82861289379112724</v>
      </c>
      <c r="W38" s="34">
        <f>U38-Neaps!$A$3</f>
        <v>-27</v>
      </c>
      <c r="X38" s="17">
        <f>'Wave particle velocity'!$B$15*'Wave particle velocity'!$B$13*((0.5*'Wave particle velocity'!$B$3)^2)*(EXP(2*'Wave particle velocity'!$B$15*W38))</f>
        <v>2.0450815409320251E-8</v>
      </c>
      <c r="Y38" s="18">
        <f>0.5*'Wave particle velocity'!$B$13*EXP('Wave particle velocity'!$B$15*W38)*COS(('Wave particle velocity'!$B$15*'Wave particle velocity'!$B$8)-('Wave particle velocity'!$B$13*'Wave particle velocity'!$B$9))</f>
        <v>-1.8171091642289687E-4</v>
      </c>
      <c r="Z38" s="37">
        <f t="shared" si="8"/>
        <v>0.82843120332551967</v>
      </c>
      <c r="AA38" s="13">
        <f>Neaps!K39</f>
        <v>5</v>
      </c>
      <c r="AB38" s="57">
        <f>Neaps!L39</f>
        <v>0.7102396232495376</v>
      </c>
      <c r="AC38" s="34">
        <f>AA38-Neaps!$A$3</f>
        <v>-27</v>
      </c>
      <c r="AD38" s="17">
        <f>'Wave particle velocity'!$B$15*'Wave particle velocity'!$B$13*((0.5*'Wave particle velocity'!$B$3)^2)*(EXP(2*'Wave particle velocity'!$B$15*AC38))</f>
        <v>2.0450815409320251E-8</v>
      </c>
      <c r="AE38" s="18">
        <f>0.5*'Wave particle velocity'!$B$13*EXP('Wave particle velocity'!$B$15*AC38)*COS(('Wave particle velocity'!$B$15*'Wave particle velocity'!$B$8)-('Wave particle velocity'!$B$13*'Wave particle velocity'!$B$9))</f>
        <v>-1.8171091642289687E-4</v>
      </c>
      <c r="AF38" s="37">
        <f t="shared" si="7"/>
        <v>0.71005793278393003</v>
      </c>
      <c r="AG38" s="13">
        <f>Neaps!M39</f>
        <v>5</v>
      </c>
      <c r="AH38" s="57">
        <f>Neaps!N39</f>
        <v>0.31566205477757225</v>
      </c>
      <c r="AI38" s="34">
        <f>AG38-Neaps!$A$3</f>
        <v>-27</v>
      </c>
      <c r="AJ38" s="17">
        <f>'Wave particle velocity'!$B$15*'Wave particle velocity'!$B$13*((0.5*'Wave particle velocity'!$B$3)^2)*(EXP(2*'Wave particle velocity'!$B$15*AI38))</f>
        <v>2.0450815409320251E-8</v>
      </c>
      <c r="AK38" s="18">
        <f>0.5*'Wave particle velocity'!$B$13*EXP('Wave particle velocity'!$B$15*AI38)*COS(('Wave particle velocity'!$B$15*'Wave particle velocity'!$B$8)-('Wave particle velocity'!$B$13*'Wave particle velocity'!$B$9))</f>
        <v>-1.8171091642289687E-4</v>
      </c>
      <c r="AL38" s="37">
        <f t="shared" si="6"/>
        <v>0.3154803643119648</v>
      </c>
      <c r="AM38" s="13">
        <f>Neaps!O39</f>
        <v>5</v>
      </c>
      <c r="AN38" s="57">
        <f>Neaps!P39</f>
        <v>3.9457756847196532E-2</v>
      </c>
      <c r="AO38" s="34">
        <f>AM38-Neaps!$A$3</f>
        <v>-27</v>
      </c>
      <c r="AP38" s="17">
        <f>'Wave particle velocity'!$B$15*'Wave particle velocity'!$B$13*((0.5*'Wave particle velocity'!$B$3)^2)*(EXP(2*'Wave particle velocity'!$B$15*AO38))</f>
        <v>2.0450815409320251E-8</v>
      </c>
      <c r="AQ38" s="18">
        <f>0.5*'Wave particle velocity'!$B$13*EXP('Wave particle velocity'!$B$15*AO38)*COS(('Wave particle velocity'!$B$15*'Wave particle velocity'!$B$8)-('Wave particle velocity'!$B$13*'Wave particle velocity'!$B$9))</f>
        <v>-1.8171091642289687E-4</v>
      </c>
      <c r="AR38" s="37">
        <f t="shared" si="5"/>
        <v>3.9276066381589043E-2</v>
      </c>
      <c r="AS38" s="13">
        <f>Neaps!Q39</f>
        <v>5</v>
      </c>
      <c r="AT38" s="13">
        <f>Neaps!R39</f>
        <v>0.31566205477757225</v>
      </c>
      <c r="AU38" s="34">
        <f>AS38-Neaps!$A$3</f>
        <v>-27</v>
      </c>
      <c r="AV38" s="17">
        <f>'Wave particle velocity'!$B$15*'Wave particle velocity'!$B$13*((0.5*'Wave particle velocity'!$B$3)^2)*(EXP(2*'Wave particle velocity'!$B$15*AU38))</f>
        <v>2.0450815409320251E-8</v>
      </c>
      <c r="AW38" s="18">
        <f>0.5*'Wave particle velocity'!$B$13*EXP('Wave particle velocity'!$B$15*AU38)*COS(('Wave particle velocity'!$B$15*'Wave particle velocity'!$B$8)-('Wave particle velocity'!$B$13*'Wave particle velocity'!$B$9))</f>
        <v>-1.8171091642289687E-4</v>
      </c>
      <c r="AX38" s="37">
        <f t="shared" si="17"/>
        <v>0.3154803643119648</v>
      </c>
      <c r="AY38" s="13">
        <f>Neaps!S39</f>
        <v>5</v>
      </c>
      <c r="AZ38" s="13">
        <f>Neaps!T39</f>
        <v>0.59186635270794796</v>
      </c>
      <c r="BA38" s="34">
        <f>AY38-Neaps!$A$3</f>
        <v>-27</v>
      </c>
      <c r="BB38" s="17">
        <f>'Wave particle velocity'!$B$15*'Wave particle velocity'!$B$13*((0.5*'Wave particle velocity'!$B$3)^2)*(EXP(2*'Wave particle velocity'!$B$15*BA38))</f>
        <v>2.0450815409320251E-8</v>
      </c>
      <c r="BC38" s="18">
        <f>0.5*'Wave particle velocity'!$B$13*EXP('Wave particle velocity'!$B$15*BA38)*COS(('Wave particle velocity'!$B$15*'Wave particle velocity'!$B$8)-('Wave particle velocity'!$B$13*'Wave particle velocity'!$B$9))</f>
        <v>-1.8171091642289687E-4</v>
      </c>
      <c r="BD38" s="37">
        <f t="shared" si="18"/>
        <v>0.5916846622423404</v>
      </c>
      <c r="BE38" s="13">
        <f>Neaps!U39</f>
        <v>5</v>
      </c>
      <c r="BF38" s="13">
        <f>Neaps!V39</f>
        <v>0.78915513694393058</v>
      </c>
      <c r="BG38" s="34">
        <f>BE38-Neaps!$A$3</f>
        <v>-27</v>
      </c>
      <c r="BH38" s="17">
        <f>'Wave particle velocity'!$B$15*'Wave particle velocity'!$B$13*((0.5*'Wave particle velocity'!$B$3)^2)*(EXP(2*'Wave particle velocity'!$B$15*BG38))</f>
        <v>2.0450815409320251E-8</v>
      </c>
      <c r="BI38" s="18">
        <f>0.5*'Wave particle velocity'!$B$13*EXP('Wave particle velocity'!$B$15*BG38)*COS(('Wave particle velocity'!$B$15*'Wave particle velocity'!$B$8)-('Wave particle velocity'!$B$13*'Wave particle velocity'!$B$9))</f>
        <v>-1.8171091642289687E-4</v>
      </c>
      <c r="BJ38" s="37">
        <f t="shared" si="19"/>
        <v>0.78897344647832302</v>
      </c>
      <c r="BK38" s="13">
        <f>Neaps!W39</f>
        <v>5</v>
      </c>
      <c r="BL38" s="13">
        <f>Neaps!X39</f>
        <v>0.74969738009673403</v>
      </c>
      <c r="BM38" s="34">
        <f>BK38-Neaps!$A$3</f>
        <v>-27</v>
      </c>
      <c r="BN38" s="17">
        <f>'Wave particle velocity'!$B$15*'Wave particle velocity'!$B$13*((0.5*'Wave particle velocity'!$B$3)^2)*(EXP(2*'Wave particle velocity'!$B$15*BM38))</f>
        <v>2.0450815409320251E-8</v>
      </c>
      <c r="BO38" s="18">
        <f>0.5*'Wave particle velocity'!$B$13*EXP('Wave particle velocity'!$B$15*BM38)*COS(('Wave particle velocity'!$B$15*'Wave particle velocity'!$B$8)-('Wave particle velocity'!$B$13*'Wave particle velocity'!$B$9))</f>
        <v>-1.8171091642289687E-4</v>
      </c>
      <c r="BP38" s="37">
        <f t="shared" si="20"/>
        <v>0.74951568963112647</v>
      </c>
      <c r="BQ38" s="13">
        <f>Neaps!Y39</f>
        <v>5</v>
      </c>
      <c r="BR38" s="13">
        <f>Neaps!Z39</f>
        <v>0.51295083901355498</v>
      </c>
      <c r="BS38" s="34">
        <f>BQ38-Neaps!$A$3</f>
        <v>-27</v>
      </c>
      <c r="BT38" s="17">
        <f>'Wave particle velocity'!$B$15*'Wave particle velocity'!$B$13*((0.5*'Wave particle velocity'!$B$3)^2)*(EXP(2*'Wave particle velocity'!$B$15*BS38))</f>
        <v>2.0450815409320251E-8</v>
      </c>
      <c r="BU38" s="18">
        <f>0.5*'Wave particle velocity'!$B$13*EXP('Wave particle velocity'!$B$15*BS38)*COS(('Wave particle velocity'!$B$15*'Wave particle velocity'!$B$8)-('Wave particle velocity'!$B$13*'Wave particle velocity'!$B$9))</f>
        <v>-1.8171091642289687E-4</v>
      </c>
      <c r="BV38" s="37">
        <f t="shared" si="21"/>
        <v>0.51276914854794742</v>
      </c>
    </row>
    <row r="39" spans="2:74" ht="15.75" thickBot="1">
      <c r="B39" s="16">
        <f>Neaps!C40</f>
        <v>4</v>
      </c>
      <c r="C39" s="17">
        <f>Neaps!D40</f>
        <v>7.6439546233204619E-2</v>
      </c>
      <c r="D39" s="34">
        <f>B39-Neaps!$A$3</f>
        <v>-28</v>
      </c>
      <c r="E39" s="17">
        <f>'Wave particle velocity'!$B$15*'Wave particle velocity'!$B$13*((0.5*'Wave particle velocity'!$B$3)^2)*(EXP(2*'Wave particle velocity'!$B$15*D39))</f>
        <v>1.0910266473974781E-8</v>
      </c>
      <c r="F39" s="18">
        <f>0.5*'Wave particle velocity'!$B$13*EXP('Wave particle velocity'!$B$15*D39)*COS(('Wave particle velocity'!$B$15*'Wave particle velocity'!$B$8)-('Wave particle velocity'!$B$13*'Wave particle velocity'!$B$9))</f>
        <v>-1.3272214234819941E-4</v>
      </c>
      <c r="G39" s="37">
        <f t="shared" si="11"/>
        <v>7.6306835001122883E-2</v>
      </c>
      <c r="H39" s="18">
        <f>Neaps!I40</f>
        <v>4</v>
      </c>
      <c r="I39" s="13">
        <f>Neaps!E40</f>
        <v>4</v>
      </c>
      <c r="J39" s="13">
        <f>Neaps!F40</f>
        <v>0.45863727739922772</v>
      </c>
      <c r="K39" s="34">
        <f>I39-Neaps!$A$3</f>
        <v>-28</v>
      </c>
      <c r="L39" s="17">
        <f>'Wave particle velocity'!$B$15*'Wave particle velocity'!$B$13*((0.5*'Wave particle velocity'!$B$3)^2)*(EXP(2*'Wave particle velocity'!$B$15*K39))</f>
        <v>1.0910266473974781E-8</v>
      </c>
      <c r="M39" s="18">
        <f>0.5*'Wave particle velocity'!$B$13*EXP('Wave particle velocity'!$B$15*K39)*COS(('Wave particle velocity'!$B$15*'Wave particle velocity'!$B$8)-('Wave particle velocity'!$B$13*'Wave particle velocity'!$B$9))</f>
        <v>-1.3272214234819941E-4</v>
      </c>
      <c r="N39" s="37">
        <f t="shared" si="10"/>
        <v>0.45850456616714597</v>
      </c>
      <c r="O39" s="13">
        <f>Neaps!G40</f>
        <v>4</v>
      </c>
      <c r="P39" s="13">
        <f>Neaps!H40</f>
        <v>0.76439546233204625</v>
      </c>
      <c r="Q39" s="34">
        <f>O39-Neaps!$A$3</f>
        <v>-28</v>
      </c>
      <c r="R39" s="17">
        <f>'Wave particle velocity'!$B$15*'Wave particle velocity'!$B$13*((0.5*'Wave particle velocity'!$B$3)^2)*(EXP(2*'Wave particle velocity'!$B$15*Q39))</f>
        <v>1.0910266473974781E-8</v>
      </c>
      <c r="S39" s="18">
        <f>0.5*'Wave particle velocity'!$B$13*EXP('Wave particle velocity'!$B$15*Q39)*COS(('Wave particle velocity'!$B$15*'Wave particle velocity'!$B$8)-('Wave particle velocity'!$B$13*'Wave particle velocity'!$B$9))</f>
        <v>-1.3272214234819941E-4</v>
      </c>
      <c r="T39" s="37">
        <f t="shared" si="9"/>
        <v>0.76426275109996455</v>
      </c>
      <c r="U39" s="13">
        <f>Neaps!I40</f>
        <v>4</v>
      </c>
      <c r="V39" s="13">
        <f>Neaps!J40</f>
        <v>0.80261523544864866</v>
      </c>
      <c r="W39" s="34">
        <f>U39-Neaps!$A$3</f>
        <v>-28</v>
      </c>
      <c r="X39" s="17">
        <f>'Wave particle velocity'!$B$15*'Wave particle velocity'!$B$13*((0.5*'Wave particle velocity'!$B$3)^2)*(EXP(2*'Wave particle velocity'!$B$15*W39))</f>
        <v>1.0910266473974781E-8</v>
      </c>
      <c r="Y39" s="18">
        <f>0.5*'Wave particle velocity'!$B$13*EXP('Wave particle velocity'!$B$15*W39)*COS(('Wave particle velocity'!$B$15*'Wave particle velocity'!$B$8)-('Wave particle velocity'!$B$13*'Wave particle velocity'!$B$9))</f>
        <v>-1.3272214234819941E-4</v>
      </c>
      <c r="Z39" s="37">
        <f t="shared" si="8"/>
        <v>0.80248252421656696</v>
      </c>
      <c r="AA39" s="13">
        <f>Neaps!K40</f>
        <v>4</v>
      </c>
      <c r="AB39" s="57">
        <f>Neaps!L40</f>
        <v>0.68795591609884166</v>
      </c>
      <c r="AC39" s="34">
        <f>AA39-Neaps!$A$3</f>
        <v>-28</v>
      </c>
      <c r="AD39" s="17">
        <f>'Wave particle velocity'!$B$15*'Wave particle velocity'!$B$13*((0.5*'Wave particle velocity'!$B$3)^2)*(EXP(2*'Wave particle velocity'!$B$15*AC39))</f>
        <v>1.0910266473974781E-8</v>
      </c>
      <c r="AE39" s="18">
        <f>0.5*'Wave particle velocity'!$B$13*EXP('Wave particle velocity'!$B$15*AC39)*COS(('Wave particle velocity'!$B$15*'Wave particle velocity'!$B$8)-('Wave particle velocity'!$B$13*'Wave particle velocity'!$B$9))</f>
        <v>-1.3272214234819941E-4</v>
      </c>
      <c r="AF39" s="37">
        <f t="shared" si="7"/>
        <v>0.68782320486675996</v>
      </c>
      <c r="AG39" s="13">
        <f>Neaps!M40</f>
        <v>4</v>
      </c>
      <c r="AH39" s="57">
        <f>Neaps!N40</f>
        <v>0.30575818493281848</v>
      </c>
      <c r="AI39" s="34">
        <f>AG39-Neaps!$A$3</f>
        <v>-28</v>
      </c>
      <c r="AJ39" s="17">
        <f>'Wave particle velocity'!$B$15*'Wave particle velocity'!$B$13*((0.5*'Wave particle velocity'!$B$3)^2)*(EXP(2*'Wave particle velocity'!$B$15*AI39))</f>
        <v>1.0910266473974781E-8</v>
      </c>
      <c r="AK39" s="18">
        <f>0.5*'Wave particle velocity'!$B$13*EXP('Wave particle velocity'!$B$15*AI39)*COS(('Wave particle velocity'!$B$15*'Wave particle velocity'!$B$8)-('Wave particle velocity'!$B$13*'Wave particle velocity'!$B$9))</f>
        <v>-1.3272214234819941E-4</v>
      </c>
      <c r="AL39" s="37">
        <f t="shared" si="6"/>
        <v>0.30562547370073673</v>
      </c>
      <c r="AM39" s="13">
        <f>Neaps!O40</f>
        <v>4</v>
      </c>
      <c r="AN39" s="57">
        <f>Neaps!P40</f>
        <v>3.821977311660231E-2</v>
      </c>
      <c r="AO39" s="34">
        <f>AM39-Neaps!$A$3</f>
        <v>-28</v>
      </c>
      <c r="AP39" s="17">
        <f>'Wave particle velocity'!$B$15*'Wave particle velocity'!$B$13*((0.5*'Wave particle velocity'!$B$3)^2)*(EXP(2*'Wave particle velocity'!$B$15*AO39))</f>
        <v>1.0910266473974781E-8</v>
      </c>
      <c r="AQ39" s="18">
        <f>0.5*'Wave particle velocity'!$B$13*EXP('Wave particle velocity'!$B$15*AO39)*COS(('Wave particle velocity'!$B$15*'Wave particle velocity'!$B$8)-('Wave particle velocity'!$B$13*'Wave particle velocity'!$B$9))</f>
        <v>-1.3272214234819941E-4</v>
      </c>
      <c r="AR39" s="37">
        <f t="shared" si="5"/>
        <v>3.8087061884520587E-2</v>
      </c>
      <c r="AS39" s="13">
        <f>Neaps!Q40</f>
        <v>4</v>
      </c>
      <c r="AT39" s="13">
        <f>Neaps!R40</f>
        <v>0.30575818493281848</v>
      </c>
      <c r="AU39" s="34">
        <f>AS39-Neaps!$A$3</f>
        <v>-28</v>
      </c>
      <c r="AV39" s="17">
        <f>'Wave particle velocity'!$B$15*'Wave particle velocity'!$B$13*((0.5*'Wave particle velocity'!$B$3)^2)*(EXP(2*'Wave particle velocity'!$B$15*AU39))</f>
        <v>1.0910266473974781E-8</v>
      </c>
      <c r="AW39" s="18">
        <f>0.5*'Wave particle velocity'!$B$13*EXP('Wave particle velocity'!$B$15*AU39)*COS(('Wave particle velocity'!$B$15*'Wave particle velocity'!$B$8)-('Wave particle velocity'!$B$13*'Wave particle velocity'!$B$9))</f>
        <v>-1.3272214234819941E-4</v>
      </c>
      <c r="AX39" s="37">
        <f t="shared" si="17"/>
        <v>0.30562547370073673</v>
      </c>
      <c r="AY39" s="13">
        <f>Neaps!S40</f>
        <v>4</v>
      </c>
      <c r="AZ39" s="13">
        <f>Neaps!T40</f>
        <v>0.57329659674903466</v>
      </c>
      <c r="BA39" s="34">
        <f>AY39-Neaps!$A$3</f>
        <v>-28</v>
      </c>
      <c r="BB39" s="17">
        <f>'Wave particle velocity'!$B$15*'Wave particle velocity'!$B$13*((0.5*'Wave particle velocity'!$B$3)^2)*(EXP(2*'Wave particle velocity'!$B$15*BA39))</f>
        <v>1.0910266473974781E-8</v>
      </c>
      <c r="BC39" s="18">
        <f>0.5*'Wave particle velocity'!$B$13*EXP('Wave particle velocity'!$B$15*BA39)*COS(('Wave particle velocity'!$B$15*'Wave particle velocity'!$B$8)-('Wave particle velocity'!$B$13*'Wave particle velocity'!$B$9))</f>
        <v>-1.3272214234819941E-4</v>
      </c>
      <c r="BD39" s="37">
        <f t="shared" si="18"/>
        <v>0.57316388551695296</v>
      </c>
      <c r="BE39" s="13">
        <f>Neaps!U40</f>
        <v>4</v>
      </c>
      <c r="BF39" s="13">
        <f>Neaps!V40</f>
        <v>0.76439546233204625</v>
      </c>
      <c r="BG39" s="34">
        <f>BE39-Neaps!$A$3</f>
        <v>-28</v>
      </c>
      <c r="BH39" s="17">
        <f>'Wave particle velocity'!$B$15*'Wave particle velocity'!$B$13*((0.5*'Wave particle velocity'!$B$3)^2)*(EXP(2*'Wave particle velocity'!$B$15*BG39))</f>
        <v>1.0910266473974781E-8</v>
      </c>
      <c r="BI39" s="18">
        <f>0.5*'Wave particle velocity'!$B$13*EXP('Wave particle velocity'!$B$15*BG39)*COS(('Wave particle velocity'!$B$15*'Wave particle velocity'!$B$8)-('Wave particle velocity'!$B$13*'Wave particle velocity'!$B$9))</f>
        <v>-1.3272214234819941E-4</v>
      </c>
      <c r="BJ39" s="37">
        <f t="shared" si="19"/>
        <v>0.76426275109996455</v>
      </c>
      <c r="BK39" s="13">
        <f>Neaps!W40</f>
        <v>4</v>
      </c>
      <c r="BL39" s="13">
        <f>Neaps!X40</f>
        <v>0.72617568921544384</v>
      </c>
      <c r="BM39" s="34">
        <f>BK39-Neaps!$A$3</f>
        <v>-28</v>
      </c>
      <c r="BN39" s="17">
        <f>'Wave particle velocity'!$B$15*'Wave particle velocity'!$B$13*((0.5*'Wave particle velocity'!$B$3)^2)*(EXP(2*'Wave particle velocity'!$B$15*BM39))</f>
        <v>1.0910266473974781E-8</v>
      </c>
      <c r="BO39" s="18">
        <f>0.5*'Wave particle velocity'!$B$13*EXP('Wave particle velocity'!$B$15*BM39)*COS(('Wave particle velocity'!$B$15*'Wave particle velocity'!$B$8)-('Wave particle velocity'!$B$13*'Wave particle velocity'!$B$9))</f>
        <v>-1.3272214234819941E-4</v>
      </c>
      <c r="BP39" s="37">
        <f t="shared" si="20"/>
        <v>0.72604297798336215</v>
      </c>
      <c r="BQ39" s="13">
        <f>Neaps!Y40</f>
        <v>4</v>
      </c>
      <c r="BR39" s="13">
        <f>Neaps!Z40</f>
        <v>0.49685705051583007</v>
      </c>
      <c r="BS39" s="34">
        <f>BQ39-Neaps!$A$3</f>
        <v>-28</v>
      </c>
      <c r="BT39" s="17">
        <f>'Wave particle velocity'!$B$15*'Wave particle velocity'!$B$13*((0.5*'Wave particle velocity'!$B$3)^2)*(EXP(2*'Wave particle velocity'!$B$15*BS39))</f>
        <v>1.0910266473974781E-8</v>
      </c>
      <c r="BU39" s="18">
        <f>0.5*'Wave particle velocity'!$B$13*EXP('Wave particle velocity'!$B$15*BS39)*COS(('Wave particle velocity'!$B$15*'Wave particle velocity'!$B$8)-('Wave particle velocity'!$B$13*'Wave particle velocity'!$B$9))</f>
        <v>-1.3272214234819941E-4</v>
      </c>
      <c r="BV39" s="37">
        <f t="shared" si="21"/>
        <v>0.49672433928374832</v>
      </c>
    </row>
    <row r="40" spans="2:74" ht="15.75" thickBot="1">
      <c r="B40" s="16">
        <f>Neaps!C41</f>
        <v>3</v>
      </c>
      <c r="C40" s="17">
        <f>Neaps!D41</f>
        <v>7.3361754516096361E-2</v>
      </c>
      <c r="D40" s="34">
        <f>B40-Neaps!$A$3</f>
        <v>-29</v>
      </c>
      <c r="E40" s="17">
        <f>'Wave particle velocity'!$B$15*'Wave particle velocity'!$B$13*((0.5*'Wave particle velocity'!$B$3)^2)*(EXP(2*'Wave particle velocity'!$B$15*D40))</f>
        <v>5.8204972344960676E-9</v>
      </c>
      <c r="F40" s="18">
        <f>0.5*'Wave particle velocity'!$B$13*EXP('Wave particle velocity'!$B$15*D40)*COS(('Wave particle velocity'!$B$15*'Wave particle velocity'!$B$8)-('Wave particle velocity'!$B$13*'Wave particle velocity'!$B$9))</f>
        <v>-9.6940609932866261E-5</v>
      </c>
      <c r="G40" s="37">
        <f t="shared" si="11"/>
        <v>7.3264819726660727E-2</v>
      </c>
      <c r="H40" s="18">
        <f>Neaps!I41</f>
        <v>3</v>
      </c>
      <c r="I40" s="13">
        <f>Neaps!E41</f>
        <v>3</v>
      </c>
      <c r="J40" s="13">
        <f>Neaps!F41</f>
        <v>0.44017052709657811</v>
      </c>
      <c r="K40" s="34">
        <f>I40-Neaps!$A$3</f>
        <v>-29</v>
      </c>
      <c r="L40" s="17">
        <f>'Wave particle velocity'!$B$15*'Wave particle velocity'!$B$13*((0.5*'Wave particle velocity'!$B$3)^2)*(EXP(2*'Wave particle velocity'!$B$15*K40))</f>
        <v>5.8204972344960676E-9</v>
      </c>
      <c r="M40" s="18">
        <f>0.5*'Wave particle velocity'!$B$13*EXP('Wave particle velocity'!$B$15*K40)*COS(('Wave particle velocity'!$B$15*'Wave particle velocity'!$B$8)-('Wave particle velocity'!$B$13*'Wave particle velocity'!$B$9))</f>
        <v>-9.6940609932866261E-5</v>
      </c>
      <c r="N40" s="37">
        <f t="shared" si="10"/>
        <v>0.44007359230714249</v>
      </c>
      <c r="O40" s="13">
        <f>Neaps!G41</f>
        <v>3</v>
      </c>
      <c r="P40" s="13">
        <f>Neaps!H41</f>
        <v>0.73361754516096356</v>
      </c>
      <c r="Q40" s="34">
        <f>O40-Neaps!$A$3</f>
        <v>-29</v>
      </c>
      <c r="R40" s="17">
        <f>'Wave particle velocity'!$B$15*'Wave particle velocity'!$B$13*((0.5*'Wave particle velocity'!$B$3)^2)*(EXP(2*'Wave particle velocity'!$B$15*Q40))</f>
        <v>5.8204972344960676E-9</v>
      </c>
      <c r="S40" s="18">
        <f>0.5*'Wave particle velocity'!$B$13*EXP('Wave particle velocity'!$B$15*Q40)*COS(('Wave particle velocity'!$B$15*'Wave particle velocity'!$B$8)-('Wave particle velocity'!$B$13*'Wave particle velocity'!$B$9))</f>
        <v>-9.6940609932866261E-5</v>
      </c>
      <c r="T40" s="37">
        <f t="shared" si="9"/>
        <v>0.73352061037152794</v>
      </c>
      <c r="U40" s="13">
        <f>Neaps!I41</f>
        <v>3</v>
      </c>
      <c r="V40" s="13">
        <f>Neaps!J41</f>
        <v>0.77029842241901181</v>
      </c>
      <c r="W40" s="34">
        <f>U40-Neaps!$A$3</f>
        <v>-29</v>
      </c>
      <c r="X40" s="17">
        <f>'Wave particle velocity'!$B$15*'Wave particle velocity'!$B$13*((0.5*'Wave particle velocity'!$B$3)^2)*(EXP(2*'Wave particle velocity'!$B$15*W40))</f>
        <v>5.8204972344960676E-9</v>
      </c>
      <c r="Y40" s="18">
        <f>0.5*'Wave particle velocity'!$B$13*EXP('Wave particle velocity'!$B$15*W40)*COS(('Wave particle velocity'!$B$15*'Wave particle velocity'!$B$8)-('Wave particle velocity'!$B$13*'Wave particle velocity'!$B$9))</f>
        <v>-9.6940609932866261E-5</v>
      </c>
      <c r="Z40" s="37">
        <f t="shared" si="8"/>
        <v>0.77020148762957619</v>
      </c>
      <c r="AA40" s="13">
        <f>Neaps!K41</f>
        <v>3</v>
      </c>
      <c r="AB40" s="57">
        <f>Neaps!L41</f>
        <v>0.66025579064486717</v>
      </c>
      <c r="AC40" s="34">
        <f>AA40-Neaps!$A$3</f>
        <v>-29</v>
      </c>
      <c r="AD40" s="17">
        <f>'Wave particle velocity'!$B$15*'Wave particle velocity'!$B$13*((0.5*'Wave particle velocity'!$B$3)^2)*(EXP(2*'Wave particle velocity'!$B$15*AC40))</f>
        <v>5.8204972344960676E-9</v>
      </c>
      <c r="AE40" s="18">
        <f>0.5*'Wave particle velocity'!$B$13*EXP('Wave particle velocity'!$B$15*AC40)*COS(('Wave particle velocity'!$B$15*'Wave particle velocity'!$B$8)-('Wave particle velocity'!$B$13*'Wave particle velocity'!$B$9))</f>
        <v>-9.6940609932866261E-5</v>
      </c>
      <c r="AF40" s="37">
        <f t="shared" si="7"/>
        <v>0.66015885585543155</v>
      </c>
      <c r="AG40" s="13">
        <f>Neaps!M41</f>
        <v>3</v>
      </c>
      <c r="AH40" s="57">
        <f>Neaps!N41</f>
        <v>0.29344701806438545</v>
      </c>
      <c r="AI40" s="34">
        <f>AG40-Neaps!$A$3</f>
        <v>-29</v>
      </c>
      <c r="AJ40" s="17">
        <f>'Wave particle velocity'!$B$15*'Wave particle velocity'!$B$13*((0.5*'Wave particle velocity'!$B$3)^2)*(EXP(2*'Wave particle velocity'!$B$15*AI40))</f>
        <v>5.8204972344960676E-9</v>
      </c>
      <c r="AK40" s="18">
        <f>0.5*'Wave particle velocity'!$B$13*EXP('Wave particle velocity'!$B$15*AI40)*COS(('Wave particle velocity'!$B$15*'Wave particle velocity'!$B$8)-('Wave particle velocity'!$B$13*'Wave particle velocity'!$B$9))</f>
        <v>-9.6940609932866261E-5</v>
      </c>
      <c r="AL40" s="37">
        <f t="shared" si="6"/>
        <v>0.29335008327494982</v>
      </c>
      <c r="AM40" s="13">
        <f>Neaps!O41</f>
        <v>3</v>
      </c>
      <c r="AN40" s="57">
        <f>Neaps!P41</f>
        <v>3.6680877258048181E-2</v>
      </c>
      <c r="AO40" s="34">
        <f>AM40-Neaps!$A$3</f>
        <v>-29</v>
      </c>
      <c r="AP40" s="17">
        <f>'Wave particle velocity'!$B$15*'Wave particle velocity'!$B$13*((0.5*'Wave particle velocity'!$B$3)^2)*(EXP(2*'Wave particle velocity'!$B$15*AO40))</f>
        <v>5.8204972344960676E-9</v>
      </c>
      <c r="AQ40" s="18">
        <f>0.5*'Wave particle velocity'!$B$13*EXP('Wave particle velocity'!$B$15*AO40)*COS(('Wave particle velocity'!$B$15*'Wave particle velocity'!$B$8)-('Wave particle velocity'!$B$13*'Wave particle velocity'!$B$9))</f>
        <v>-9.6940609932866261E-5</v>
      </c>
      <c r="AR40" s="37">
        <f t="shared" si="5"/>
        <v>3.6583942468612553E-2</v>
      </c>
      <c r="AS40" s="13">
        <f>Neaps!Q41</f>
        <v>3</v>
      </c>
      <c r="AT40" s="13">
        <f>Neaps!R41</f>
        <v>0.29344701806438545</v>
      </c>
      <c r="AU40" s="34">
        <f>AS40-Neaps!$A$3</f>
        <v>-29</v>
      </c>
      <c r="AV40" s="17">
        <f>'Wave particle velocity'!$B$15*'Wave particle velocity'!$B$13*((0.5*'Wave particle velocity'!$B$3)^2)*(EXP(2*'Wave particle velocity'!$B$15*AU40))</f>
        <v>5.8204972344960676E-9</v>
      </c>
      <c r="AW40" s="18">
        <f>0.5*'Wave particle velocity'!$B$13*EXP('Wave particle velocity'!$B$15*AU40)*COS(('Wave particle velocity'!$B$15*'Wave particle velocity'!$B$8)-('Wave particle velocity'!$B$13*'Wave particle velocity'!$B$9))</f>
        <v>-9.6940609932866261E-5</v>
      </c>
      <c r="AX40" s="37">
        <f t="shared" si="17"/>
        <v>0.29335008327494982</v>
      </c>
      <c r="AY40" s="13">
        <f>Neaps!S41</f>
        <v>3</v>
      </c>
      <c r="AZ40" s="13">
        <f>Neaps!T41</f>
        <v>0.55021315887072264</v>
      </c>
      <c r="BA40" s="34">
        <f>AY40-Neaps!$A$3</f>
        <v>-29</v>
      </c>
      <c r="BB40" s="17">
        <f>'Wave particle velocity'!$B$15*'Wave particle velocity'!$B$13*((0.5*'Wave particle velocity'!$B$3)^2)*(EXP(2*'Wave particle velocity'!$B$15*BA40))</f>
        <v>5.8204972344960676E-9</v>
      </c>
      <c r="BC40" s="18">
        <f>0.5*'Wave particle velocity'!$B$13*EXP('Wave particle velocity'!$B$15*BA40)*COS(('Wave particle velocity'!$B$15*'Wave particle velocity'!$B$8)-('Wave particle velocity'!$B$13*'Wave particle velocity'!$B$9))</f>
        <v>-9.6940609932866261E-5</v>
      </c>
      <c r="BD40" s="37">
        <f t="shared" si="18"/>
        <v>0.55011622408128702</v>
      </c>
      <c r="BE40" s="13">
        <f>Neaps!U41</f>
        <v>3</v>
      </c>
      <c r="BF40" s="13">
        <f>Neaps!V41</f>
        <v>0.73361754516096356</v>
      </c>
      <c r="BG40" s="34">
        <f>BE40-Neaps!$A$3</f>
        <v>-29</v>
      </c>
      <c r="BH40" s="17">
        <f>'Wave particle velocity'!$B$15*'Wave particle velocity'!$B$13*((0.5*'Wave particle velocity'!$B$3)^2)*(EXP(2*'Wave particle velocity'!$B$15*BG40))</f>
        <v>5.8204972344960676E-9</v>
      </c>
      <c r="BI40" s="18">
        <f>0.5*'Wave particle velocity'!$B$13*EXP('Wave particle velocity'!$B$15*BG40)*COS(('Wave particle velocity'!$B$15*'Wave particle velocity'!$B$8)-('Wave particle velocity'!$B$13*'Wave particle velocity'!$B$9))</f>
        <v>-9.6940609932866261E-5</v>
      </c>
      <c r="BJ40" s="37">
        <f t="shared" si="19"/>
        <v>0.73352061037152794</v>
      </c>
      <c r="BK40" s="13">
        <f>Neaps!W41</f>
        <v>3</v>
      </c>
      <c r="BL40" s="13">
        <f>Neaps!X41</f>
        <v>0.69693666790291531</v>
      </c>
      <c r="BM40" s="34">
        <f>BK40-Neaps!$A$3</f>
        <v>-29</v>
      </c>
      <c r="BN40" s="17">
        <f>'Wave particle velocity'!$B$15*'Wave particle velocity'!$B$13*((0.5*'Wave particle velocity'!$B$3)^2)*(EXP(2*'Wave particle velocity'!$B$15*BM40))</f>
        <v>5.8204972344960676E-9</v>
      </c>
      <c r="BO40" s="18">
        <f>0.5*'Wave particle velocity'!$B$13*EXP('Wave particle velocity'!$B$15*BM40)*COS(('Wave particle velocity'!$B$15*'Wave particle velocity'!$B$8)-('Wave particle velocity'!$B$13*'Wave particle velocity'!$B$9))</f>
        <v>-9.6940609932866261E-5</v>
      </c>
      <c r="BP40" s="37">
        <f t="shared" si="20"/>
        <v>0.69683973311347969</v>
      </c>
      <c r="BQ40" s="13">
        <f>Neaps!Y41</f>
        <v>3</v>
      </c>
      <c r="BR40" s="13">
        <f>Neaps!Z41</f>
        <v>0.47685140435462631</v>
      </c>
      <c r="BS40" s="34">
        <f>BQ40-Neaps!$A$3</f>
        <v>-29</v>
      </c>
      <c r="BT40" s="17">
        <f>'Wave particle velocity'!$B$15*'Wave particle velocity'!$B$13*((0.5*'Wave particle velocity'!$B$3)^2)*(EXP(2*'Wave particle velocity'!$B$15*BS40))</f>
        <v>5.8204972344960676E-9</v>
      </c>
      <c r="BU40" s="18">
        <f>0.5*'Wave particle velocity'!$B$13*EXP('Wave particle velocity'!$B$15*BS40)*COS(('Wave particle velocity'!$B$15*'Wave particle velocity'!$B$8)-('Wave particle velocity'!$B$13*'Wave particle velocity'!$B$9))</f>
        <v>-9.6940609932866261E-5</v>
      </c>
      <c r="BV40" s="37">
        <f t="shared" si="21"/>
        <v>0.47675446956519069</v>
      </c>
    </row>
    <row r="41" spans="2:74" ht="15.75" thickBot="1">
      <c r="B41" s="16">
        <f>Neaps!C42</f>
        <v>2</v>
      </c>
      <c r="C41" s="17">
        <f>Neaps!D42</f>
        <v>6.9233105909008399E-2</v>
      </c>
      <c r="D41" s="34">
        <f>B41-Neaps!$A$3</f>
        <v>-30</v>
      </c>
      <c r="E41" s="17">
        <f>'Wave particle velocity'!$B$15*'Wave particle velocity'!$B$13*((0.5*'Wave particle velocity'!$B$3)^2)*(EXP(2*'Wave particle velocity'!$B$15*D41))</f>
        <v>3.1051659588323528E-9</v>
      </c>
      <c r="F41" s="18">
        <f>0.5*'Wave particle velocity'!$B$13*EXP('Wave particle velocity'!$B$15*D41)*COS(('Wave particle velocity'!$B$15*'Wave particle velocity'!$B$8)-('Wave particle velocity'!$B$13*'Wave particle velocity'!$B$9))</f>
        <v>-7.0805682366862583E-5</v>
      </c>
      <c r="G41" s="37">
        <f t="shared" si="11"/>
        <v>6.9162303331807493E-2</v>
      </c>
      <c r="H41" s="18">
        <f>Neaps!I42</f>
        <v>2</v>
      </c>
      <c r="I41" s="13">
        <f>Neaps!E42</f>
        <v>2</v>
      </c>
      <c r="J41" s="13">
        <f>Neaps!F42</f>
        <v>0.41539863545405037</v>
      </c>
      <c r="K41" s="34">
        <f>I41-Neaps!$A$3</f>
        <v>-30</v>
      </c>
      <c r="L41" s="17">
        <f>'Wave particle velocity'!$B$15*'Wave particle velocity'!$B$13*((0.5*'Wave particle velocity'!$B$3)^2)*(EXP(2*'Wave particle velocity'!$B$15*K41))</f>
        <v>3.1051659588323528E-9</v>
      </c>
      <c r="M41" s="18">
        <f>0.5*'Wave particle velocity'!$B$13*EXP('Wave particle velocity'!$B$15*K41)*COS(('Wave particle velocity'!$B$15*'Wave particle velocity'!$B$8)-('Wave particle velocity'!$B$13*'Wave particle velocity'!$B$9))</f>
        <v>-7.0805682366862583E-5</v>
      </c>
      <c r="N41" s="37">
        <f t="shared" si="10"/>
        <v>0.41532783287684949</v>
      </c>
      <c r="O41" s="13">
        <f>Neaps!G42</f>
        <v>2</v>
      </c>
      <c r="P41" s="13">
        <f>Neaps!H42</f>
        <v>0.69233105909008397</v>
      </c>
      <c r="Q41" s="34">
        <f>O41-Neaps!$A$3</f>
        <v>-30</v>
      </c>
      <c r="R41" s="17">
        <f>'Wave particle velocity'!$B$15*'Wave particle velocity'!$B$13*((0.5*'Wave particle velocity'!$B$3)^2)*(EXP(2*'Wave particle velocity'!$B$15*Q41))</f>
        <v>3.1051659588323528E-9</v>
      </c>
      <c r="S41" s="18">
        <f>0.5*'Wave particle velocity'!$B$13*EXP('Wave particle velocity'!$B$15*Q41)*COS(('Wave particle velocity'!$B$15*'Wave particle velocity'!$B$8)-('Wave particle velocity'!$B$13*'Wave particle velocity'!$B$9))</f>
        <v>-7.0805682366862583E-5</v>
      </c>
      <c r="T41" s="37">
        <f t="shared" si="9"/>
        <v>0.69226025651288314</v>
      </c>
      <c r="U41" s="13">
        <f>Neaps!I42</f>
        <v>2</v>
      </c>
      <c r="V41" s="13">
        <f>Neaps!J42</f>
        <v>0.72694761204458824</v>
      </c>
      <c r="W41" s="34">
        <f>U41-Neaps!$A$3</f>
        <v>-30</v>
      </c>
      <c r="X41" s="17">
        <f>'Wave particle velocity'!$B$15*'Wave particle velocity'!$B$13*((0.5*'Wave particle velocity'!$B$3)^2)*(EXP(2*'Wave particle velocity'!$B$15*W41))</f>
        <v>3.1051659588323528E-9</v>
      </c>
      <c r="Y41" s="18">
        <f>0.5*'Wave particle velocity'!$B$13*EXP('Wave particle velocity'!$B$15*W41)*COS(('Wave particle velocity'!$B$15*'Wave particle velocity'!$B$8)-('Wave particle velocity'!$B$13*'Wave particle velocity'!$B$9))</f>
        <v>-7.0805682366862583E-5</v>
      </c>
      <c r="Z41" s="37">
        <f t="shared" si="8"/>
        <v>0.72687680946738742</v>
      </c>
      <c r="AA41" s="13">
        <f>Neaps!K42</f>
        <v>2</v>
      </c>
      <c r="AB41" s="57">
        <f>Neaps!L42</f>
        <v>0.62309795318107564</v>
      </c>
      <c r="AC41" s="34">
        <f>AA41-Neaps!$A$3</f>
        <v>-30</v>
      </c>
      <c r="AD41" s="17">
        <f>'Wave particle velocity'!$B$15*'Wave particle velocity'!$B$13*((0.5*'Wave particle velocity'!$B$3)^2)*(EXP(2*'Wave particle velocity'!$B$15*AC41))</f>
        <v>3.1051659588323528E-9</v>
      </c>
      <c r="AE41" s="18">
        <f>0.5*'Wave particle velocity'!$B$13*EXP('Wave particle velocity'!$B$15*AC41)*COS(('Wave particle velocity'!$B$15*'Wave particle velocity'!$B$8)-('Wave particle velocity'!$B$13*'Wave particle velocity'!$B$9))</f>
        <v>-7.0805682366862583E-5</v>
      </c>
      <c r="AF41" s="37">
        <f t="shared" si="7"/>
        <v>0.62302715060387481</v>
      </c>
      <c r="AG41" s="13">
        <f>Neaps!M42</f>
        <v>2</v>
      </c>
      <c r="AH41" s="57">
        <f>Neaps!N42</f>
        <v>0.2769324236360336</v>
      </c>
      <c r="AI41" s="34">
        <f>AG41-Neaps!$A$3</f>
        <v>-30</v>
      </c>
      <c r="AJ41" s="17">
        <f>'Wave particle velocity'!$B$15*'Wave particle velocity'!$B$13*((0.5*'Wave particle velocity'!$B$3)^2)*(EXP(2*'Wave particle velocity'!$B$15*AI41))</f>
        <v>3.1051659588323528E-9</v>
      </c>
      <c r="AK41" s="18">
        <f>0.5*'Wave particle velocity'!$B$13*EXP('Wave particle velocity'!$B$15*AI41)*COS(('Wave particle velocity'!$B$15*'Wave particle velocity'!$B$8)-('Wave particle velocity'!$B$13*'Wave particle velocity'!$B$9))</f>
        <v>-7.0805682366862583E-5</v>
      </c>
      <c r="AL41" s="37">
        <f t="shared" si="6"/>
        <v>0.27686162105883272</v>
      </c>
      <c r="AM41" s="13">
        <f>Neaps!O42</f>
        <v>2</v>
      </c>
      <c r="AN41" s="57">
        <f>Neaps!P42</f>
        <v>3.46165529545042E-2</v>
      </c>
      <c r="AO41" s="34">
        <f>AM41-Neaps!$A$3</f>
        <v>-30</v>
      </c>
      <c r="AP41" s="17">
        <f>'Wave particle velocity'!$B$15*'Wave particle velocity'!$B$13*((0.5*'Wave particle velocity'!$B$3)^2)*(EXP(2*'Wave particle velocity'!$B$15*AO41))</f>
        <v>3.1051659588323528E-9</v>
      </c>
      <c r="AQ41" s="18">
        <f>0.5*'Wave particle velocity'!$B$13*EXP('Wave particle velocity'!$B$15*AO41)*COS(('Wave particle velocity'!$B$15*'Wave particle velocity'!$B$8)-('Wave particle velocity'!$B$13*'Wave particle velocity'!$B$9))</f>
        <v>-7.0805682366862583E-5</v>
      </c>
      <c r="AR41" s="37">
        <f t="shared" si="5"/>
        <v>3.4545750377303293E-2</v>
      </c>
      <c r="AS41" s="13">
        <f>Neaps!Q42</f>
        <v>2</v>
      </c>
      <c r="AT41" s="13">
        <f>Neaps!R42</f>
        <v>0.2769324236360336</v>
      </c>
      <c r="AU41" s="34">
        <f>AS41-Neaps!$A$3</f>
        <v>-30</v>
      </c>
      <c r="AV41" s="17">
        <f>'Wave particle velocity'!$B$15*'Wave particle velocity'!$B$13*((0.5*'Wave particle velocity'!$B$3)^2)*(EXP(2*'Wave particle velocity'!$B$15*AU41))</f>
        <v>3.1051659588323528E-9</v>
      </c>
      <c r="AW41" s="18">
        <f>0.5*'Wave particle velocity'!$B$13*EXP('Wave particle velocity'!$B$15*AU41)*COS(('Wave particle velocity'!$B$15*'Wave particle velocity'!$B$8)-('Wave particle velocity'!$B$13*'Wave particle velocity'!$B$9))</f>
        <v>-7.0805682366862583E-5</v>
      </c>
      <c r="AX41" s="37">
        <f t="shared" si="17"/>
        <v>0.27686162105883272</v>
      </c>
      <c r="AY41" s="13">
        <f>Neaps!S42</f>
        <v>2</v>
      </c>
      <c r="AZ41" s="13">
        <f>Neaps!T42</f>
        <v>0.51924829431756303</v>
      </c>
      <c r="BA41" s="34">
        <f>AY41-Neaps!$A$3</f>
        <v>-30</v>
      </c>
      <c r="BB41" s="17">
        <f>'Wave particle velocity'!$B$15*'Wave particle velocity'!$B$13*((0.5*'Wave particle velocity'!$B$3)^2)*(EXP(2*'Wave particle velocity'!$B$15*BA41))</f>
        <v>3.1051659588323528E-9</v>
      </c>
      <c r="BC41" s="18">
        <f>0.5*'Wave particle velocity'!$B$13*EXP('Wave particle velocity'!$B$15*BA41)*COS(('Wave particle velocity'!$B$15*'Wave particle velocity'!$B$8)-('Wave particle velocity'!$B$13*'Wave particle velocity'!$B$9))</f>
        <v>-7.0805682366862583E-5</v>
      </c>
      <c r="BD41" s="37">
        <f t="shared" si="18"/>
        <v>0.51917749174036221</v>
      </c>
      <c r="BE41" s="13">
        <f>Neaps!U42</f>
        <v>2</v>
      </c>
      <c r="BF41" s="13">
        <f>Neaps!V42</f>
        <v>0.69233105909008397</v>
      </c>
      <c r="BG41" s="34">
        <f>BE41-Neaps!$A$3</f>
        <v>-30</v>
      </c>
      <c r="BH41" s="17">
        <f>'Wave particle velocity'!$B$15*'Wave particle velocity'!$B$13*((0.5*'Wave particle velocity'!$B$3)^2)*(EXP(2*'Wave particle velocity'!$B$15*BG41))</f>
        <v>3.1051659588323528E-9</v>
      </c>
      <c r="BI41" s="18">
        <f>0.5*'Wave particle velocity'!$B$13*EXP('Wave particle velocity'!$B$15*BG41)*COS(('Wave particle velocity'!$B$15*'Wave particle velocity'!$B$8)-('Wave particle velocity'!$B$13*'Wave particle velocity'!$B$9))</f>
        <v>-7.0805682366862583E-5</v>
      </c>
      <c r="BJ41" s="37">
        <f t="shared" si="19"/>
        <v>0.69226025651288314</v>
      </c>
      <c r="BK41" s="13">
        <f>Neaps!W42</f>
        <v>2</v>
      </c>
      <c r="BL41" s="13">
        <f>Neaps!X42</f>
        <v>0.65771450613557969</v>
      </c>
      <c r="BM41" s="34">
        <f>BK41-Neaps!$A$3</f>
        <v>-30</v>
      </c>
      <c r="BN41" s="17">
        <f>'Wave particle velocity'!$B$15*'Wave particle velocity'!$B$13*((0.5*'Wave particle velocity'!$B$3)^2)*(EXP(2*'Wave particle velocity'!$B$15*BM41))</f>
        <v>3.1051659588323528E-9</v>
      </c>
      <c r="BO41" s="18">
        <f>0.5*'Wave particle velocity'!$B$13*EXP('Wave particle velocity'!$B$15*BM41)*COS(('Wave particle velocity'!$B$15*'Wave particle velocity'!$B$8)-('Wave particle velocity'!$B$13*'Wave particle velocity'!$B$9))</f>
        <v>-7.0805682366862583E-5</v>
      </c>
      <c r="BP41" s="37">
        <f t="shared" si="20"/>
        <v>0.65764370355837887</v>
      </c>
      <c r="BQ41" s="13">
        <f>Neaps!Y42</f>
        <v>2</v>
      </c>
      <c r="BR41" s="13">
        <f>Neaps!Z42</f>
        <v>0.45001518840855459</v>
      </c>
      <c r="BS41" s="34">
        <f>BQ41-Neaps!$A$3</f>
        <v>-30</v>
      </c>
      <c r="BT41" s="17">
        <f>'Wave particle velocity'!$B$15*'Wave particle velocity'!$B$13*((0.5*'Wave particle velocity'!$B$3)^2)*(EXP(2*'Wave particle velocity'!$B$15*BS41))</f>
        <v>3.1051659588323528E-9</v>
      </c>
      <c r="BU41" s="18">
        <f>0.5*'Wave particle velocity'!$B$13*EXP('Wave particle velocity'!$B$15*BS41)*COS(('Wave particle velocity'!$B$15*'Wave particle velocity'!$B$8)-('Wave particle velocity'!$B$13*'Wave particle velocity'!$B$9))</f>
        <v>-7.0805682366862583E-5</v>
      </c>
      <c r="BV41" s="37">
        <f t="shared" si="21"/>
        <v>0.44994438583135371</v>
      </c>
    </row>
    <row r="42" spans="2:74" ht="15.75" thickBot="1">
      <c r="B42" s="19">
        <f>Neaps!C43</f>
        <v>1</v>
      </c>
      <c r="C42" s="20">
        <f>Neaps!D43</f>
        <v>6.2706062372278215E-2</v>
      </c>
      <c r="D42" s="35">
        <f>B42-Neaps!$A$3</f>
        <v>-31</v>
      </c>
      <c r="E42" s="20">
        <f>'Wave particle velocity'!$B$15*'Wave particle velocity'!$B$13*((0.5*'Wave particle velocity'!$B$3)^2)*(EXP(2*'Wave particle velocity'!$B$15*D42))</f>
        <v>1.6565690598985473E-9</v>
      </c>
      <c r="F42" s="21">
        <f>0.5*'Wave particle velocity'!$B$13*EXP('Wave particle velocity'!$B$15*D42)*COS(('Wave particle velocity'!$B$15*'Wave particle velocity'!$B$8)-('Wave particle velocity'!$B$13*'Wave particle velocity'!$B$9))</f>
        <v>-5.1716660942292064E-5</v>
      </c>
      <c r="G42" s="37">
        <f t="shared" si="11"/>
        <v>6.2654347367904983E-2</v>
      </c>
      <c r="H42" s="21">
        <f>Neaps!I43</f>
        <v>1</v>
      </c>
      <c r="I42" s="13">
        <f>Neaps!E43</f>
        <v>1</v>
      </c>
      <c r="J42" s="13">
        <f>Neaps!F43</f>
        <v>0.37623637423366924</v>
      </c>
      <c r="K42" s="35">
        <f>I42-Neaps!$A$3</f>
        <v>-31</v>
      </c>
      <c r="L42" s="20">
        <f>'Wave particle velocity'!$B$15*'Wave particle velocity'!$B$13*((0.5*'Wave particle velocity'!$B$3)^2)*(EXP(2*'Wave particle velocity'!$B$15*K42))</f>
        <v>1.6565690598985473E-9</v>
      </c>
      <c r="M42" s="21">
        <f>0.5*'Wave particle velocity'!$B$13*EXP('Wave particle velocity'!$B$15*K42)*COS(('Wave particle velocity'!$B$15*'Wave particle velocity'!$B$8)-('Wave particle velocity'!$B$13*'Wave particle velocity'!$B$9))</f>
        <v>-5.1716660942292064E-5</v>
      </c>
      <c r="N42" s="37">
        <f t="shared" si="10"/>
        <v>0.376184659229296</v>
      </c>
      <c r="O42" s="13">
        <f>Neaps!G43</f>
        <v>1</v>
      </c>
      <c r="P42" s="13">
        <f>Neaps!H43</f>
        <v>0.62706062372278215</v>
      </c>
      <c r="Q42" s="35">
        <f>O42-Neaps!$A$3</f>
        <v>-31</v>
      </c>
      <c r="R42" s="20">
        <f>'Wave particle velocity'!$B$15*'Wave particle velocity'!$B$13*((0.5*'Wave particle velocity'!$B$3)^2)*(EXP(2*'Wave particle velocity'!$B$15*Q42))</f>
        <v>1.6565690598985473E-9</v>
      </c>
      <c r="S42" s="21">
        <f>0.5*'Wave particle velocity'!$B$13*EXP('Wave particle velocity'!$B$15*Q42)*COS(('Wave particle velocity'!$B$15*'Wave particle velocity'!$B$8)-('Wave particle velocity'!$B$13*'Wave particle velocity'!$B$9))</f>
        <v>-5.1716660942292064E-5</v>
      </c>
      <c r="T42" s="37">
        <f t="shared" si="9"/>
        <v>0.62700890871840897</v>
      </c>
      <c r="U42" s="13">
        <f>Neaps!I43</f>
        <v>1</v>
      </c>
      <c r="V42" s="13">
        <f>Neaps!J43</f>
        <v>0.65841365490892134</v>
      </c>
      <c r="W42" s="35">
        <f>U42-Neaps!$A$3</f>
        <v>-31</v>
      </c>
      <c r="X42" s="20">
        <f>'Wave particle velocity'!$B$15*'Wave particle velocity'!$B$13*((0.5*'Wave particle velocity'!$B$3)^2)*(EXP(2*'Wave particle velocity'!$B$15*W42))</f>
        <v>1.6565690598985473E-9</v>
      </c>
      <c r="Y42" s="21">
        <f>0.5*'Wave particle velocity'!$B$13*EXP('Wave particle velocity'!$B$15*W42)*COS(('Wave particle velocity'!$B$15*'Wave particle velocity'!$B$8)-('Wave particle velocity'!$B$13*'Wave particle velocity'!$B$9))</f>
        <v>-5.1716660942292064E-5</v>
      </c>
      <c r="Z42" s="37">
        <f t="shared" si="8"/>
        <v>0.65836193990454817</v>
      </c>
      <c r="AA42" s="13">
        <f>Neaps!K43</f>
        <v>1</v>
      </c>
      <c r="AB42" s="57">
        <f>Neaps!L43</f>
        <v>0.56435456135050388</v>
      </c>
      <c r="AC42" s="35">
        <f>AA42-Neaps!$A$3</f>
        <v>-31</v>
      </c>
      <c r="AD42" s="20">
        <f>'Wave particle velocity'!$B$15*'Wave particle velocity'!$B$13*((0.5*'Wave particle velocity'!$B$3)^2)*(EXP(2*'Wave particle velocity'!$B$15*AC42))</f>
        <v>1.6565690598985473E-9</v>
      </c>
      <c r="AE42" s="21">
        <f>0.5*'Wave particle velocity'!$B$13*EXP('Wave particle velocity'!$B$15*AC42)*COS(('Wave particle velocity'!$B$15*'Wave particle velocity'!$B$8)-('Wave particle velocity'!$B$13*'Wave particle velocity'!$B$9))</f>
        <v>-5.1716660942292064E-5</v>
      </c>
      <c r="AF42" s="37">
        <f t="shared" si="7"/>
        <v>0.5643028463461307</v>
      </c>
      <c r="AG42" s="13">
        <f>Neaps!M43</f>
        <v>1</v>
      </c>
      <c r="AH42" s="57">
        <f>Neaps!N43</f>
        <v>0.25082424948911286</v>
      </c>
      <c r="AI42" s="35">
        <f>AG42-Neaps!$A$3</f>
        <v>-31</v>
      </c>
      <c r="AJ42" s="20">
        <f>'Wave particle velocity'!$B$15*'Wave particle velocity'!$B$13*((0.5*'Wave particle velocity'!$B$3)^2)*(EXP(2*'Wave particle velocity'!$B$15*AI42))</f>
        <v>1.6565690598985473E-9</v>
      </c>
      <c r="AK42" s="21">
        <f>0.5*'Wave particle velocity'!$B$13*EXP('Wave particle velocity'!$B$15*AI42)*COS(('Wave particle velocity'!$B$15*'Wave particle velocity'!$B$8)-('Wave particle velocity'!$B$13*'Wave particle velocity'!$B$9))</f>
        <v>-5.1716660942292064E-5</v>
      </c>
      <c r="AL42" s="37">
        <f t="shared" si="6"/>
        <v>0.25077253448473963</v>
      </c>
      <c r="AM42" s="13">
        <f>Neaps!O43</f>
        <v>1</v>
      </c>
      <c r="AN42" s="57">
        <f>Neaps!P43</f>
        <v>3.1353031186139108E-2</v>
      </c>
      <c r="AO42" s="35">
        <f>AM42-Neaps!$A$3</f>
        <v>-31</v>
      </c>
      <c r="AP42" s="20">
        <f>'Wave particle velocity'!$B$15*'Wave particle velocity'!$B$13*((0.5*'Wave particle velocity'!$B$3)^2)*(EXP(2*'Wave particle velocity'!$B$15*AO42))</f>
        <v>1.6565690598985473E-9</v>
      </c>
      <c r="AQ42" s="21">
        <f>0.5*'Wave particle velocity'!$B$13*EXP('Wave particle velocity'!$B$15*AO42)*COS(('Wave particle velocity'!$B$15*'Wave particle velocity'!$B$8)-('Wave particle velocity'!$B$13*'Wave particle velocity'!$B$9))</f>
        <v>-5.1716660942292064E-5</v>
      </c>
      <c r="AR42" s="37">
        <f t="shared" si="5"/>
        <v>3.1301316181765876E-2</v>
      </c>
      <c r="AS42" s="13">
        <f>Neaps!Q43</f>
        <v>1</v>
      </c>
      <c r="AT42" s="13">
        <f>Neaps!R43</f>
        <v>0.25082424948911286</v>
      </c>
      <c r="AU42" s="35">
        <f>AS42-Neaps!$A$3</f>
        <v>-31</v>
      </c>
      <c r="AV42" s="20">
        <f>'Wave particle velocity'!$B$15*'Wave particle velocity'!$B$13*((0.5*'Wave particle velocity'!$B$3)^2)*(EXP(2*'Wave particle velocity'!$B$15*AU42))</f>
        <v>1.6565690598985473E-9</v>
      </c>
      <c r="AW42" s="21">
        <f>0.5*'Wave particle velocity'!$B$13*EXP('Wave particle velocity'!$B$15*AU42)*COS(('Wave particle velocity'!$B$15*'Wave particle velocity'!$B$8)-('Wave particle velocity'!$B$13*'Wave particle velocity'!$B$9))</f>
        <v>-5.1716660942292064E-5</v>
      </c>
      <c r="AX42" s="38">
        <f t="shared" si="17"/>
        <v>0.25077253448473963</v>
      </c>
      <c r="AY42" s="13">
        <f>Neaps!S43</f>
        <v>1</v>
      </c>
      <c r="AZ42" s="13">
        <f>Neaps!T43</f>
        <v>0.47029546779208659</v>
      </c>
      <c r="BA42" s="35">
        <f>AY42-Neaps!$A$3</f>
        <v>-31</v>
      </c>
      <c r="BB42" s="20">
        <f>'Wave particle velocity'!$B$15*'Wave particle velocity'!$B$13*((0.5*'Wave particle velocity'!$B$3)^2)*(EXP(2*'Wave particle velocity'!$B$15*BA42))</f>
        <v>1.6565690598985473E-9</v>
      </c>
      <c r="BC42" s="21">
        <f>0.5*'Wave particle velocity'!$B$13*EXP('Wave particle velocity'!$B$15*BA42)*COS(('Wave particle velocity'!$B$15*'Wave particle velocity'!$B$8)-('Wave particle velocity'!$B$13*'Wave particle velocity'!$B$9))</f>
        <v>-5.1716660942292064E-5</v>
      </c>
      <c r="BD42" s="38">
        <f t="shared" si="18"/>
        <v>0.47024375278771335</v>
      </c>
      <c r="BE42" s="13">
        <f>Neaps!U43</f>
        <v>1</v>
      </c>
      <c r="BF42" s="13">
        <f>Neaps!V43</f>
        <v>0.62706062372278215</v>
      </c>
      <c r="BG42" s="35">
        <f>BE42-Neaps!$A$3</f>
        <v>-31</v>
      </c>
      <c r="BH42" s="20">
        <f>'Wave particle velocity'!$B$15*'Wave particle velocity'!$B$13*((0.5*'Wave particle velocity'!$B$3)^2)*(EXP(2*'Wave particle velocity'!$B$15*BG42))</f>
        <v>1.6565690598985473E-9</v>
      </c>
      <c r="BI42" s="21">
        <f>0.5*'Wave particle velocity'!$B$13*EXP('Wave particle velocity'!$B$15*BG42)*COS(('Wave particle velocity'!$B$15*'Wave particle velocity'!$B$8)-('Wave particle velocity'!$B$13*'Wave particle velocity'!$B$9))</f>
        <v>-5.1716660942292064E-5</v>
      </c>
      <c r="BJ42" s="38">
        <f t="shared" si="19"/>
        <v>0.62700890871840897</v>
      </c>
      <c r="BK42" s="13">
        <f>Neaps!W43</f>
        <v>1</v>
      </c>
      <c r="BL42" s="13">
        <f>Neaps!X43</f>
        <v>0.59570759253664296</v>
      </c>
      <c r="BM42" s="35">
        <f>BK42-Neaps!$A$3</f>
        <v>-31</v>
      </c>
      <c r="BN42" s="20">
        <f>'Wave particle velocity'!$B$15*'Wave particle velocity'!$B$13*((0.5*'Wave particle velocity'!$B$3)^2)*(EXP(2*'Wave particle velocity'!$B$15*BM42))</f>
        <v>1.6565690598985473E-9</v>
      </c>
      <c r="BO42" s="21">
        <f>0.5*'Wave particle velocity'!$B$13*EXP('Wave particle velocity'!$B$15*BM42)*COS(('Wave particle velocity'!$B$15*'Wave particle velocity'!$B$8)-('Wave particle velocity'!$B$13*'Wave particle velocity'!$B$9))</f>
        <v>-5.1716660942292064E-5</v>
      </c>
      <c r="BP42" s="38">
        <f t="shared" si="20"/>
        <v>0.59565587753226978</v>
      </c>
      <c r="BQ42" s="13">
        <f>Neaps!Y43</f>
        <v>1</v>
      </c>
      <c r="BR42" s="13">
        <f>Neaps!Z43</f>
        <v>0.40758940541980837</v>
      </c>
      <c r="BS42" s="35">
        <f>BQ42-Neaps!$A$3</f>
        <v>-31</v>
      </c>
      <c r="BT42" s="20">
        <f>'Wave particle velocity'!$B$15*'Wave particle velocity'!$B$13*((0.5*'Wave particle velocity'!$B$3)^2)*(EXP(2*'Wave particle velocity'!$B$15*BS42))</f>
        <v>1.6565690598985473E-9</v>
      </c>
      <c r="BU42" s="21">
        <f>0.5*'Wave particle velocity'!$B$13*EXP('Wave particle velocity'!$B$15*BS42)*COS(('Wave particle velocity'!$B$15*'Wave particle velocity'!$B$8)-('Wave particle velocity'!$B$13*'Wave particle velocity'!$B$9))</f>
        <v>-5.1716660942292064E-5</v>
      </c>
      <c r="BV42" s="38">
        <f t="shared" si="21"/>
        <v>0.40753769041543514</v>
      </c>
    </row>
    <row r="83" spans="17:17">
      <c r="Q83">
        <v>5</v>
      </c>
    </row>
  </sheetData>
  <mergeCells count="36">
    <mergeCell ref="B2:H2"/>
    <mergeCell ref="B3:H3"/>
    <mergeCell ref="B1:H1"/>
    <mergeCell ref="I1:N1"/>
    <mergeCell ref="I2:N2"/>
    <mergeCell ref="I3:N3"/>
    <mergeCell ref="O1:T1"/>
    <mergeCell ref="O2:T2"/>
    <mergeCell ref="O3:T3"/>
    <mergeCell ref="U1:Z1"/>
    <mergeCell ref="AA1:AF1"/>
    <mergeCell ref="U3:Z3"/>
    <mergeCell ref="AA3:AF3"/>
    <mergeCell ref="U2:Z2"/>
    <mergeCell ref="AA2:AF2"/>
    <mergeCell ref="AS3:AX3"/>
    <mergeCell ref="AS1:AX1"/>
    <mergeCell ref="AY1:BD1"/>
    <mergeCell ref="AS2:AX2"/>
    <mergeCell ref="AG1:AL1"/>
    <mergeCell ref="AG2:AL2"/>
    <mergeCell ref="AM2:AR2"/>
    <mergeCell ref="AM1:AR1"/>
    <mergeCell ref="AG3:AL3"/>
    <mergeCell ref="AM3:AR3"/>
    <mergeCell ref="BQ3:BV3"/>
    <mergeCell ref="BQ1:BV1"/>
    <mergeCell ref="AY2:BD2"/>
    <mergeCell ref="BE2:BJ2"/>
    <mergeCell ref="BK2:BP2"/>
    <mergeCell ref="BQ2:BV2"/>
    <mergeCell ref="BE1:BJ1"/>
    <mergeCell ref="BK1:BP1"/>
    <mergeCell ref="AY3:BD3"/>
    <mergeCell ref="BE3:BJ3"/>
    <mergeCell ref="BK3:B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1"/>
  <sheetViews>
    <sheetView workbookViewId="0">
      <selection activeCell="A33" sqref="A33"/>
    </sheetView>
  </sheetViews>
  <sheetFormatPr baseColWidth="10" defaultColWidth="9.140625" defaultRowHeight="15"/>
  <cols>
    <col min="1" max="1" width="108.5703125" customWidth="1"/>
  </cols>
  <sheetData>
    <row r="1" spans="1:2" ht="15.75" thickBot="1">
      <c r="A1" s="20" t="s">
        <v>90</v>
      </c>
      <c r="B1" s="20" t="s">
        <v>91</v>
      </c>
    </row>
    <row r="2" spans="1:2">
      <c r="A2" t="s">
        <v>62</v>
      </c>
    </row>
    <row r="3" spans="1:2">
      <c r="A3" t="s">
        <v>63</v>
      </c>
    </row>
    <row r="4" spans="1:2">
      <c r="A4" t="s">
        <v>64</v>
      </c>
    </row>
    <row r="5" spans="1:2">
      <c r="A5" t="s">
        <v>88</v>
      </c>
      <c r="B5" t="s">
        <v>89</v>
      </c>
    </row>
    <row r="6" spans="1:2">
      <c r="A6" t="s">
        <v>92</v>
      </c>
      <c r="B6" t="s">
        <v>93</v>
      </c>
    </row>
    <row r="11" spans="1:2">
      <c r="A11" t="s">
        <v>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Inputs</vt:lpstr>
      <vt:lpstr>Neaps</vt:lpstr>
      <vt:lpstr>Springs</vt:lpstr>
      <vt:lpstr>Wave particle velocity</vt:lpstr>
      <vt:lpstr>Wave Drift (net flow)</vt:lpstr>
      <vt:lpstr>X distance Change</vt:lpstr>
      <vt:lpstr>Position and size</vt:lpstr>
      <vt:lpstr>Total</vt:lpstr>
      <vt:lpstr>Useful Links</vt:lpstr>
    </vt:vector>
  </TitlesOfParts>
  <Company>University of Strathclyde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Percival</dc:creator>
  <cp:lastModifiedBy>Xabier</cp:lastModifiedBy>
  <dcterms:created xsi:type="dcterms:W3CDTF">2014-02-18T12:03:35Z</dcterms:created>
  <dcterms:modified xsi:type="dcterms:W3CDTF">2014-04-28T22:22:18Z</dcterms:modified>
</cp:coreProperties>
</file>