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40" windowWidth="19440" windowHeight="8850" activeTab="1"/>
  </bookViews>
  <sheets>
    <sheet name="Carbon Calculator" sheetId="1" r:id="rId1"/>
    <sheet name="Civils Construction Input" sheetId="2" r:id="rId2"/>
    <sheet name="Data" sheetId="5" r:id="rId3"/>
  </sheets>
  <calcPr calcId="145621"/>
</workbook>
</file>

<file path=xl/calcChain.xml><?xml version="1.0" encoding="utf-8"?>
<calcChain xmlns="http://schemas.openxmlformats.org/spreadsheetml/2006/main">
  <c r="P12" i="1" l="1"/>
  <c r="D55" i="2" l="1"/>
  <c r="N42" i="2"/>
  <c r="M80" i="2"/>
  <c r="M79" i="2"/>
  <c r="M66" i="2"/>
  <c r="M65" i="2"/>
  <c r="N65" i="2" s="1"/>
  <c r="M43" i="2"/>
  <c r="M42" i="2"/>
  <c r="M36" i="2"/>
  <c r="M35" i="2"/>
  <c r="N35" i="2" s="1"/>
  <c r="M28" i="2"/>
  <c r="M27" i="2"/>
  <c r="N79" i="2" l="1"/>
  <c r="N27" i="2"/>
  <c r="M21" i="2"/>
  <c r="M20" i="2"/>
  <c r="N20" i="2" s="1"/>
  <c r="D41" i="2" l="1"/>
  <c r="D49" i="2"/>
  <c r="H20" i="2"/>
  <c r="I43" i="2"/>
  <c r="H66" i="2"/>
  <c r="I66" i="2" s="1"/>
  <c r="H65" i="2"/>
  <c r="I42" i="2"/>
  <c r="J80" i="2"/>
  <c r="J71" i="2"/>
  <c r="J79" i="2"/>
  <c r="L79" i="2" s="1"/>
  <c r="B17" i="1" s="1"/>
  <c r="J36" i="2"/>
  <c r="J56" i="2"/>
  <c r="H71" i="2"/>
  <c r="I71" i="2" s="1"/>
  <c r="M71" i="2" s="1"/>
  <c r="J65" i="2"/>
  <c r="J50" i="2"/>
  <c r="H57" i="2"/>
  <c r="H28" i="2"/>
  <c r="H27" i="2"/>
  <c r="H21" i="2"/>
  <c r="H72" i="2" l="1"/>
  <c r="I72" i="2" s="1"/>
  <c r="H56" i="2"/>
  <c r="I56" i="2" s="1"/>
  <c r="M56" i="2" s="1"/>
  <c r="L42" i="2"/>
  <c r="I57" i="2"/>
  <c r="M57" i="2" s="1"/>
  <c r="D10" i="2"/>
  <c r="N56" i="2" l="1"/>
  <c r="L71" i="2"/>
  <c r="M72" i="2"/>
  <c r="N71" i="2" s="1"/>
  <c r="L56" i="2"/>
  <c r="H50" i="2"/>
  <c r="I50" i="2" s="1"/>
  <c r="M50" i="2" s="1"/>
  <c r="H51" i="2"/>
  <c r="I51" i="2" s="1"/>
  <c r="M51" i="2" s="1"/>
  <c r="I65" i="2"/>
  <c r="L65" i="2" s="1"/>
  <c r="J35" i="2"/>
  <c r="I28" i="2"/>
  <c r="I27" i="2"/>
  <c r="I21" i="2"/>
  <c r="I20" i="2"/>
  <c r="D15" i="2"/>
  <c r="J13" i="2"/>
  <c r="J12" i="2"/>
  <c r="O18" i="1"/>
  <c r="O20" i="1" s="1"/>
  <c r="B14" i="1"/>
  <c r="I12" i="2" l="1"/>
  <c r="M12" i="2" s="1"/>
  <c r="M13" i="2"/>
  <c r="N50" i="2"/>
  <c r="L74" i="2"/>
  <c r="B16" i="1" s="1"/>
  <c r="K20" i="2"/>
  <c r="L35" i="2"/>
  <c r="B13" i="1" s="1"/>
  <c r="L27" i="2"/>
  <c r="B12" i="1" s="1"/>
  <c r="D18" i="2"/>
  <c r="L20" i="2" s="1"/>
  <c r="B11" i="1" s="1"/>
  <c r="N12" i="2" l="1"/>
  <c r="B18" i="1" s="1"/>
  <c r="K12" i="2"/>
  <c r="L12" i="2" s="1"/>
  <c r="B10" i="1" s="1"/>
  <c r="L50" i="2"/>
  <c r="L59" i="2" l="1"/>
  <c r="B15" i="1" s="1"/>
  <c r="B19" i="1" s="1"/>
  <c r="O21" i="1" l="1"/>
</calcChain>
</file>

<file path=xl/comments1.xml><?xml version="1.0" encoding="utf-8"?>
<comments xmlns="http://schemas.openxmlformats.org/spreadsheetml/2006/main">
  <authors>
    <author>Katherine Blum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Katherine Blum:</t>
        </r>
        <r>
          <rPr>
            <sz val="9"/>
            <color indexed="81"/>
            <rFont val="Tahoma"/>
            <family val="2"/>
          </rPr>
          <t xml:space="preserve">
t CO2e = tonne (metric) of Carbon Dioxide equivalents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Katherine Blum:</t>
        </r>
        <r>
          <rPr>
            <sz val="9"/>
            <color indexed="81"/>
            <rFont val="Tahoma"/>
            <family val="2"/>
          </rPr>
          <t xml:space="preserve">
Change emission factor</t>
        </r>
      </text>
    </comment>
  </commentList>
</comments>
</file>

<file path=xl/sharedStrings.xml><?xml version="1.0" encoding="utf-8"?>
<sst xmlns="http://schemas.openxmlformats.org/spreadsheetml/2006/main" count="226" uniqueCount="85">
  <si>
    <t>Foundations</t>
  </si>
  <si>
    <t>Crane Pads</t>
  </si>
  <si>
    <t>Transformers</t>
  </si>
  <si>
    <t>Concrete</t>
  </si>
  <si>
    <t>Steel</t>
  </si>
  <si>
    <t>HDPE</t>
  </si>
  <si>
    <t>Aggregates</t>
  </si>
  <si>
    <t>Volume (m^3)</t>
  </si>
  <si>
    <t>Length (m)</t>
  </si>
  <si>
    <t>Width (m)</t>
  </si>
  <si>
    <t>Depth (m)</t>
  </si>
  <si>
    <t>Dimensions</t>
  </si>
  <si>
    <t>Concrete X4</t>
  </si>
  <si>
    <t>Concrete X3</t>
  </si>
  <si>
    <t>Concrete X2</t>
  </si>
  <si>
    <t>Concrete X1</t>
  </si>
  <si>
    <t>Unknown</t>
  </si>
  <si>
    <t>Tonnes</t>
  </si>
  <si>
    <t>t CO2e/foundation</t>
  </si>
  <si>
    <t>Number of Foundations</t>
  </si>
  <si>
    <t>Steel AV recycled content</t>
  </si>
  <si>
    <t>Engineering steel recycled</t>
  </si>
  <si>
    <t>Steel Reused</t>
  </si>
  <si>
    <t>% Steel by Vol</t>
  </si>
  <si>
    <t>t CO2e/t material</t>
  </si>
  <si>
    <t>Construction</t>
  </si>
  <si>
    <t>Material</t>
  </si>
  <si>
    <t>Element</t>
  </si>
  <si>
    <t>Cable Trenches</t>
  </si>
  <si>
    <t>Substation</t>
  </si>
  <si>
    <t>t CO2e/Element</t>
  </si>
  <si>
    <t>Total</t>
  </si>
  <si>
    <t>BALANCE OF PLANT: Carbon Calculator</t>
  </si>
  <si>
    <t>No. Turbines</t>
  </si>
  <si>
    <t>Emission Factor</t>
  </si>
  <si>
    <t>Grid-mix</t>
  </si>
  <si>
    <t>Coal-Fired</t>
  </si>
  <si>
    <t>t CO2e/MWh</t>
  </si>
  <si>
    <t>Wind Farm Capacity (MW)</t>
  </si>
  <si>
    <t>Capacity Factor %</t>
  </si>
  <si>
    <t>Wind Farm Lifespan (yrs)</t>
  </si>
  <si>
    <t>PayBack Years</t>
  </si>
  <si>
    <t>Turbine Capacity (MW)</t>
  </si>
  <si>
    <t>Crane Hardstandings</t>
  </si>
  <si>
    <t>Number of Hardstandings</t>
  </si>
  <si>
    <t>Depth (mm)</t>
  </si>
  <si>
    <t>t CO2e/ Hardstanding</t>
  </si>
  <si>
    <t>Vol (m^3)</t>
  </si>
  <si>
    <t>Total Length (m)</t>
  </si>
  <si>
    <t>Soils &amp; Stone</t>
  </si>
  <si>
    <t>PVC</t>
  </si>
  <si>
    <t>Width average (m)</t>
  </si>
  <si>
    <t>Onsite Roads</t>
  </si>
  <si>
    <t>Sand</t>
  </si>
  <si>
    <t>Copper recycled</t>
  </si>
  <si>
    <t>Cables to Substation</t>
  </si>
  <si>
    <t>Cables to Grid</t>
  </si>
  <si>
    <t>Area (mm^2)</t>
  </si>
  <si>
    <t>Aluminium General</t>
  </si>
  <si>
    <t>Copper General</t>
  </si>
  <si>
    <t>Aluminium Recycled</t>
  </si>
  <si>
    <t>Cable 1</t>
  </si>
  <si>
    <t>Cable 2</t>
  </si>
  <si>
    <t>t CO2e/ Total</t>
  </si>
  <si>
    <t>t CO2e/Total</t>
  </si>
  <si>
    <t>t CO2e/Cable Total</t>
  </si>
  <si>
    <t>EMBODIED CARBON</t>
  </si>
  <si>
    <t>T CO2e/ Total</t>
  </si>
  <si>
    <t>Transport of Materials</t>
  </si>
  <si>
    <t>Travelled from Source</t>
  </si>
  <si>
    <t>Transported Carbon</t>
  </si>
  <si>
    <t>t CO2e/material</t>
  </si>
  <si>
    <t>t CO2e/foundations</t>
  </si>
  <si>
    <t>t CO2e/ material</t>
  </si>
  <si>
    <t>t CO2e/Cranepads</t>
  </si>
  <si>
    <t>t CO2e/ Onsite Roads</t>
  </si>
  <si>
    <t>t CO2e/ Substation</t>
  </si>
  <si>
    <t>t CO2e/ Trenches</t>
  </si>
  <si>
    <t>t CO2e/ Cable 1</t>
  </si>
  <si>
    <t>t CO2e/ Cable 2</t>
  </si>
  <si>
    <t>t CO2e/ Transformer</t>
  </si>
  <si>
    <t>Distance (km)</t>
  </si>
  <si>
    <t>Carbon Footprint</t>
  </si>
  <si>
    <t>g CO2e/kWh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</si>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</sst>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Bernard MT Condensed"/>
      <family val="1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1" fillId="2" borderId="0" xfId="0" applyFont="1" applyFill="1" applyBorder="1"/>
    <xf numFmtId="0" fontId="0" fillId="2" borderId="8" xfId="0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0" fillId="2" borderId="9" xfId="0" applyFill="1" applyBorder="1"/>
    <xf numFmtId="0" fontId="1" fillId="2" borderId="11" xfId="0" applyFont="1" applyFill="1" applyBorder="1"/>
    <xf numFmtId="0" fontId="1" fillId="2" borderId="14" xfId="0" applyFont="1" applyFill="1" applyBorder="1"/>
    <xf numFmtId="0" fontId="1" fillId="2" borderId="12" xfId="0" applyFont="1" applyFill="1" applyBorder="1"/>
    <xf numFmtId="0" fontId="1" fillId="2" borderId="1" xfId="0" applyFont="1" applyFill="1" applyBorder="1"/>
    <xf numFmtId="0" fontId="1" fillId="2" borderId="15" xfId="0" applyFont="1" applyFill="1" applyBorder="1"/>
    <xf numFmtId="10" fontId="1" fillId="2" borderId="10" xfId="0" applyNumberFormat="1" applyFont="1" applyFill="1" applyBorder="1"/>
    <xf numFmtId="0" fontId="1" fillId="2" borderId="16" xfId="0" applyFont="1" applyFill="1" applyBorder="1"/>
    <xf numFmtId="0" fontId="1" fillId="2" borderId="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0" fillId="4" borderId="0" xfId="0" applyFill="1"/>
    <xf numFmtId="0" fontId="1" fillId="2" borderId="22" xfId="0" applyFont="1" applyFill="1" applyBorder="1"/>
    <xf numFmtId="0" fontId="0" fillId="2" borderId="23" xfId="0" applyFill="1" applyBorder="1"/>
    <xf numFmtId="0" fontId="0" fillId="8" borderId="0" xfId="0" applyFill="1"/>
    <xf numFmtId="0" fontId="0" fillId="10" borderId="5" xfId="0" applyFill="1" applyBorder="1"/>
    <xf numFmtId="0" fontId="3" fillId="11" borderId="1" xfId="0" applyFont="1" applyFill="1" applyBorder="1"/>
    <xf numFmtId="0" fontId="0" fillId="10" borderId="22" xfId="0" applyFill="1" applyBorder="1"/>
    <xf numFmtId="0" fontId="0" fillId="10" borderId="24" xfId="0" applyFill="1" applyBorder="1"/>
    <xf numFmtId="0" fontId="0" fillId="12" borderId="0" xfId="0" applyFill="1"/>
    <xf numFmtId="0" fontId="1" fillId="3" borderId="1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8" xfId="0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4" borderId="18" xfId="0" applyFont="1" applyFill="1" applyBorder="1"/>
    <xf numFmtId="0" fontId="1" fillId="4" borderId="19" xfId="0" applyFont="1" applyFill="1" applyBorder="1"/>
    <xf numFmtId="0" fontId="5" fillId="9" borderId="17" xfId="0" applyFon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7" xfId="0" applyFill="1" applyBorder="1"/>
    <xf numFmtId="0" fontId="0" fillId="5" borderId="0" xfId="0" applyFill="1" applyBorder="1"/>
    <xf numFmtId="0" fontId="0" fillId="2" borderId="17" xfId="0" applyFill="1" applyBorder="1"/>
    <xf numFmtId="0" fontId="0" fillId="2" borderId="18" xfId="0" applyFill="1" applyBorder="1"/>
    <xf numFmtId="0" fontId="1" fillId="2" borderId="20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1" fontId="0" fillId="13" borderId="19" xfId="0" applyNumberFormat="1" applyFill="1" applyBorder="1"/>
    <xf numFmtId="1" fontId="0" fillId="13" borderId="18" xfId="0" applyNumberFormat="1" applyFill="1" applyBorder="1"/>
    <xf numFmtId="0" fontId="0" fillId="6" borderId="9" xfId="0" applyFill="1" applyBorder="1"/>
    <xf numFmtId="0" fontId="0" fillId="6" borderId="6" xfId="0" applyFill="1" applyBorder="1"/>
    <xf numFmtId="10" fontId="0" fillId="6" borderId="9" xfId="0" applyNumberFormat="1" applyFill="1" applyBorder="1"/>
    <xf numFmtId="2" fontId="0" fillId="5" borderId="18" xfId="0" applyNumberFormat="1" applyFill="1" applyBorder="1"/>
    <xf numFmtId="0" fontId="0" fillId="5" borderId="12" xfId="0" applyFill="1" applyBorder="1"/>
    <xf numFmtId="0" fontId="0" fillId="5" borderId="2" xfId="0" applyFill="1" applyBorder="1"/>
    <xf numFmtId="0" fontId="0" fillId="5" borderId="18" xfId="0" applyFill="1" applyBorder="1"/>
    <xf numFmtId="0" fontId="6" fillId="5" borderId="19" xfId="0" applyFont="1" applyFill="1" applyBorder="1"/>
    <xf numFmtId="2" fontId="0" fillId="5" borderId="4" xfId="0" applyNumberFormat="1" applyFill="1" applyBorder="1"/>
    <xf numFmtId="2" fontId="0" fillId="5" borderId="9" xfId="0" applyNumberFormat="1" applyFill="1" applyBorder="1"/>
    <xf numFmtId="2" fontId="6" fillId="5" borderId="19" xfId="0" applyNumberFormat="1" applyFont="1" applyFill="1" applyBorder="1"/>
    <xf numFmtId="0" fontId="1" fillId="6" borderId="0" xfId="0" applyFont="1" applyFill="1" applyBorder="1"/>
    <xf numFmtId="0" fontId="0" fillId="6" borderId="0" xfId="0" applyFill="1"/>
    <xf numFmtId="1" fontId="0" fillId="6" borderId="0" xfId="0" applyNumberFormat="1" applyFill="1"/>
    <xf numFmtId="1" fontId="1" fillId="2" borderId="8" xfId="0" applyNumberFormat="1" applyFont="1" applyFill="1" applyBorder="1"/>
    <xf numFmtId="2" fontId="0" fillId="2" borderId="8" xfId="0" applyNumberFormat="1" applyFill="1" applyBorder="1"/>
    <xf numFmtId="1" fontId="1" fillId="2" borderId="3" xfId="0" applyNumberFormat="1" applyFont="1" applyFill="1" applyBorder="1"/>
    <xf numFmtId="2" fontId="0" fillId="2" borderId="3" xfId="0" applyNumberFormat="1" applyFill="1" applyBorder="1"/>
    <xf numFmtId="2" fontId="6" fillId="5" borderId="12" xfId="0" applyNumberFormat="1" applyFont="1" applyFill="1" applyBorder="1"/>
    <xf numFmtId="0" fontId="0" fillId="4" borderId="0" xfId="0" applyFill="1" applyBorder="1"/>
    <xf numFmtId="0" fontId="0" fillId="10" borderId="27" xfId="0" applyFill="1" applyBorder="1"/>
    <xf numFmtId="2" fontId="0" fillId="10" borderId="28" xfId="0" applyNumberFormat="1" applyFill="1" applyBorder="1"/>
    <xf numFmtId="0" fontId="3" fillId="11" borderId="29" xfId="0" applyFont="1" applyFill="1" applyBorder="1" applyAlignment="1">
      <alignment horizontal="right"/>
    </xf>
    <xf numFmtId="2" fontId="0" fillId="10" borderId="30" xfId="0" applyNumberFormat="1" applyFill="1" applyBorder="1"/>
    <xf numFmtId="2" fontId="0" fillId="10" borderId="31" xfId="0" applyNumberFormat="1" applyFill="1" applyBorder="1"/>
    <xf numFmtId="2" fontId="0" fillId="10" borderId="32" xfId="0" applyNumberFormat="1" applyFill="1" applyBorder="1"/>
    <xf numFmtId="0" fontId="4" fillId="10" borderId="33" xfId="0" applyFont="1" applyFill="1" applyBorder="1"/>
    <xf numFmtId="2" fontId="4" fillId="10" borderId="34" xfId="0" applyNumberFormat="1" applyFont="1" applyFill="1" applyBorder="1"/>
    <xf numFmtId="0" fontId="1" fillId="14" borderId="2" xfId="0" applyFont="1" applyFill="1" applyBorder="1"/>
    <xf numFmtId="0" fontId="0" fillId="14" borderId="4" xfId="0" applyFill="1" applyBorder="1"/>
    <xf numFmtId="0" fontId="0" fillId="14" borderId="5" xfId="0" applyFill="1" applyBorder="1"/>
    <xf numFmtId="0" fontId="1" fillId="14" borderId="6" xfId="0" applyFont="1" applyFill="1" applyBorder="1"/>
    <xf numFmtId="0" fontId="0" fillId="14" borderId="6" xfId="0" applyFill="1" applyBorder="1"/>
    <xf numFmtId="0" fontId="0" fillId="14" borderId="7" xfId="0" applyFill="1" applyBorder="1"/>
    <xf numFmtId="0" fontId="0" fillId="14" borderId="9" xfId="0" applyFill="1" applyBorder="1"/>
    <xf numFmtId="0" fontId="1" fillId="2" borderId="13" xfId="0" applyFont="1" applyFill="1" applyBorder="1"/>
    <xf numFmtId="2" fontId="0" fillId="14" borderId="6" xfId="0" applyNumberFormat="1" applyFill="1" applyBorder="1"/>
    <xf numFmtId="0" fontId="0" fillId="14" borderId="2" xfId="0" applyFill="1" applyBorder="1"/>
    <xf numFmtId="2" fontId="6" fillId="5" borderId="18" xfId="0" applyNumberFormat="1" applyFont="1" applyFill="1" applyBorder="1"/>
    <xf numFmtId="2" fontId="6" fillId="5" borderId="7" xfId="0" applyNumberFormat="1" applyFont="1" applyFill="1" applyBorder="1"/>
    <xf numFmtId="0" fontId="1" fillId="14" borderId="1" xfId="0" applyFont="1" applyFill="1" applyBorder="1"/>
    <xf numFmtId="2" fontId="6" fillId="9" borderId="19" xfId="0" applyNumberFormat="1" applyFont="1" applyFill="1" applyBorder="1"/>
    <xf numFmtId="0" fontId="1" fillId="14" borderId="11" xfId="0" applyFont="1" applyFill="1" applyBorder="1"/>
    <xf numFmtId="0" fontId="1" fillId="14" borderId="19" xfId="0" applyFont="1" applyFill="1" applyBorder="1"/>
    <xf numFmtId="0" fontId="1" fillId="2" borderId="26" xfId="0" applyFont="1" applyFill="1" applyBorder="1"/>
    <xf numFmtId="0" fontId="1" fillId="2" borderId="35" xfId="0" applyFont="1" applyFill="1" applyBorder="1"/>
    <xf numFmtId="2" fontId="6" fillId="14" borderId="6" xfId="0" applyNumberFormat="1" applyFont="1" applyFill="1" applyBorder="1"/>
    <xf numFmtId="0" fontId="0" fillId="6" borderId="6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6" borderId="9" xfId="0" applyFill="1" applyBorder="1" applyProtection="1">
      <protection locked="0"/>
    </xf>
    <xf numFmtId="2" fontId="0" fillId="6" borderId="25" xfId="0" applyNumberFormat="1" applyFill="1" applyBorder="1" applyProtection="1">
      <protection locked="0"/>
    </xf>
    <xf numFmtId="2" fontId="0" fillId="6" borderId="26" xfId="0" applyNumberFormat="1" applyFill="1" applyBorder="1" applyProtection="1">
      <protection locked="0"/>
    </xf>
    <xf numFmtId="2" fontId="0" fillId="6" borderId="4" xfId="0" applyNumberFormat="1" applyFill="1" applyBorder="1"/>
    <xf numFmtId="2" fontId="0" fillId="6" borderId="9" xfId="0" applyNumberFormat="1" applyFill="1" applyBorder="1"/>
    <xf numFmtId="2" fontId="0" fillId="6" borderId="6" xfId="0" applyNumberFormat="1" applyFill="1" applyBorder="1" applyProtection="1">
      <protection locked="0"/>
    </xf>
    <xf numFmtId="2" fontId="0" fillId="6" borderId="3" xfId="0" applyNumberFormat="1" applyFill="1" applyBorder="1" applyProtection="1">
      <protection locked="0"/>
    </xf>
    <xf numFmtId="2" fontId="0" fillId="6" borderId="8" xfId="0" applyNumberFormat="1" applyFill="1" applyBorder="1" applyProtection="1">
      <protection locked="0"/>
    </xf>
    <xf numFmtId="2" fontId="0" fillId="6" borderId="0" xfId="0" applyNumberFormat="1" applyFill="1" applyBorder="1" applyProtection="1">
      <protection locked="0"/>
    </xf>
    <xf numFmtId="2" fontId="0" fillId="6" borderId="21" xfId="0" applyNumberFormat="1" applyFill="1" applyBorder="1" applyProtection="1">
      <protection locked="0"/>
    </xf>
    <xf numFmtId="2" fontId="0" fillId="6" borderId="13" xfId="0" applyNumberFormat="1" applyFill="1" applyBorder="1" applyProtection="1">
      <protection locked="0"/>
    </xf>
    <xf numFmtId="2" fontId="0" fillId="5" borderId="21" xfId="0" applyNumberFormat="1" applyFill="1" applyBorder="1"/>
    <xf numFmtId="2" fontId="0" fillId="5" borderId="13" xfId="0" applyNumberFormat="1" applyFill="1" applyBorder="1"/>
    <xf numFmtId="2" fontId="0" fillId="5" borderId="25" xfId="0" applyNumberFormat="1" applyFill="1" applyBorder="1"/>
    <xf numFmtId="2" fontId="0" fillId="5" borderId="26" xfId="0" applyNumberFormat="1" applyFill="1" applyBorder="1"/>
    <xf numFmtId="2" fontId="0" fillId="6" borderId="15" xfId="0" applyNumberFormat="1" applyFill="1" applyBorder="1" applyProtection="1">
      <protection locked="0"/>
    </xf>
    <xf numFmtId="2" fontId="0" fillId="6" borderId="10" xfId="0" applyNumberFormat="1" applyFill="1" applyBorder="1" applyProtection="1">
      <protection locked="0"/>
    </xf>
    <xf numFmtId="2" fontId="0" fillId="6" borderId="4" xfId="0" applyNumberFormat="1" applyFill="1" applyBorder="1" applyProtection="1">
      <protection locked="0"/>
    </xf>
    <xf numFmtId="2" fontId="0" fillId="6" borderId="9" xfId="0" applyNumberFormat="1" applyFill="1" applyBorder="1" applyProtection="1">
      <protection locked="0"/>
    </xf>
    <xf numFmtId="2" fontId="0" fillId="6" borderId="15" xfId="0" applyNumberFormat="1" applyFill="1" applyBorder="1"/>
    <xf numFmtId="2" fontId="0" fillId="6" borderId="10" xfId="0" applyNumberFormat="1" applyFill="1" applyBorder="1"/>
    <xf numFmtId="2" fontId="0" fillId="6" borderId="25" xfId="0" applyNumberFormat="1" applyFill="1" applyBorder="1"/>
    <xf numFmtId="2" fontId="0" fillId="6" borderId="26" xfId="0" applyNumberFormat="1" applyFill="1" applyBorder="1"/>
    <xf numFmtId="0" fontId="0" fillId="13" borderId="6" xfId="0" applyFill="1" applyBorder="1"/>
    <xf numFmtId="0" fontId="0" fillId="13" borderId="6" xfId="0" applyFill="1" applyBorder="1" applyProtection="1"/>
    <xf numFmtId="2" fontId="1" fillId="5" borderId="3" xfId="0" applyNumberFormat="1" applyFont="1" applyFill="1" applyBorder="1"/>
    <xf numFmtId="2" fontId="1" fillId="5" borderId="8" xfId="0" applyNumberFormat="1" applyFont="1" applyFill="1" applyBorder="1"/>
    <xf numFmtId="0" fontId="1" fillId="4" borderId="6" xfId="0" applyFont="1" applyFill="1" applyBorder="1" applyProtection="1"/>
    <xf numFmtId="1" fontId="1" fillId="15" borderId="4" xfId="0" applyNumberFormat="1" applyFont="1" applyFill="1" applyBorder="1" applyProtection="1">
      <protection locked="0"/>
    </xf>
    <xf numFmtId="0" fontId="1" fillId="15" borderId="6" xfId="0" applyFont="1" applyFill="1" applyBorder="1" applyProtection="1">
      <protection locked="0"/>
    </xf>
    <xf numFmtId="0" fontId="1" fillId="15" borderId="9" xfId="0" applyFont="1" applyFill="1" applyBorder="1" applyProtection="1">
      <protection locked="0"/>
    </xf>
    <xf numFmtId="0" fontId="1" fillId="9" borderId="17" xfId="0" applyFont="1" applyFill="1" applyBorder="1"/>
    <xf numFmtId="0" fontId="6" fillId="9" borderId="19" xfId="0" applyFont="1" applyFill="1" applyBorder="1"/>
    <xf numFmtId="0" fontId="6" fillId="9" borderId="4" xfId="0" applyFont="1" applyFill="1" applyBorder="1"/>
    <xf numFmtId="0" fontId="1" fillId="4" borderId="17" xfId="0" applyFont="1" applyFill="1" applyBorder="1" applyProtection="1">
      <protection locked="0"/>
    </xf>
    <xf numFmtId="164" fontId="6" fillId="9" borderId="18" xfId="0" applyNumberFormat="1" applyFont="1" applyFill="1" applyBorder="1" applyProtection="1">
      <protection hidden="1"/>
    </xf>
    <xf numFmtId="2" fontId="6" fillId="9" borderId="18" xfId="0" applyNumberFormat="1" applyFont="1" applyFill="1" applyBorder="1" applyProtection="1">
      <protection hidden="1"/>
    </xf>
    <xf numFmtId="2" fontId="0" fillId="9" borderId="2" xfId="0" applyNumberFormat="1" applyFill="1" applyBorder="1" applyProtection="1">
      <protection hidden="1"/>
    </xf>
    <xf numFmtId="2" fontId="0" fillId="9" borderId="12" xfId="0" applyNumberFormat="1" applyFill="1" applyBorder="1" applyProtection="1">
      <protection hidden="1"/>
    </xf>
    <xf numFmtId="0" fontId="1" fillId="6" borderId="2" xfId="0" applyFont="1" applyFill="1" applyBorder="1" applyProtection="1">
      <protection locked="0"/>
    </xf>
    <xf numFmtId="0" fontId="1" fillId="6" borderId="7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66FFFF"/>
      <color rgb="FFFFFF66"/>
      <color rgb="FF99FF66"/>
      <color rgb="FF9999FF"/>
      <color rgb="FFCCCCFF"/>
      <color rgb="FF92CDDC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7229090185802557E-2"/>
                  <c:y val="-1.52915884144614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8516952267292781E-2"/>
                  <c:y val="0.101718576975233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7889106530546942E-2"/>
                  <c:y val="0.194619244351188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1084279209744581"/>
                  <c:y val="6.2986443247383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1616746012185052E-2"/>
                  <c:y val="0.174743540902191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2888514141663099"/>
                  <c:y val="-1.589039716863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1955064924956868"/>
                  <c:y val="-8.8325658147967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8.9583036057889805E-3"/>
                  <c:y val="-0.162607997062835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2637797869994421"/>
                  <c:y val="2.72052916340150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'Carbon Calculator'!$A$10:$A$18</c:f>
              <c:strCache>
                <c:ptCount val="9"/>
                <c:pt idx="0">
                  <c:v>Foundations</c:v>
                </c:pt>
                <c:pt idx="1">
                  <c:v>Crane Pads</c:v>
                </c:pt>
                <c:pt idx="2">
                  <c:v>Onsite Roads</c:v>
                </c:pt>
                <c:pt idx="3">
                  <c:v>Substation</c:v>
                </c:pt>
                <c:pt idx="4">
                  <c:v>Cable Trenches</c:v>
                </c:pt>
                <c:pt idx="5">
                  <c:v>Cables to Substation</c:v>
                </c:pt>
                <c:pt idx="6">
                  <c:v>Cables to Grid</c:v>
                </c:pt>
                <c:pt idx="7">
                  <c:v>Transformers</c:v>
                </c:pt>
                <c:pt idx="8">
                  <c:v>Transport of Materials</c:v>
                </c:pt>
              </c:strCache>
            </c:strRef>
          </c:cat>
          <c:val>
            <c:numRef>
              <c:f>'Carbon Calculator'!$B$10:$B$18</c:f>
              <c:numCache>
                <c:formatCode>0.00</c:formatCode>
                <c:ptCount val="9"/>
                <c:pt idx="0">
                  <c:v>10509.89</c:v>
                </c:pt>
                <c:pt idx="1">
                  <c:v>1762.1200000000001</c:v>
                </c:pt>
                <c:pt idx="2">
                  <c:v>3006.625</c:v>
                </c:pt>
                <c:pt idx="3">
                  <c:v>2.8975200000000001</c:v>
                </c:pt>
                <c:pt idx="4">
                  <c:v>84</c:v>
                </c:pt>
                <c:pt idx="5">
                  <c:v>286.7721561359067</c:v>
                </c:pt>
                <c:pt idx="6">
                  <c:v>2657.6312055191129</c:v>
                </c:pt>
                <c:pt idx="7">
                  <c:v>0</c:v>
                </c:pt>
                <c:pt idx="8">
                  <c:v>517.18805636680008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561974</xdr:colOff>
      <xdr:row>5</xdr:row>
      <xdr:rowOff>185737</xdr:rowOff>
    </xdr:from>
    <xdr:to>
      <xdr:col>12</xdr:col>
      <xdr:colOff>247649</xdr:colOff>
      <xdr:row>26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topLeftCell="A3" workbookViewId="0">
      <selection activeCell="O20" sqref="O20"/>
    </sheetView>
  </sheetViews>
  <sheetFormatPr defaultRowHeight="15" x14ac:dyDescent="0.25"/>
  <cols>
    <col min="1" max="1" width="21.7109375" customWidth="1"/>
    <col min="2" max="2" width="20.28515625" customWidth="1"/>
    <col min="14" max="14" width="15.5703125" customWidth="1"/>
    <col min="15" max="15" width="13.42578125" customWidth="1"/>
    <col min="16" max="16" width="12.85546875" customWidth="1"/>
    <col min="17" max="17" width="13" customWidth="1"/>
    <col min="18" max="18" width="13.28515625" customWidth="1"/>
  </cols>
  <sheetData>
    <row r="1" spans="1:20" x14ac:dyDescent="0.25">
      <c r="A1" s="145" t="s">
        <v>32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25"/>
      <c r="O1" s="25"/>
      <c r="P1" s="25"/>
      <c r="Q1" s="25"/>
      <c r="R1" s="25"/>
      <c r="S1" s="25"/>
      <c r="T1" s="25"/>
    </row>
    <row r="2" spans="1:20" x14ac:dyDescent="0.2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25"/>
      <c r="O2" s="25"/>
      <c r="P2" s="25"/>
      <c r="Q2" s="25"/>
      <c r="R2" s="25"/>
      <c r="S2" s="25"/>
      <c r="T2" s="25"/>
    </row>
    <row r="3" spans="1:20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19.5" thickBot="1" x14ac:dyDescent="0.35">
      <c r="A9" s="27" t="s">
        <v>27</v>
      </c>
      <c r="B9" s="74" t="s">
        <v>30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2" t="s">
        <v>33</v>
      </c>
      <c r="O9" s="33"/>
      <c r="P9" s="130">
        <v>50</v>
      </c>
      <c r="Q9" s="30"/>
      <c r="R9" s="25"/>
      <c r="S9" s="25"/>
      <c r="T9" s="25"/>
    </row>
    <row r="10" spans="1:20" x14ac:dyDescent="0.25">
      <c r="A10" s="28" t="s">
        <v>0</v>
      </c>
      <c r="B10" s="75">
        <f>'Civils Construction Input'!L12</f>
        <v>10509.89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36" t="s">
        <v>42</v>
      </c>
      <c r="O10" s="34"/>
      <c r="P10" s="131">
        <v>2</v>
      </c>
      <c r="Q10" s="30"/>
      <c r="R10" s="25"/>
      <c r="S10" s="25"/>
      <c r="T10" s="25"/>
    </row>
    <row r="11" spans="1:20" x14ac:dyDescent="0.25">
      <c r="A11" s="29" t="s">
        <v>1</v>
      </c>
      <c r="B11" s="73">
        <f>'Civils Construction Input'!L20</f>
        <v>1762.1200000000001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36" t="s">
        <v>40</v>
      </c>
      <c r="O11" s="34"/>
      <c r="P11" s="131">
        <v>20</v>
      </c>
      <c r="Q11" s="30"/>
      <c r="R11" s="30"/>
      <c r="S11" s="25"/>
      <c r="T11" s="25"/>
    </row>
    <row r="12" spans="1:20" x14ac:dyDescent="0.25">
      <c r="A12" s="29" t="s">
        <v>52</v>
      </c>
      <c r="B12" s="73">
        <f>'Civils Construction Input'!L27</f>
        <v>3006.625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36" t="s">
        <v>38</v>
      </c>
      <c r="O12" s="34"/>
      <c r="P12" s="129">
        <f>P9*P10</f>
        <v>100</v>
      </c>
      <c r="Q12" s="30"/>
      <c r="R12" s="25"/>
      <c r="S12" s="25"/>
      <c r="T12" s="25"/>
    </row>
    <row r="13" spans="1:20" ht="15.75" thickBot="1" x14ac:dyDescent="0.3">
      <c r="A13" s="29" t="s">
        <v>29</v>
      </c>
      <c r="B13" s="73">
        <f>'Civils Construction Input'!L35</f>
        <v>2.8975200000000001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37" t="s">
        <v>39</v>
      </c>
      <c r="O13" s="35"/>
      <c r="P13" s="132">
        <v>30</v>
      </c>
      <c r="Q13" s="30"/>
      <c r="R13" s="25"/>
      <c r="S13" s="25"/>
      <c r="T13" s="25"/>
    </row>
    <row r="14" spans="1:20" x14ac:dyDescent="0.25">
      <c r="A14" s="29" t="s">
        <v>28</v>
      </c>
      <c r="B14" s="73">
        <f>'Civils Construction Input'!L42</f>
        <v>84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30"/>
      <c r="R14" s="25"/>
      <c r="S14" s="25"/>
      <c r="T14" s="25"/>
    </row>
    <row r="15" spans="1:20" x14ac:dyDescent="0.25">
      <c r="A15" s="29" t="s">
        <v>55</v>
      </c>
      <c r="B15" s="73">
        <f>'Civils Construction Input'!L59</f>
        <v>286.7721561359067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30"/>
      <c r="R15" s="25"/>
      <c r="S15" s="25"/>
      <c r="T15" s="25"/>
    </row>
    <row r="16" spans="1:20" ht="15.75" thickBot="1" x14ac:dyDescent="0.3">
      <c r="A16" s="26" t="s">
        <v>56</v>
      </c>
      <c r="B16" s="76">
        <f>'Civils Construction Input'!L74</f>
        <v>2657.6312055191129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30"/>
      <c r="R16" s="25"/>
      <c r="S16" s="25"/>
      <c r="T16" s="25"/>
    </row>
    <row r="17" spans="1:20" ht="15.75" thickBot="1" x14ac:dyDescent="0.3">
      <c r="A17" s="29" t="s">
        <v>2</v>
      </c>
      <c r="B17" s="73">
        <f>'Civils Construction Input'!L79</f>
        <v>0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31" t="s">
        <v>34</v>
      </c>
      <c r="O17" s="30"/>
      <c r="P17" s="30"/>
      <c r="Q17" s="30"/>
      <c r="R17" s="25"/>
      <c r="S17" s="25"/>
      <c r="T17" s="25"/>
    </row>
    <row r="18" spans="1:20" ht="15.75" thickBot="1" x14ac:dyDescent="0.3">
      <c r="A18" s="72" t="s">
        <v>68</v>
      </c>
      <c r="B18" s="77">
        <f>'Civils Construction Input'!N12+'Civils Construction Input'!N20+'Civils Construction Input'!N27+'Civils Construction Input'!N35+'Civils Construction Input'!N42+'Civils Construction Input'!N50+'Civils Construction Input'!N56+'Civils Construction Input'!N65+'Civils Construction Input'!N71+'Civils Construction Input'!N79</f>
        <v>517.18805636680008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136" t="s">
        <v>35</v>
      </c>
      <c r="O18" s="38">
        <f>IF(N18="Coal-Fired",0.86,IF(N18="Grid-mix",0.43,))</f>
        <v>0.43</v>
      </c>
      <c r="P18" s="39" t="s">
        <v>37</v>
      </c>
      <c r="Q18" s="30"/>
      <c r="R18" s="25"/>
      <c r="S18" s="25"/>
      <c r="T18" s="25"/>
    </row>
    <row r="19" spans="1:20" ht="20.25" thickTop="1" thickBot="1" x14ac:dyDescent="0.35">
      <c r="A19" s="78" t="s">
        <v>31</v>
      </c>
      <c r="B19" s="79">
        <f>SUM(B10:B17)</f>
        <v>18309.935881655019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30"/>
      <c r="R19" s="25"/>
      <c r="S19" s="25"/>
      <c r="T19" s="25"/>
    </row>
    <row r="20" spans="1:20" ht="16.5" thickTop="1" thickBot="1" x14ac:dyDescent="0.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40" t="s">
        <v>41</v>
      </c>
      <c r="O20" s="137">
        <f>B19/(O18*P12*(P13/100)*8760)</f>
        <v>0.16202909526791104</v>
      </c>
      <c r="P20" s="135" t="s">
        <v>84</v>
      </c>
      <c r="Q20" s="30"/>
      <c r="R20" s="25"/>
      <c r="S20" s="25"/>
      <c r="T20" s="25"/>
    </row>
    <row r="21" spans="1:20" ht="15.75" thickBot="1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33" t="s">
        <v>82</v>
      </c>
      <c r="O21" s="138">
        <f>(B19*1000)/(P12*P11*(P13/100)*8760)</f>
        <v>3.4836255482600871</v>
      </c>
      <c r="P21" s="134" t="s">
        <v>83</v>
      </c>
      <c r="Q21" s="25"/>
      <c r="R21" s="25"/>
      <c r="S21" s="25"/>
      <c r="T21" s="25"/>
    </row>
    <row r="22" spans="1:20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x14ac:dyDescent="0.25">
      <c r="A47" s="25"/>
      <c r="B47" s="25"/>
      <c r="O47" s="25"/>
      <c r="P47" s="25"/>
      <c r="Q47" s="25"/>
    </row>
  </sheetData>
  <sheetProtection password="DCDF" sheet="1" objects="1" scenarios="1"/>
  <mergeCells count="1">
    <mergeCell ref="A1:M2"/>
  </mergeCells>
  <pageMargins left="0.7" right="0.7" top="0.75" bottom="0.75" header="0.3" footer="0.3"/>
  <pageSetup paperSize="9" orientation="portrait" horizontalDpi="360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Data!$D$14:$D$15</xm:f>
          </x14:formula1>
          <xm:sqref>N18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tabSelected="1" topLeftCell="A8" zoomScale="90" zoomScaleNormal="90" workbookViewId="0">
      <selection activeCell="F12" sqref="F12"/>
    </sheetView>
  </sheetViews>
  <sheetFormatPr defaultRowHeight="15" x14ac:dyDescent="0.25"/>
  <cols>
    <col min="2" max="2" width="12.42578125" customWidth="1"/>
    <col min="3" max="3" width="23.85546875" customWidth="1"/>
    <col min="4" max="4" width="12.42578125" customWidth="1"/>
    <col min="5" max="5" width="19.42578125" customWidth="1"/>
    <col min="6" max="6" width="12.7109375" customWidth="1"/>
    <col min="7" max="7" width="17.140625" customWidth="1"/>
    <col min="8" max="8" width="13.7109375" customWidth="1"/>
    <col min="9" max="9" width="11.5703125" customWidth="1"/>
    <col min="10" max="10" width="16.5703125" customWidth="1"/>
    <col min="11" max="11" width="19.85546875" customWidth="1"/>
    <col min="12" max="12" width="18.5703125" customWidth="1"/>
    <col min="13" max="13" width="20.85546875" customWidth="1"/>
    <col min="14" max="14" width="19.42578125" customWidth="1"/>
  </cols>
  <sheetData>
    <row r="1" spans="1:2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5.75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5.75" thickBot="1" x14ac:dyDescent="0.3">
      <c r="A9" s="22"/>
      <c r="B9" s="22"/>
      <c r="C9" s="14" t="s">
        <v>0</v>
      </c>
      <c r="D9" s="2"/>
      <c r="E9" s="2"/>
      <c r="F9" s="2"/>
      <c r="G9" s="2"/>
      <c r="H9" s="2"/>
      <c r="I9" s="2"/>
      <c r="J9" s="2"/>
      <c r="K9" s="2"/>
      <c r="L9" s="2"/>
      <c r="M9" s="80"/>
      <c r="N9" s="81"/>
      <c r="O9" s="71"/>
      <c r="P9" s="71"/>
      <c r="Q9" s="71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5.75" thickBot="1" x14ac:dyDescent="0.3">
      <c r="A10" s="22"/>
      <c r="B10" s="22"/>
      <c r="C10" s="8" t="s">
        <v>19</v>
      </c>
      <c r="D10" s="50">
        <f>'Carbon Calculator'!$P$9</f>
        <v>50</v>
      </c>
      <c r="E10" s="11" t="s">
        <v>25</v>
      </c>
      <c r="F10" s="4"/>
      <c r="G10" s="11" t="s">
        <v>81</v>
      </c>
      <c r="H10" s="4"/>
      <c r="I10" s="4"/>
      <c r="J10" s="4"/>
      <c r="K10" s="4"/>
      <c r="L10" s="19" t="s">
        <v>66</v>
      </c>
      <c r="M10" s="92" t="s">
        <v>70</v>
      </c>
      <c r="N10" s="83"/>
      <c r="O10" s="71"/>
      <c r="P10" s="71"/>
      <c r="Q10" s="71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5.75" thickBot="1" x14ac:dyDescent="0.3">
      <c r="A11" s="22"/>
      <c r="B11" s="22"/>
      <c r="C11" s="23" t="s">
        <v>11</v>
      </c>
      <c r="D11" s="24"/>
      <c r="E11" s="13" t="s">
        <v>26</v>
      </c>
      <c r="F11" s="4"/>
      <c r="G11" s="13" t="s">
        <v>69</v>
      </c>
      <c r="H11" s="4"/>
      <c r="I11" s="4"/>
      <c r="J11" s="19" t="s">
        <v>24</v>
      </c>
      <c r="K11" s="20" t="s">
        <v>18</v>
      </c>
      <c r="L11" s="20" t="s">
        <v>64</v>
      </c>
      <c r="M11" s="92" t="s">
        <v>71</v>
      </c>
      <c r="N11" s="92" t="s">
        <v>72</v>
      </c>
      <c r="O11" s="71"/>
      <c r="P11" s="71"/>
      <c r="Q11" s="71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5.75" thickBot="1" x14ac:dyDescent="0.3">
      <c r="A12" s="22"/>
      <c r="B12" s="22"/>
      <c r="C12" s="8" t="s">
        <v>8</v>
      </c>
      <c r="D12" s="107">
        <v>16</v>
      </c>
      <c r="E12" s="8" t="s">
        <v>3</v>
      </c>
      <c r="F12" s="100" t="s">
        <v>12</v>
      </c>
      <c r="G12" s="108">
        <v>10</v>
      </c>
      <c r="H12" s="15" t="s">
        <v>17</v>
      </c>
      <c r="I12" s="60">
        <f>D15*2.4</f>
        <v>1843.1999999999998</v>
      </c>
      <c r="J12" s="44">
        <f>IF(F12="Concrete X4",0.12,IF(F12="Concrete X3",0.113,IF(F12="Concrete X2",0.113,IF(F12="Concrete X1",0.01,IF(F12="Unknown",0.12)))))</f>
        <v>0.12</v>
      </c>
      <c r="K12" s="55">
        <f>(J12*(I12-(I13*I12)))+(I13*J13)</f>
        <v>210.19779999999997</v>
      </c>
      <c r="L12" s="90">
        <f>K12*D10</f>
        <v>10509.89</v>
      </c>
      <c r="M12" s="139">
        <f>(G12*2)*(0.9802*10^-3)*(I12/20)</f>
        <v>1.8067046400000002</v>
      </c>
      <c r="N12" s="93">
        <f>M12+M13</f>
        <v>2.3938836480000005</v>
      </c>
      <c r="O12" s="71"/>
      <c r="P12" s="71"/>
      <c r="Q12" s="71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5.75" thickBot="1" x14ac:dyDescent="0.3">
      <c r="A13" s="22"/>
      <c r="B13" s="22"/>
      <c r="C13" s="8" t="s">
        <v>9</v>
      </c>
      <c r="D13" s="107">
        <v>16</v>
      </c>
      <c r="E13" s="9" t="s">
        <v>4</v>
      </c>
      <c r="F13" s="101" t="s">
        <v>20</v>
      </c>
      <c r="G13" s="109">
        <v>20</v>
      </c>
      <c r="H13" s="16" t="s">
        <v>23</v>
      </c>
      <c r="I13" s="54">
        <v>0.05</v>
      </c>
      <c r="J13" s="56">
        <f>IF(F13="Steel AV recycled content",1.46,IF(F13="Engineering steel recycled",0.72,IF(F13="Steel Reused",0.15,IF(F13="Unknown",0.72))))</f>
        <v>1.46</v>
      </c>
      <c r="K13" s="4"/>
      <c r="L13" s="4"/>
      <c r="M13" s="140">
        <f>(G13*2)*(0.9802*10^-3)*((I13*D15*7.8)/20)</f>
        <v>0.58717900800000022</v>
      </c>
      <c r="N13" s="88"/>
      <c r="O13" s="71"/>
      <c r="P13" s="71"/>
      <c r="Q13" s="71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22"/>
      <c r="B14" s="22"/>
      <c r="C14" s="8" t="s">
        <v>10</v>
      </c>
      <c r="D14" s="107">
        <v>3</v>
      </c>
      <c r="E14" s="41"/>
      <c r="F14" s="4"/>
      <c r="G14" s="4"/>
      <c r="H14" s="4"/>
      <c r="I14" s="4"/>
      <c r="J14" s="4"/>
      <c r="K14" s="4"/>
      <c r="L14" s="4"/>
      <c r="M14" s="82"/>
      <c r="N14" s="84"/>
      <c r="O14" s="71"/>
      <c r="P14" s="71"/>
      <c r="Q14" s="71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5.75" thickBot="1" x14ac:dyDescent="0.3">
      <c r="A15" s="22"/>
      <c r="B15" s="22"/>
      <c r="C15" s="9" t="s">
        <v>7</v>
      </c>
      <c r="D15" s="106">
        <f>D12*D13*D14</f>
        <v>768</v>
      </c>
      <c r="E15" s="7"/>
      <c r="F15" s="7"/>
      <c r="G15" s="7"/>
      <c r="H15" s="7"/>
      <c r="I15" s="7"/>
      <c r="J15" s="7"/>
      <c r="K15" s="7"/>
      <c r="L15" s="7"/>
      <c r="M15" s="85"/>
      <c r="N15" s="86"/>
      <c r="O15" s="71"/>
      <c r="P15" s="71"/>
      <c r="Q15" s="71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5.75" thickBot="1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5.75" thickBot="1" x14ac:dyDescent="0.3">
      <c r="A17" s="22"/>
      <c r="B17" s="22"/>
      <c r="C17" s="11" t="s">
        <v>43</v>
      </c>
      <c r="D17" s="2"/>
      <c r="E17" s="2"/>
      <c r="F17" s="2"/>
      <c r="G17" s="2"/>
      <c r="H17" s="2"/>
      <c r="I17" s="2"/>
      <c r="J17" s="2"/>
      <c r="K17" s="2"/>
      <c r="L17" s="3"/>
      <c r="M17" s="89"/>
      <c r="N17" s="8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5.75" thickBot="1" x14ac:dyDescent="0.3">
      <c r="A18" s="22"/>
      <c r="B18" s="22"/>
      <c r="C18" s="19" t="s">
        <v>44</v>
      </c>
      <c r="D18" s="51">
        <f>D10</f>
        <v>50</v>
      </c>
      <c r="E18" s="11" t="s">
        <v>25</v>
      </c>
      <c r="F18" s="6"/>
      <c r="G18" s="11" t="s">
        <v>81</v>
      </c>
      <c r="H18" s="6"/>
      <c r="I18" s="6"/>
      <c r="J18" s="6"/>
      <c r="K18" s="6"/>
      <c r="L18" s="14" t="s">
        <v>66</v>
      </c>
      <c r="M18" s="92" t="s">
        <v>70</v>
      </c>
      <c r="N18" s="84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.75" thickBot="1" x14ac:dyDescent="0.3">
      <c r="A19" s="22"/>
      <c r="B19" s="22"/>
      <c r="C19" s="23" t="s">
        <v>11</v>
      </c>
      <c r="D19" s="24"/>
      <c r="E19" s="12" t="s">
        <v>26</v>
      </c>
      <c r="F19" s="17" t="s">
        <v>45</v>
      </c>
      <c r="G19" s="87" t="s">
        <v>69</v>
      </c>
      <c r="H19" s="47" t="s">
        <v>47</v>
      </c>
      <c r="I19" s="21" t="s">
        <v>17</v>
      </c>
      <c r="J19" s="19" t="s">
        <v>24</v>
      </c>
      <c r="K19" s="20" t="s">
        <v>46</v>
      </c>
      <c r="L19" s="21" t="s">
        <v>64</v>
      </c>
      <c r="M19" s="92" t="s">
        <v>73</v>
      </c>
      <c r="N19" s="92" t="s">
        <v>74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5.75" thickBot="1" x14ac:dyDescent="0.3">
      <c r="A20" s="22"/>
      <c r="B20" s="22"/>
      <c r="C20" s="8" t="s">
        <v>8</v>
      </c>
      <c r="D20" s="110">
        <v>20</v>
      </c>
      <c r="E20" s="1" t="s">
        <v>6</v>
      </c>
      <c r="F20" s="100">
        <v>4000</v>
      </c>
      <c r="G20" s="111">
        <v>10</v>
      </c>
      <c r="H20" s="113">
        <f>(F20*0.001)*D20*D21</f>
        <v>3200</v>
      </c>
      <c r="I20" s="60">
        <f>H20*2</f>
        <v>6400</v>
      </c>
      <c r="J20" s="57">
        <v>5.0000000000000001E-3</v>
      </c>
      <c r="K20" s="55">
        <f>(I20*J20)+(I21*J21)</f>
        <v>35.242400000000004</v>
      </c>
      <c r="L20" s="62">
        <f>(K20*D18)</f>
        <v>1762.1200000000001</v>
      </c>
      <c r="M20" s="139">
        <f>(G20*2)*(0.9802*10^-3)*(I20/20)</f>
        <v>6.2732800000000015</v>
      </c>
      <c r="N20" s="93">
        <f>M20+M21</f>
        <v>6.2798669440000019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5.75" thickBot="1" x14ac:dyDescent="0.3">
      <c r="A21" s="22"/>
      <c r="B21" s="22"/>
      <c r="C21" s="9" t="s">
        <v>9</v>
      </c>
      <c r="D21" s="109">
        <v>40</v>
      </c>
      <c r="E21" s="9" t="s">
        <v>5</v>
      </c>
      <c r="F21" s="101">
        <v>2</v>
      </c>
      <c r="G21" s="112">
        <v>40</v>
      </c>
      <c r="H21" s="114">
        <f>(F21*0.001)*D20*D21</f>
        <v>1.6</v>
      </c>
      <c r="I21" s="61">
        <f>H21*1.05</f>
        <v>1.6800000000000002</v>
      </c>
      <c r="J21" s="56">
        <v>1.93</v>
      </c>
      <c r="K21" s="4"/>
      <c r="L21" s="5"/>
      <c r="M21" s="140">
        <f>(G21*2)*(0.9802*10^-3)*(I21/20)</f>
        <v>6.5869440000000017E-3</v>
      </c>
      <c r="N21" s="88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5.75" thickBot="1" x14ac:dyDescent="0.3">
      <c r="A22" s="22"/>
      <c r="B22" s="22"/>
      <c r="C22" s="45"/>
      <c r="D22" s="46"/>
      <c r="E22" s="46"/>
      <c r="F22" s="46"/>
      <c r="G22" s="46"/>
      <c r="H22" s="46"/>
      <c r="I22" s="46"/>
      <c r="J22" s="46"/>
      <c r="K22" s="7"/>
      <c r="L22" s="10"/>
      <c r="M22" s="85"/>
      <c r="N22" s="86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5.75" thickBot="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5.75" thickBot="1" x14ac:dyDescent="0.3">
      <c r="A24" s="22"/>
      <c r="B24" s="22"/>
      <c r="C24" s="11" t="s">
        <v>52</v>
      </c>
      <c r="D24" s="2"/>
      <c r="E24" s="2"/>
      <c r="F24" s="2"/>
      <c r="G24" s="2"/>
      <c r="H24" s="2"/>
      <c r="I24" s="2"/>
      <c r="J24" s="2"/>
      <c r="K24" s="2"/>
      <c r="L24" s="3"/>
      <c r="M24" s="89"/>
      <c r="N24" s="8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5.75" thickBot="1" x14ac:dyDescent="0.3">
      <c r="A25" s="22"/>
      <c r="B25" s="22"/>
      <c r="C25" s="23" t="s">
        <v>11</v>
      </c>
      <c r="D25" s="24"/>
      <c r="E25" s="11" t="s">
        <v>25</v>
      </c>
      <c r="F25" s="4"/>
      <c r="G25" s="11" t="s">
        <v>81</v>
      </c>
      <c r="H25" s="4"/>
      <c r="I25" s="4"/>
      <c r="J25" s="4"/>
      <c r="K25" s="4"/>
      <c r="L25" s="14" t="s">
        <v>66</v>
      </c>
      <c r="M25" s="94" t="s">
        <v>70</v>
      </c>
      <c r="N25" s="84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5.75" thickBot="1" x14ac:dyDescent="0.3">
      <c r="A26" s="22"/>
      <c r="B26" s="22"/>
      <c r="C26" s="8" t="s">
        <v>48</v>
      </c>
      <c r="D26" s="107">
        <v>25000</v>
      </c>
      <c r="E26" s="13" t="s">
        <v>26</v>
      </c>
      <c r="F26" s="19" t="s">
        <v>45</v>
      </c>
      <c r="G26" s="96" t="s">
        <v>69</v>
      </c>
      <c r="H26" s="20" t="s">
        <v>47</v>
      </c>
      <c r="I26" s="21" t="s">
        <v>17</v>
      </c>
      <c r="J26" s="19" t="s">
        <v>24</v>
      </c>
      <c r="K26" s="20"/>
      <c r="L26" s="21" t="s">
        <v>64</v>
      </c>
      <c r="M26" s="92" t="s">
        <v>73</v>
      </c>
      <c r="N26" s="95" t="s">
        <v>75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5.75" thickBot="1" x14ac:dyDescent="0.3">
      <c r="A27" s="22"/>
      <c r="B27" s="22"/>
      <c r="C27" s="9" t="s">
        <v>51</v>
      </c>
      <c r="D27" s="109">
        <v>5</v>
      </c>
      <c r="E27" s="1" t="s">
        <v>6</v>
      </c>
      <c r="F27" s="100">
        <v>2000</v>
      </c>
      <c r="G27" s="111">
        <v>10</v>
      </c>
      <c r="H27" s="115">
        <f>(F27*0.001)*D26*D27</f>
        <v>250000</v>
      </c>
      <c r="I27" s="60">
        <f>H27*2</f>
        <v>500000</v>
      </c>
      <c r="J27" s="57">
        <v>5.0000000000000001E-3</v>
      </c>
      <c r="K27" s="58"/>
      <c r="L27" s="62">
        <f>(J27*I27)+(J28*I28)</f>
        <v>3006.625</v>
      </c>
      <c r="M27" s="139">
        <f>(G27*2)*(0.9802*10^-3)*(I27/20)</f>
        <v>490.10000000000008</v>
      </c>
      <c r="N27" s="93">
        <f>M27+M28</f>
        <v>491.12921000000006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5.75" thickBot="1" x14ac:dyDescent="0.3">
      <c r="A28" s="22"/>
      <c r="B28" s="22"/>
      <c r="C28" s="42"/>
      <c r="D28" s="4"/>
      <c r="E28" s="9" t="s">
        <v>5</v>
      </c>
      <c r="F28" s="101">
        <v>2</v>
      </c>
      <c r="G28" s="112">
        <v>40</v>
      </c>
      <c r="H28" s="116">
        <f>(F28*0.001)*D26*D27</f>
        <v>250</v>
      </c>
      <c r="I28" s="61">
        <f>H28*1.05</f>
        <v>262.5</v>
      </c>
      <c r="J28" s="56">
        <v>1.93</v>
      </c>
      <c r="K28" s="4"/>
      <c r="L28" s="5"/>
      <c r="M28" s="140">
        <f>(G28*2)*(0.9802*10^-3)*(I28/20)</f>
        <v>1.0292100000000002</v>
      </c>
      <c r="N28" s="88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.75" thickBot="1" x14ac:dyDescent="0.3">
      <c r="A29" s="22"/>
      <c r="B29" s="22"/>
      <c r="C29" s="43"/>
      <c r="D29" s="7"/>
      <c r="E29" s="7"/>
      <c r="F29" s="7"/>
      <c r="G29" s="7"/>
      <c r="H29" s="7"/>
      <c r="I29" s="7"/>
      <c r="J29" s="7"/>
      <c r="K29" s="7"/>
      <c r="L29" s="10"/>
      <c r="M29" s="85"/>
      <c r="N29" s="86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5.75" thickBo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5.75" thickBot="1" x14ac:dyDescent="0.3">
      <c r="A32" s="22"/>
      <c r="B32" s="22"/>
      <c r="C32" s="14" t="s">
        <v>29</v>
      </c>
      <c r="D32" s="2"/>
      <c r="E32" s="2"/>
      <c r="F32" s="2"/>
      <c r="G32" s="2"/>
      <c r="H32" s="2"/>
      <c r="I32" s="2"/>
      <c r="J32" s="2"/>
      <c r="K32" s="2"/>
      <c r="L32" s="3"/>
      <c r="M32" s="89"/>
      <c r="N32" s="8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5.75" thickBot="1" x14ac:dyDescent="0.3">
      <c r="A33" s="22"/>
      <c r="B33" s="22"/>
      <c r="C33" s="42"/>
      <c r="D33" s="4"/>
      <c r="E33" s="11" t="s">
        <v>25</v>
      </c>
      <c r="F33" s="4"/>
      <c r="G33" s="11" t="s">
        <v>81</v>
      </c>
      <c r="H33" s="4"/>
      <c r="I33" s="4"/>
      <c r="J33" s="4"/>
      <c r="K33" s="4"/>
      <c r="L33" s="14" t="s">
        <v>66</v>
      </c>
      <c r="M33" s="94" t="s">
        <v>70</v>
      </c>
      <c r="N33" s="84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.75" thickBot="1" x14ac:dyDescent="0.3">
      <c r="A34" s="22"/>
      <c r="B34" s="22"/>
      <c r="C34" s="42"/>
      <c r="D34" s="4"/>
      <c r="E34" s="8" t="s">
        <v>26</v>
      </c>
      <c r="F34" s="9"/>
      <c r="G34" s="13" t="s">
        <v>69</v>
      </c>
      <c r="H34" s="7"/>
      <c r="I34" s="10"/>
      <c r="J34" s="19" t="s">
        <v>24</v>
      </c>
      <c r="K34" s="20"/>
      <c r="L34" s="21" t="s">
        <v>64</v>
      </c>
      <c r="M34" s="92" t="s">
        <v>73</v>
      </c>
      <c r="N34" s="92" t="s">
        <v>76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5.75" thickBot="1" x14ac:dyDescent="0.3">
      <c r="A35" s="22"/>
      <c r="B35" s="22"/>
      <c r="C35" s="42"/>
      <c r="D35" s="4"/>
      <c r="E35" s="1" t="s">
        <v>3</v>
      </c>
      <c r="F35" s="143" t="s">
        <v>12</v>
      </c>
      <c r="G35" s="117">
        <v>10</v>
      </c>
      <c r="H35" s="48" t="s">
        <v>17</v>
      </c>
      <c r="I35" s="119">
        <v>24</v>
      </c>
      <c r="J35" s="57">
        <f>IF(F35="Concrete X4",0.12,IF(F35="Concrete X3",0.113,IF(F35="Concrete X2",0.113,IF(F35="Concrete X1",0.01,IF(F35="Unknown",0.12)))))</f>
        <v>0.12</v>
      </c>
      <c r="K35" s="58"/>
      <c r="L35" s="59">
        <f>(J35*I35)+(J36*I36)</f>
        <v>2.8975200000000001</v>
      </c>
      <c r="M35" s="139">
        <f>(G35*2)*(0.9802*10^-3)*(I35/20)</f>
        <v>2.3524800000000002E-2</v>
      </c>
      <c r="N35" s="93">
        <f>M35+M36</f>
        <v>2.3548324800000003E-2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5.75" thickBot="1" x14ac:dyDescent="0.3">
      <c r="A36" s="22"/>
      <c r="B36" s="22"/>
      <c r="C36" s="42"/>
      <c r="D36" s="4"/>
      <c r="E36" s="9" t="s">
        <v>4</v>
      </c>
      <c r="F36" s="144" t="s">
        <v>20</v>
      </c>
      <c r="G36" s="118">
        <v>20</v>
      </c>
      <c r="H36" s="49" t="s">
        <v>17</v>
      </c>
      <c r="I36" s="120">
        <v>1.2E-2</v>
      </c>
      <c r="J36" s="56">
        <f>IF(F36="Steel AV recycled content",1.46,IF(F36="Engineering steel recycled",0.72,IF(F36="Steel Reused",0.15,IF(F36="Unknown",0.72))))</f>
        <v>1.46</v>
      </c>
      <c r="K36" s="4"/>
      <c r="L36" s="5"/>
      <c r="M36" s="140">
        <f>(G36*2)*(0.9802*10^-3)*(I36/20)</f>
        <v>2.3524800000000006E-5</v>
      </c>
      <c r="N36" s="98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5.75" thickBot="1" x14ac:dyDescent="0.3">
      <c r="A37" s="22"/>
      <c r="B37" s="22"/>
      <c r="C37" s="43"/>
      <c r="D37" s="7"/>
      <c r="E37" s="7"/>
      <c r="F37" s="7"/>
      <c r="G37" s="7"/>
      <c r="H37" s="7"/>
      <c r="I37" s="7"/>
      <c r="J37" s="7"/>
      <c r="K37" s="7"/>
      <c r="L37" s="10"/>
      <c r="M37" s="85"/>
      <c r="N37" s="86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.75" thickBot="1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.75" thickBot="1" x14ac:dyDescent="0.3">
      <c r="A39" s="22"/>
      <c r="B39" s="22"/>
      <c r="C39" s="11" t="s">
        <v>28</v>
      </c>
      <c r="D39" s="2"/>
      <c r="E39" s="2"/>
      <c r="F39" s="2"/>
      <c r="G39" s="2"/>
      <c r="H39" s="2"/>
      <c r="I39" s="2"/>
      <c r="J39" s="2"/>
      <c r="K39" s="2"/>
      <c r="L39" s="3"/>
      <c r="M39" s="89"/>
      <c r="N39" s="8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5.75" thickBot="1" x14ac:dyDescent="0.3">
      <c r="A40" s="22"/>
      <c r="B40" s="22"/>
      <c r="C40" s="23" t="s">
        <v>11</v>
      </c>
      <c r="D40" s="24"/>
      <c r="E40" s="11" t="s">
        <v>25</v>
      </c>
      <c r="F40" s="4"/>
      <c r="G40" s="11" t="s">
        <v>81</v>
      </c>
      <c r="H40" s="4"/>
      <c r="I40" s="4"/>
      <c r="J40" s="4"/>
      <c r="K40" s="4"/>
      <c r="L40" s="14" t="s">
        <v>66</v>
      </c>
      <c r="M40" s="92" t="s">
        <v>70</v>
      </c>
      <c r="N40" s="84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5.75" thickBot="1" x14ac:dyDescent="0.3">
      <c r="A41" s="22"/>
      <c r="B41" s="22"/>
      <c r="C41" s="8" t="s">
        <v>8</v>
      </c>
      <c r="D41" s="99">
        <f>('Carbon Calculator'!P9*500)+D64</f>
        <v>45000</v>
      </c>
      <c r="E41" s="12" t="s">
        <v>26</v>
      </c>
      <c r="F41" s="4"/>
      <c r="G41" s="9" t="s">
        <v>69</v>
      </c>
      <c r="H41" s="19" t="s">
        <v>47</v>
      </c>
      <c r="I41" s="21" t="s">
        <v>17</v>
      </c>
      <c r="J41" s="19" t="s">
        <v>24</v>
      </c>
      <c r="K41" s="20"/>
      <c r="L41" s="21" t="s">
        <v>63</v>
      </c>
      <c r="M41" s="92" t="s">
        <v>73</v>
      </c>
      <c r="N41" s="92" t="s">
        <v>77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5.75" thickBot="1" x14ac:dyDescent="0.3">
      <c r="A42" s="22"/>
      <c r="B42" s="22"/>
      <c r="C42" s="9" t="s">
        <v>45</v>
      </c>
      <c r="D42" s="102">
        <v>1000</v>
      </c>
      <c r="E42" s="1" t="s">
        <v>49</v>
      </c>
      <c r="F42" s="2"/>
      <c r="G42" s="121"/>
      <c r="H42" s="121">
        <v>0</v>
      </c>
      <c r="I42" s="60">
        <f>1.85*H42</f>
        <v>0</v>
      </c>
      <c r="J42" s="57">
        <v>5.0999999999999997E-2</v>
      </c>
      <c r="K42" s="58"/>
      <c r="L42" s="62">
        <f>(J42*I42)+(J43*I43)</f>
        <v>84</v>
      </c>
      <c r="M42" s="139">
        <f>(G42*2)*(0.9802*10^-3)*(I42/20)</f>
        <v>0</v>
      </c>
      <c r="N42" s="93">
        <f>(M42+M43)</f>
        <v>16.467360000000003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5.75" thickBot="1" x14ac:dyDescent="0.3">
      <c r="A43" s="22"/>
      <c r="B43" s="22"/>
      <c r="C43" s="42"/>
      <c r="D43" s="4"/>
      <c r="E43" s="9" t="s">
        <v>53</v>
      </c>
      <c r="F43" s="7"/>
      <c r="G43" s="122">
        <v>10</v>
      </c>
      <c r="H43" s="122">
        <v>14000</v>
      </c>
      <c r="I43" s="61">
        <f>1.2*H43</f>
        <v>16800</v>
      </c>
      <c r="J43" s="56">
        <v>5.0000000000000001E-3</v>
      </c>
      <c r="K43" s="4"/>
      <c r="L43" s="5"/>
      <c r="M43" s="140">
        <f>(G43*2)*(0.9802*10^-3)*(I43/20)</f>
        <v>16.467360000000003</v>
      </c>
      <c r="N43" s="88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.75" thickBot="1" x14ac:dyDescent="0.3">
      <c r="A44" s="22"/>
      <c r="B44" s="22"/>
      <c r="C44" s="43"/>
      <c r="D44" s="7"/>
      <c r="E44" s="49"/>
      <c r="F44" s="7"/>
      <c r="G44" s="7"/>
      <c r="H44" s="7"/>
      <c r="I44" s="7"/>
      <c r="J44" s="7"/>
      <c r="K44" s="7"/>
      <c r="L44" s="10"/>
      <c r="M44" s="85"/>
      <c r="N44" s="86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5.75" thickBot="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5.75" thickBot="1" x14ac:dyDescent="0.3">
      <c r="A46" s="22"/>
      <c r="B46" s="22"/>
      <c r="C46" s="11" t="s">
        <v>55</v>
      </c>
      <c r="D46" s="2"/>
      <c r="E46" s="48"/>
      <c r="F46" s="2"/>
      <c r="G46" s="2"/>
      <c r="H46" s="2"/>
      <c r="I46" s="2"/>
      <c r="J46" s="2"/>
      <c r="K46" s="2"/>
      <c r="L46" s="3"/>
      <c r="M46" s="89"/>
      <c r="N46" s="8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5.75" thickBot="1" x14ac:dyDescent="0.3">
      <c r="A47" s="22"/>
      <c r="B47" s="22"/>
      <c r="C47" s="14" t="s">
        <v>61</v>
      </c>
      <c r="D47" s="43"/>
      <c r="E47" s="49"/>
      <c r="F47" s="4"/>
      <c r="G47" s="4"/>
      <c r="H47" s="4"/>
      <c r="I47" s="4"/>
      <c r="J47" s="4"/>
      <c r="K47" s="4"/>
      <c r="L47" s="5"/>
      <c r="M47" s="82"/>
      <c r="N47" s="84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5.75" thickBot="1" x14ac:dyDescent="0.3">
      <c r="A48" s="22"/>
      <c r="B48" s="22"/>
      <c r="C48" s="23" t="s">
        <v>11</v>
      </c>
      <c r="D48" s="24"/>
      <c r="E48" s="11" t="s">
        <v>25</v>
      </c>
      <c r="F48" s="4"/>
      <c r="G48" s="11" t="s">
        <v>81</v>
      </c>
      <c r="H48" s="4"/>
      <c r="I48" s="4"/>
      <c r="J48" s="4"/>
      <c r="K48" s="4"/>
      <c r="L48" s="18"/>
      <c r="M48" s="92" t="s">
        <v>70</v>
      </c>
      <c r="N48" s="84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75" thickBot="1" x14ac:dyDescent="0.3">
      <c r="A49" s="22"/>
      <c r="B49" s="22"/>
      <c r="C49" s="8" t="s">
        <v>8</v>
      </c>
      <c r="D49" s="125">
        <f>'Carbon Calculator'!P9*500</f>
        <v>25000</v>
      </c>
      <c r="E49" s="12" t="s">
        <v>26</v>
      </c>
      <c r="F49" s="4"/>
      <c r="G49" s="97" t="s">
        <v>69</v>
      </c>
      <c r="H49" s="20" t="s">
        <v>47</v>
      </c>
      <c r="I49" s="21" t="s">
        <v>17</v>
      </c>
      <c r="J49" s="19" t="s">
        <v>24</v>
      </c>
      <c r="K49" s="20"/>
      <c r="L49" s="21" t="s">
        <v>63</v>
      </c>
      <c r="M49" s="92" t="s">
        <v>73</v>
      </c>
      <c r="N49" s="92" t="s">
        <v>78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5.75" thickBot="1" x14ac:dyDescent="0.3">
      <c r="A50" s="22"/>
      <c r="B50" s="22"/>
      <c r="C50" s="9" t="s">
        <v>57</v>
      </c>
      <c r="D50" s="52">
        <v>50</v>
      </c>
      <c r="E50" s="141" t="s">
        <v>59</v>
      </c>
      <c r="F50" s="2"/>
      <c r="G50" s="103">
        <v>20</v>
      </c>
      <c r="H50" s="127">
        <f>(D50*0.000001)*D49</f>
        <v>1.25</v>
      </c>
      <c r="I50" s="60">
        <f>IF(E50="Copper General",H50*8.9,(IF(E50="Copper Recycled",H50*8.9,(IF(E50="Aluminium General",H50*2.7,(IF(E50="Aluminium Recycled",H50*2.7)))))))</f>
        <v>11.125</v>
      </c>
      <c r="J50" s="57">
        <f>IF(E50="Copper General",2.71,(IF(E50="Copper Recycled",0.27,(IF(E50="Aluminium General",9.6,(IF(E50="Aluminium Recycled",1.69)))))))</f>
        <v>2.71</v>
      </c>
      <c r="K50" s="58"/>
      <c r="L50" s="62">
        <f>(J50*I50)+(J51*I51)</f>
        <v>286.7721561359067</v>
      </c>
      <c r="M50" s="139">
        <f>(G50*2)*(0.9802*10^-3)*(I50/20)</f>
        <v>2.1809450000000005E-2</v>
      </c>
      <c r="N50" s="93">
        <f>M50+M51</f>
        <v>2.1809450000000005E-2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5.75" thickBot="1" x14ac:dyDescent="0.3">
      <c r="A51" s="22"/>
      <c r="B51" s="22"/>
      <c r="C51" s="42"/>
      <c r="D51" s="4"/>
      <c r="E51" s="9" t="s">
        <v>50</v>
      </c>
      <c r="F51" s="7"/>
      <c r="G51" s="104"/>
      <c r="H51" s="128">
        <f>D49*(SQRT((D50*0.000001)/3.1415))</f>
        <v>99.737040861215192</v>
      </c>
      <c r="I51" s="61">
        <f>H51*0.83</f>
        <v>82.781743914808601</v>
      </c>
      <c r="J51" s="56">
        <v>3.1</v>
      </c>
      <c r="K51" s="4"/>
      <c r="L51" s="5"/>
      <c r="M51" s="140">
        <f>(G51*2)*(0.9802*10^-3)*(I51/20)</f>
        <v>0</v>
      </c>
      <c r="N51" s="88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5.75" thickBot="1" x14ac:dyDescent="0.3">
      <c r="A52" s="22"/>
      <c r="B52" s="22"/>
      <c r="C52" s="42"/>
      <c r="D52" s="4"/>
      <c r="E52" s="48"/>
      <c r="F52" s="2"/>
      <c r="G52" s="2"/>
      <c r="H52" s="68"/>
      <c r="I52" s="69"/>
      <c r="J52" s="2"/>
      <c r="K52" s="4"/>
      <c r="L52" s="5"/>
      <c r="M52" s="82"/>
      <c r="N52" s="84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5.75" thickBot="1" x14ac:dyDescent="0.3">
      <c r="A53" s="22"/>
      <c r="B53" s="22"/>
      <c r="C53" s="14" t="s">
        <v>62</v>
      </c>
      <c r="D53" s="43"/>
      <c r="E53" s="49"/>
      <c r="F53" s="4"/>
      <c r="G53" s="4"/>
      <c r="H53" s="4"/>
      <c r="I53" s="4"/>
      <c r="J53" s="4"/>
      <c r="K53" s="4"/>
      <c r="L53" s="5"/>
      <c r="M53" s="82"/>
      <c r="N53" s="8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.75" thickBot="1" x14ac:dyDescent="0.3">
      <c r="A54" s="22"/>
      <c r="B54" s="22"/>
      <c r="C54" s="23" t="s">
        <v>11</v>
      </c>
      <c r="D54" s="24"/>
      <c r="E54" s="11" t="s">
        <v>25</v>
      </c>
      <c r="F54" s="4"/>
      <c r="G54" s="11" t="s">
        <v>81</v>
      </c>
      <c r="H54" s="4"/>
      <c r="I54" s="4"/>
      <c r="J54" s="4"/>
      <c r="K54" s="4"/>
      <c r="L54" s="18"/>
      <c r="M54" s="92" t="s">
        <v>70</v>
      </c>
      <c r="N54" s="84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5.75" thickBot="1" x14ac:dyDescent="0.3">
      <c r="A55" s="22"/>
      <c r="B55" s="22"/>
      <c r="C55" s="8" t="s">
        <v>8</v>
      </c>
      <c r="D55" s="126">
        <f>'Carbon Calculator'!P9*500</f>
        <v>25000</v>
      </c>
      <c r="E55" s="12" t="s">
        <v>26</v>
      </c>
      <c r="F55" s="4"/>
      <c r="G55" s="13" t="s">
        <v>69</v>
      </c>
      <c r="H55" s="20" t="s">
        <v>47</v>
      </c>
      <c r="I55" s="21" t="s">
        <v>17</v>
      </c>
      <c r="J55" s="19" t="s">
        <v>24</v>
      </c>
      <c r="K55" s="20"/>
      <c r="L55" s="21" t="s">
        <v>63</v>
      </c>
      <c r="M55" s="92" t="s">
        <v>73</v>
      </c>
      <c r="N55" s="92" t="s">
        <v>79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5.75" thickBot="1" x14ac:dyDescent="0.3">
      <c r="A56" s="22"/>
      <c r="B56" s="22"/>
      <c r="C56" s="9" t="s">
        <v>57</v>
      </c>
      <c r="D56" s="102">
        <v>0</v>
      </c>
      <c r="E56" s="141" t="s">
        <v>54</v>
      </c>
      <c r="F56" s="2"/>
      <c r="G56" s="103"/>
      <c r="H56" s="127">
        <f>(D56*0.000001)*D55</f>
        <v>0</v>
      </c>
      <c r="I56" s="60">
        <f>IF(E56="Copper General",H56*8.9,(IF(E56="Copper Recycled",H56*8.9,(IF(E56="Aluminium General",H56*2.7,(IF(E56="Aluminium Recycled",H56*2.7)))))))</f>
        <v>0</v>
      </c>
      <c r="J56" s="57">
        <f>IF(E56="Copper General",2.71,(IF(E56="Copper Recycled",0.27,(IF(E56="Aluminium General",9.6,(IF(E56="Aluminium Recycled",1.69)))))))</f>
        <v>0.27</v>
      </c>
      <c r="K56" s="58"/>
      <c r="L56" s="62">
        <f>(J56*I56)+(J57*I57)</f>
        <v>0</v>
      </c>
      <c r="M56" s="139">
        <f>(G56*2)*(0.9802*10^-3)*(I56/20)</f>
        <v>0</v>
      </c>
      <c r="N56" s="93">
        <f>M56+M57</f>
        <v>0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5.75" thickBot="1" x14ac:dyDescent="0.3">
      <c r="A57" s="22"/>
      <c r="B57" s="22"/>
      <c r="C57" s="42"/>
      <c r="D57" s="4"/>
      <c r="E57" s="9" t="s">
        <v>50</v>
      </c>
      <c r="F57" s="7"/>
      <c r="G57" s="104"/>
      <c r="H57" s="128">
        <f>D55*(SQRT((D56*0.000001)/3.1415))</f>
        <v>0</v>
      </c>
      <c r="I57" s="61">
        <f>H57*0.83</f>
        <v>0</v>
      </c>
      <c r="J57" s="56">
        <v>3.1</v>
      </c>
      <c r="K57" s="4"/>
      <c r="L57" s="14" t="s">
        <v>66</v>
      </c>
      <c r="M57" s="140">
        <f>(G57*2)*(0.9802*10^-3)*(I57/20)</f>
        <v>0</v>
      </c>
      <c r="N57" s="88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25">
      <c r="A58" s="22"/>
      <c r="B58" s="22"/>
      <c r="C58" s="42"/>
      <c r="D58" s="4"/>
      <c r="E58" s="48"/>
      <c r="F58" s="2"/>
      <c r="G58" s="2"/>
      <c r="H58" s="68"/>
      <c r="I58" s="69"/>
      <c r="J58" s="2"/>
      <c r="K58" s="4"/>
      <c r="L58" s="11" t="s">
        <v>65</v>
      </c>
      <c r="M58" s="82"/>
      <c r="N58" s="8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.75" thickBot="1" x14ac:dyDescent="0.3">
      <c r="A59" s="22"/>
      <c r="B59" s="22"/>
      <c r="C59" s="43"/>
      <c r="D59" s="7"/>
      <c r="E59" s="49"/>
      <c r="F59" s="7"/>
      <c r="G59" s="7"/>
      <c r="H59" s="66"/>
      <c r="I59" s="67"/>
      <c r="J59" s="7"/>
      <c r="K59" s="7"/>
      <c r="L59" s="70">
        <f>(L50+L56)</f>
        <v>286.7721561359067</v>
      </c>
      <c r="M59" s="85"/>
      <c r="N59" s="86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5.75" thickBot="1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5.75" thickBot="1" x14ac:dyDescent="0.3">
      <c r="A61" s="22"/>
      <c r="B61" s="22"/>
      <c r="C61" s="11" t="s">
        <v>56</v>
      </c>
      <c r="D61" s="2"/>
      <c r="E61" s="48"/>
      <c r="F61" s="2"/>
      <c r="G61" s="2"/>
      <c r="H61" s="2"/>
      <c r="I61" s="2"/>
      <c r="J61" s="2"/>
      <c r="K61" s="2"/>
      <c r="L61" s="2"/>
      <c r="M61" s="89"/>
      <c r="N61" s="8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5.75" thickBot="1" x14ac:dyDescent="0.3">
      <c r="A62" s="22"/>
      <c r="B62" s="22"/>
      <c r="C62" s="14" t="s">
        <v>61</v>
      </c>
      <c r="D62" s="43"/>
      <c r="E62" s="49"/>
      <c r="F62" s="4"/>
      <c r="G62" s="6"/>
      <c r="H62" s="4"/>
      <c r="I62" s="4"/>
      <c r="J62" s="4"/>
      <c r="K62" s="4"/>
      <c r="L62" s="4"/>
      <c r="M62" s="82"/>
      <c r="N62" s="84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5.75" thickBot="1" x14ac:dyDescent="0.3">
      <c r="A63" s="22"/>
      <c r="B63" s="22"/>
      <c r="C63" s="23" t="s">
        <v>11</v>
      </c>
      <c r="D63" s="24"/>
      <c r="E63" s="11" t="s">
        <v>25</v>
      </c>
      <c r="F63" s="4"/>
      <c r="G63" s="11" t="s">
        <v>81</v>
      </c>
      <c r="H63" s="4"/>
      <c r="I63" s="4"/>
      <c r="J63" s="4"/>
      <c r="K63" s="4"/>
      <c r="L63" s="49"/>
      <c r="M63" s="92" t="s">
        <v>70</v>
      </c>
      <c r="N63" s="84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.75" thickBot="1" x14ac:dyDescent="0.3">
      <c r="A64" s="22"/>
      <c r="B64" s="22"/>
      <c r="C64" s="8" t="s">
        <v>8</v>
      </c>
      <c r="D64" s="53">
        <v>20000</v>
      </c>
      <c r="E64" s="12" t="s">
        <v>26</v>
      </c>
      <c r="F64" s="4"/>
      <c r="G64" s="97" t="s">
        <v>69</v>
      </c>
      <c r="H64" s="20" t="s">
        <v>47</v>
      </c>
      <c r="I64" s="21" t="s">
        <v>17</v>
      </c>
      <c r="J64" s="19" t="s">
        <v>24</v>
      </c>
      <c r="K64" s="20"/>
      <c r="L64" s="20" t="s">
        <v>63</v>
      </c>
      <c r="M64" s="92" t="s">
        <v>73</v>
      </c>
      <c r="N64" s="92" t="s">
        <v>78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5.75" thickBot="1" x14ac:dyDescent="0.3">
      <c r="A65" s="22"/>
      <c r="B65" s="22"/>
      <c r="C65" s="9" t="s">
        <v>57</v>
      </c>
      <c r="D65" s="52">
        <v>2500</v>
      </c>
      <c r="E65" s="141" t="s">
        <v>59</v>
      </c>
      <c r="F65" s="2"/>
      <c r="G65" s="123">
        <v>20</v>
      </c>
      <c r="H65" s="127">
        <f>(D65*0.000001)*D64</f>
        <v>50</v>
      </c>
      <c r="I65" s="60">
        <f>IF(E65="Copper General",H65*8.9,(IF(E65="Copper Recycled",H65*8.9,(IF(E65="Aluminium General",H65*2.7,(IF(E65="Aluminium Recycled",H65*2.7)))))))</f>
        <v>445</v>
      </c>
      <c r="J65" s="57">
        <f>IF(E65="Copper General",2.71,(IF(E65="Copper Recycled",0.27,(IF(E65="Aluminium General",9.6,(IF(E65="Aluminium Recycled",1.69)))))))</f>
        <v>2.71</v>
      </c>
      <c r="K65" s="58"/>
      <c r="L65" s="90">
        <f>(J65*I65)+(J66*I66)</f>
        <v>2657.6312055191129</v>
      </c>
      <c r="M65" s="139">
        <f>(G65*2)*(0.9802*10^-3)*(I65/20)</f>
        <v>0.8723780000000001</v>
      </c>
      <c r="N65" s="93">
        <f>M65+M67</f>
        <v>0.8723780000000001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5.75" thickBot="1" x14ac:dyDescent="0.3">
      <c r="A66" s="22"/>
      <c r="B66" s="22"/>
      <c r="C66" s="42"/>
      <c r="D66" s="4"/>
      <c r="E66" s="9" t="s">
        <v>50</v>
      </c>
      <c r="F66" s="7"/>
      <c r="G66" s="124"/>
      <c r="H66" s="128">
        <f>D64*(SQRT((D65*0.000001)/3.1415))</f>
        <v>564.19790342756039</v>
      </c>
      <c r="I66" s="61">
        <f>H66*0.83</f>
        <v>468.28425984487512</v>
      </c>
      <c r="J66" s="56">
        <v>3.1</v>
      </c>
      <c r="K66" s="4"/>
      <c r="L66" s="4"/>
      <c r="M66" s="140">
        <f>(G66*2)*(0.9802*10^-3)*(I66/20)</f>
        <v>0</v>
      </c>
      <c r="N66" s="88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5.75" thickBot="1" x14ac:dyDescent="0.3">
      <c r="A67" s="22"/>
      <c r="B67" s="22"/>
      <c r="C67" s="42"/>
      <c r="D67" s="4"/>
      <c r="E67" s="48"/>
      <c r="F67" s="2"/>
      <c r="G67" s="2"/>
      <c r="H67" s="68"/>
      <c r="I67" s="69"/>
      <c r="J67" s="2"/>
      <c r="K67" s="4"/>
      <c r="L67" s="4"/>
      <c r="M67" s="82"/>
      <c r="N67" s="84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5.75" thickBot="1" x14ac:dyDescent="0.3">
      <c r="A68" s="22"/>
      <c r="B68" s="22"/>
      <c r="C68" s="14" t="s">
        <v>62</v>
      </c>
      <c r="D68" s="43"/>
      <c r="E68" s="49"/>
      <c r="F68" s="4"/>
      <c r="G68" s="4"/>
      <c r="H68" s="4"/>
      <c r="I68" s="4"/>
      <c r="J68" s="4"/>
      <c r="K68" s="4"/>
      <c r="L68" s="4"/>
      <c r="M68" s="82"/>
      <c r="N68" s="84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.75" thickBot="1" x14ac:dyDescent="0.3">
      <c r="A69" s="22"/>
      <c r="B69" s="22"/>
      <c r="C69" s="23" t="s">
        <v>11</v>
      </c>
      <c r="D69" s="24"/>
      <c r="E69" s="11" t="s">
        <v>25</v>
      </c>
      <c r="F69" s="4"/>
      <c r="G69" s="11" t="s">
        <v>81</v>
      </c>
      <c r="H69" s="4"/>
      <c r="I69" s="4"/>
      <c r="J69" s="4"/>
      <c r="K69" s="4"/>
      <c r="L69" s="6"/>
      <c r="M69" s="92" t="s">
        <v>70</v>
      </c>
      <c r="N69" s="84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5.75" thickBot="1" x14ac:dyDescent="0.3">
      <c r="A70" s="22"/>
      <c r="B70" s="22"/>
      <c r="C70" s="8" t="s">
        <v>8</v>
      </c>
      <c r="D70" s="99">
        <v>0</v>
      </c>
      <c r="E70" s="12" t="s">
        <v>26</v>
      </c>
      <c r="F70" s="4"/>
      <c r="G70" s="9" t="s">
        <v>69</v>
      </c>
      <c r="H70" s="19" t="s">
        <v>47</v>
      </c>
      <c r="I70" s="21" t="s">
        <v>17</v>
      </c>
      <c r="J70" s="19" t="s">
        <v>24</v>
      </c>
      <c r="K70" s="20"/>
      <c r="L70" s="20" t="s">
        <v>63</v>
      </c>
      <c r="M70" s="92" t="s">
        <v>73</v>
      </c>
      <c r="N70" s="92" t="s">
        <v>79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5.75" thickBot="1" x14ac:dyDescent="0.3">
      <c r="A71" s="22"/>
      <c r="B71" s="22"/>
      <c r="C71" s="9" t="s">
        <v>57</v>
      </c>
      <c r="D71" s="102"/>
      <c r="E71" s="141" t="s">
        <v>59</v>
      </c>
      <c r="F71" s="2"/>
      <c r="G71" s="103"/>
      <c r="H71" s="127">
        <f>(D71*0.000001)*D70</f>
        <v>0</v>
      </c>
      <c r="I71" s="60">
        <f>IF(E71="Copper General",H71*8.9,(IF(E71="Copper Recycled",H71*8.9,(IF(E71="Aluminium General",H71*2.7,(IF(E71="Aluminium Recycled",H71*2.7)))))))</f>
        <v>0</v>
      </c>
      <c r="J71" s="57">
        <f>IF(E71="Copper General",2.71,(IF(E71="Copper Recycled",0.27,(IF(E71="Aluminium General",9.6,(IF(E71="Aluminium Recycled",1.69)))))))</f>
        <v>2.71</v>
      </c>
      <c r="K71" s="58"/>
      <c r="L71" s="90">
        <f>(J71*I71)+(J72*I72)</f>
        <v>0</v>
      </c>
      <c r="M71" s="139">
        <f>(G71*2)*(0.9802*10^-3)*(I71/20)</f>
        <v>0</v>
      </c>
      <c r="N71" s="93">
        <f>M71+M72</f>
        <v>0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5.75" thickBot="1" x14ac:dyDescent="0.3">
      <c r="A72" s="22"/>
      <c r="B72" s="22"/>
      <c r="C72" s="42"/>
      <c r="D72" s="4"/>
      <c r="E72" s="9" t="s">
        <v>50</v>
      </c>
      <c r="F72" s="7"/>
      <c r="G72" s="104"/>
      <c r="H72" s="128">
        <f>D70*(SQRT((D71*0.000001)/3.1415))</f>
        <v>0</v>
      </c>
      <c r="I72" s="61">
        <f>H72*0.83</f>
        <v>0</v>
      </c>
      <c r="J72" s="56">
        <v>3.1</v>
      </c>
      <c r="K72" s="4"/>
      <c r="L72" s="19" t="s">
        <v>66</v>
      </c>
      <c r="M72" s="140">
        <f>(G72*2)*(0.9802*10^-3)*(I72/20)</f>
        <v>0</v>
      </c>
      <c r="N72" s="88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x14ac:dyDescent="0.25">
      <c r="A73" s="22"/>
      <c r="B73" s="22"/>
      <c r="C73" s="42"/>
      <c r="D73" s="4"/>
      <c r="E73" s="48"/>
      <c r="F73" s="2"/>
      <c r="G73" s="2"/>
      <c r="H73" s="68"/>
      <c r="I73" s="69"/>
      <c r="J73" s="2"/>
      <c r="K73" s="4"/>
      <c r="L73" s="1" t="s">
        <v>65</v>
      </c>
      <c r="M73" s="82"/>
      <c r="N73" s="84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.75" thickBot="1" x14ac:dyDescent="0.3">
      <c r="A74" s="22"/>
      <c r="B74" s="22"/>
      <c r="C74" s="43"/>
      <c r="D74" s="7"/>
      <c r="E74" s="49"/>
      <c r="F74" s="7"/>
      <c r="G74" s="7"/>
      <c r="H74" s="66"/>
      <c r="I74" s="67"/>
      <c r="J74" s="7"/>
      <c r="K74" s="7"/>
      <c r="L74" s="91">
        <f>(L65+L71)</f>
        <v>2657.6312055191129</v>
      </c>
      <c r="M74" s="85"/>
      <c r="N74" s="86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5.75" thickBot="1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5.75" thickBot="1" x14ac:dyDescent="0.3">
      <c r="A76" s="22"/>
      <c r="B76" s="22"/>
      <c r="C76" s="14" t="s">
        <v>2</v>
      </c>
      <c r="D76" s="2"/>
      <c r="E76" s="2"/>
      <c r="F76" s="2"/>
      <c r="G76" s="2"/>
      <c r="H76" s="2"/>
      <c r="I76" s="2"/>
      <c r="J76" s="2"/>
      <c r="K76" s="2"/>
      <c r="L76" s="3"/>
      <c r="M76" s="89"/>
      <c r="N76" s="81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5.75" thickBot="1" x14ac:dyDescent="0.3">
      <c r="A77" s="22"/>
      <c r="B77" s="22"/>
      <c r="C77" s="42"/>
      <c r="D77" s="4"/>
      <c r="E77" s="11" t="s">
        <v>25</v>
      </c>
      <c r="F77" s="4"/>
      <c r="G77" s="1" t="s">
        <v>81</v>
      </c>
      <c r="H77" s="3"/>
      <c r="I77" s="4"/>
      <c r="J77" s="4"/>
      <c r="K77" s="4"/>
      <c r="L77" s="5"/>
      <c r="M77" s="92" t="s">
        <v>70</v>
      </c>
      <c r="N77" s="84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5.75" thickBot="1" x14ac:dyDescent="0.3">
      <c r="A78" s="22"/>
      <c r="B78" s="22"/>
      <c r="C78" s="42"/>
      <c r="D78" s="4"/>
      <c r="E78" s="12" t="s">
        <v>26</v>
      </c>
      <c r="F78" s="4"/>
      <c r="G78" s="9" t="s">
        <v>69</v>
      </c>
      <c r="H78" s="10"/>
      <c r="I78" s="21" t="s">
        <v>17</v>
      </c>
      <c r="J78" s="19" t="s">
        <v>24</v>
      </c>
      <c r="K78" s="46"/>
      <c r="L78" s="21" t="s">
        <v>67</v>
      </c>
      <c r="M78" s="92" t="s">
        <v>73</v>
      </c>
      <c r="N78" s="92" t="s">
        <v>80</v>
      </c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.75" thickBot="1" x14ac:dyDescent="0.3">
      <c r="A79" s="22"/>
      <c r="B79" s="22"/>
      <c r="C79" s="42"/>
      <c r="D79" s="4"/>
      <c r="E79" s="141" t="s">
        <v>20</v>
      </c>
      <c r="F79" s="2"/>
      <c r="G79" s="103">
        <v>0</v>
      </c>
      <c r="H79" s="2"/>
      <c r="I79" s="105">
        <v>0</v>
      </c>
      <c r="J79" s="57">
        <f>IF(E79="Steel AV recycled content",1.46,IF(E79="Engineering steel recycled",0.72,IF(E79="Steel Reused",0.15,IF(E79="Unknown",0.72))))</f>
        <v>1.46</v>
      </c>
      <c r="K79" s="58"/>
      <c r="L79" s="62">
        <f>(J79*I79)+(J80*I80)</f>
        <v>0</v>
      </c>
      <c r="M79" s="139">
        <f>(G79*2)*(0.9802*10^-3)*(I79/20)</f>
        <v>0</v>
      </c>
      <c r="N79" s="93">
        <f>M79+M80</f>
        <v>0</v>
      </c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5.75" thickBot="1" x14ac:dyDescent="0.3">
      <c r="A80" s="22"/>
      <c r="B80" s="22"/>
      <c r="C80" s="42"/>
      <c r="D80" s="4"/>
      <c r="E80" s="142" t="s">
        <v>59</v>
      </c>
      <c r="F80" s="7"/>
      <c r="G80" s="104">
        <v>0</v>
      </c>
      <c r="H80" s="7"/>
      <c r="I80" s="106">
        <v>0</v>
      </c>
      <c r="J80" s="56">
        <f>IF(E80="Copper General",2.71,(IF(E80="Copper Recycled",0.27,(IF(E80="Aluminium General",9.6,(IF(E80="Aluminium Recycled",1.69)))))))</f>
        <v>2.71</v>
      </c>
      <c r="K80" s="4"/>
      <c r="L80" s="5"/>
      <c r="M80" s="140">
        <f>(G80*2)*(0.9802*10^-3)*(I80/20)</f>
        <v>0</v>
      </c>
      <c r="N80" s="88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5.75" thickBot="1" x14ac:dyDescent="0.3">
      <c r="A81" s="22"/>
      <c r="B81" s="22"/>
      <c r="C81" s="43"/>
      <c r="D81" s="7"/>
      <c r="E81" s="7"/>
      <c r="F81" s="7"/>
      <c r="G81" s="7"/>
      <c r="H81" s="7"/>
      <c r="I81" s="7"/>
      <c r="J81" s="7"/>
      <c r="K81" s="7"/>
      <c r="L81" s="10"/>
      <c r="M81" s="85"/>
      <c r="N81" s="86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</sheetData>
  <sheetProtection password="DCDF" sheet="1" objects="1" scenarios="1"/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Data!$D$3:$D$7</xm:f>
          </x14:formula1>
          <xm:sqref>F12 F35</xm:sqref>
        </x14:dataValidation>
        <x14:dataValidation type="list" allowBlank="1" showInputMessage="1" showErrorMessage="1">
          <x14:formula1>
            <xm:f>Data!$D$9:$D$12</xm:f>
          </x14:formula1>
          <xm:sqref>E79 F13 F36</xm:sqref>
        </x14:dataValidation>
        <x14:dataValidation type="list" allowBlank="1" showInputMessage="1" showErrorMessage="1">
          <x14:formula1>
            <xm:f>Data!$H$3:$H$6</xm:f>
          </x14:formula1>
          <xm:sqref>E56 E50 E71 E65 E80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22"/>
  <sheetViews>
    <sheetView topLeftCell="B1" workbookViewId="0">
      <selection activeCell="D24" sqref="D24:G25"/>
    </sheetView>
  </sheetViews>
  <sheetFormatPr defaultRowHeight="15" x14ac:dyDescent="0.25"/>
  <cols>
    <col min="4" max="4" width="10.28515625" customWidth="1"/>
  </cols>
  <sheetData>
    <row r="3" spans="4:10" x14ac:dyDescent="0.25">
      <c r="D3" t="s">
        <v>12</v>
      </c>
      <c r="F3">
        <v>0.12</v>
      </c>
      <c r="H3" t="s">
        <v>59</v>
      </c>
      <c r="J3">
        <v>2.71</v>
      </c>
    </row>
    <row r="4" spans="4:10" x14ac:dyDescent="0.25">
      <c r="D4" t="s">
        <v>13</v>
      </c>
      <c r="F4">
        <v>0.113</v>
      </c>
      <c r="H4" t="s">
        <v>54</v>
      </c>
      <c r="J4">
        <v>0.27</v>
      </c>
    </row>
    <row r="5" spans="4:10" x14ac:dyDescent="0.25">
      <c r="D5" t="s">
        <v>14</v>
      </c>
      <c r="F5">
        <v>0.113</v>
      </c>
      <c r="H5" t="s">
        <v>58</v>
      </c>
      <c r="J5">
        <v>9.16</v>
      </c>
    </row>
    <row r="6" spans="4:10" x14ac:dyDescent="0.25">
      <c r="D6" t="s">
        <v>15</v>
      </c>
      <c r="F6">
        <v>0.01</v>
      </c>
      <c r="H6" t="s">
        <v>60</v>
      </c>
      <c r="J6">
        <v>1.69</v>
      </c>
    </row>
    <row r="7" spans="4:10" x14ac:dyDescent="0.25">
      <c r="D7" t="s">
        <v>16</v>
      </c>
      <c r="F7">
        <v>0.12</v>
      </c>
    </row>
    <row r="9" spans="4:10" x14ac:dyDescent="0.25">
      <c r="D9" t="s">
        <v>20</v>
      </c>
      <c r="G9">
        <v>1.46</v>
      </c>
    </row>
    <row r="10" spans="4:10" x14ac:dyDescent="0.25">
      <c r="D10" t="s">
        <v>21</v>
      </c>
      <c r="G10">
        <v>0.72</v>
      </c>
    </row>
    <row r="11" spans="4:10" x14ac:dyDescent="0.25">
      <c r="D11" t="s">
        <v>22</v>
      </c>
      <c r="G11">
        <v>0.15</v>
      </c>
    </row>
    <row r="12" spans="4:10" x14ac:dyDescent="0.25">
      <c r="D12" t="s">
        <v>16</v>
      </c>
      <c r="G12">
        <v>0.72</v>
      </c>
    </row>
    <row r="14" spans="4:10" x14ac:dyDescent="0.25">
      <c r="D14" t="s">
        <v>36</v>
      </c>
    </row>
    <row r="15" spans="4:10" x14ac:dyDescent="0.25">
      <c r="D15" t="s">
        <v>35</v>
      </c>
    </row>
    <row r="18" spans="4:12" x14ac:dyDescent="0.25">
      <c r="D18" s="63"/>
      <c r="E18" s="64"/>
      <c r="F18" s="64"/>
      <c r="G18" s="64"/>
      <c r="H18" s="64"/>
      <c r="I18" s="64"/>
      <c r="J18" s="64"/>
      <c r="K18" s="64"/>
      <c r="L18" s="64"/>
    </row>
    <row r="19" spans="4:12" x14ac:dyDescent="0.25">
      <c r="D19" s="63"/>
      <c r="E19" s="65"/>
      <c r="F19" s="64"/>
      <c r="G19" s="64"/>
      <c r="H19" s="64"/>
      <c r="I19" s="64"/>
      <c r="J19" s="64"/>
      <c r="K19" s="64"/>
      <c r="L19" s="64"/>
    </row>
    <row r="20" spans="4:12" x14ac:dyDescent="0.25">
      <c r="D20" s="63"/>
      <c r="E20" s="64"/>
      <c r="F20" s="64"/>
      <c r="G20" s="64"/>
      <c r="H20" s="64"/>
      <c r="I20" s="64"/>
      <c r="J20" s="64"/>
      <c r="K20" s="64"/>
      <c r="L20" s="64"/>
    </row>
    <row r="21" spans="4:12" x14ac:dyDescent="0.25">
      <c r="D21" s="63"/>
      <c r="E21" s="64"/>
      <c r="F21" s="64"/>
      <c r="G21" s="64"/>
      <c r="H21" s="64"/>
      <c r="I21" s="64"/>
      <c r="J21" s="64"/>
      <c r="K21" s="64"/>
      <c r="L21" s="64"/>
    </row>
    <row r="22" spans="4:12" x14ac:dyDescent="0.25">
      <c r="D22" s="63"/>
      <c r="E22" s="64"/>
      <c r="F22" s="64"/>
      <c r="G22" s="64"/>
      <c r="H22" s="64"/>
      <c r="I22" s="64"/>
      <c r="J22" s="64"/>
      <c r="K22" s="64"/>
      <c r="L22" s="64"/>
    </row>
  </sheetData>
  <sheetProtection password="DCD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Carbon Calculator</vt:lpstr>
      <vt:lpstr>Civils Construction Input</vt:lpstr>
      <vt:lpstr>Data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Blum</dc:creator>
  <cp:lastModifiedBy>Owner</cp:lastModifiedBy>
  <dcterms:created xsi:type="dcterms:W3CDTF">2012-03-15T12:00:49Z</dcterms:created>
  <dcterms:modified xsi:type="dcterms:W3CDTF">2012-04-25T18:57:06Z</dcterms:modified>
</cp:coreProperties>
</file>