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Default Extension="emf" ContentType="image/x-emf"/>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defaultThemeVersion="124226"/>
  <bookViews>
    <workbookView xWindow="120" yWindow="150" windowWidth="9960" windowHeight="6465" tabRatio="750"/>
  </bookViews>
  <sheets>
    <sheet name="Welcome" sheetId="56" r:id="rId1"/>
    <sheet name="Main Menu" sheetId="55" r:id="rId2"/>
    <sheet name="Heat Demand Model" sheetId="51" r:id="rId3"/>
    <sheet name="User Input" sheetId="54" r:id="rId4"/>
    <sheet name="Temperature Data Scotland" sheetId="53" r:id="rId5"/>
    <sheet name="Degree days C.F and HWS" sheetId="52" r:id="rId6"/>
    <sheet name="Woodchip" sheetId="6" r:id="rId7"/>
    <sheet name="Pellet" sheetId="9" r:id="rId8"/>
    <sheet name="Boiler " sheetId="21" r:id="rId9"/>
    <sheet name="Fuel Comparator and Consumption" sheetId="33" r:id="rId10"/>
    <sheet name="Storage options" sheetId="50" r:id="rId11"/>
    <sheet name="Thermal Buffer" sheetId="32" r:id="rId12"/>
    <sheet name="Funding" sheetId="38" r:id="rId13"/>
    <sheet name="WoodChip CO2 calculator" sheetId="10" r:id="rId14"/>
    <sheet name="Results" sheetId="45" r:id="rId15"/>
  </sheets>
  <definedNames>
    <definedName name="_1House_1_6_1" localSheetId="1">#REF!</definedName>
    <definedName name="_2House_1_6_1">#REF!</definedName>
    <definedName name="_3House_1_8_1" localSheetId="1">#REF!</definedName>
    <definedName name="_4House_1_8_1">#REF!</definedName>
    <definedName name="_5House_1_9_1" localSheetId="1">#REF!</definedName>
    <definedName name="_6House_1_9_1">#REF!</definedName>
    <definedName name="House_1" localSheetId="1">#REF!</definedName>
    <definedName name="House_1" localSheetId="7">#REF!</definedName>
    <definedName name="House_1" localSheetId="10">#REF!</definedName>
    <definedName name="House_1">#REF!</definedName>
    <definedName name="House_1_10" localSheetId="1">#REF!</definedName>
    <definedName name="House_1_10">#REF!</definedName>
    <definedName name="House_1_16" localSheetId="1">#REF!</definedName>
    <definedName name="House_1_16">#REF!</definedName>
    <definedName name="House_1_4" localSheetId="1">#REF!</definedName>
    <definedName name="House_1_4" localSheetId="10">#REF!</definedName>
    <definedName name="House_1_4">#REF!</definedName>
    <definedName name="House_1_6" localSheetId="1">#REF!</definedName>
    <definedName name="House_1_6" localSheetId="10">#REF!</definedName>
    <definedName name="House_1_6">#REF!</definedName>
    <definedName name="House_1_7" localSheetId="1">#REF!</definedName>
    <definedName name="House_1_7" localSheetId="10">#REF!</definedName>
    <definedName name="House_1_7">#REF!</definedName>
    <definedName name="House_1_8" localSheetId="1">#REF!</definedName>
    <definedName name="House_1_8" localSheetId="10">#REF!</definedName>
    <definedName name="House_1_8">#REF!</definedName>
    <definedName name="House_1_9" localSheetId="1">#REF!</definedName>
    <definedName name="House_1_9" localSheetId="10">#REF!</definedName>
    <definedName name="House_1_9">#REF!</definedName>
    <definedName name="sfsdf" localSheetId="1">#REF!</definedName>
    <definedName name="sfsdf" localSheetId="10">#REF!</definedName>
    <definedName name="sfsdf">#REF!</definedName>
    <definedName name="sfsdf_16" localSheetId="1">#REF!</definedName>
    <definedName name="sfsdf_16">#REF!</definedName>
    <definedName name="sfsdf_4" localSheetId="1">#REF!</definedName>
    <definedName name="sfsdf_4" localSheetId="10">#REF!</definedName>
    <definedName name="sfsdf_4">#REF!</definedName>
    <definedName name="sfsdf_6" localSheetId="1">#REF!</definedName>
    <definedName name="sfsdf_6">#REF!</definedName>
    <definedName name="sfsdf_9" localSheetId="1">#REF!</definedName>
    <definedName name="sfsdf_9" localSheetId="10">#REF!</definedName>
    <definedName name="sfsdf_9">#REF!</definedName>
  </definedNames>
  <calcPr calcId="125725" calcMode="autoNoTable"/>
</workbook>
</file>

<file path=xl/calcChain.xml><?xml version="1.0" encoding="utf-8"?>
<calcChain xmlns="http://schemas.openxmlformats.org/spreadsheetml/2006/main">
  <c r="D9" i="6"/>
  <c r="K33" i="54"/>
  <c r="K34"/>
  <c r="K35"/>
  <c r="K36"/>
  <c r="K37"/>
  <c r="K38"/>
  <c r="K39"/>
  <c r="K40"/>
  <c r="K41"/>
  <c r="K42"/>
  <c r="K43"/>
  <c r="K44"/>
  <c r="I30"/>
  <c r="H71"/>
  <c r="D94"/>
  <c r="H72"/>
  <c r="H73"/>
  <c r="D96" s="1"/>
  <c r="H74"/>
  <c r="H75"/>
  <c r="D98" s="1"/>
  <c r="H76"/>
  <c r="H77"/>
  <c r="D100"/>
  <c r="H78"/>
  <c r="H79"/>
  <c r="D102" s="1"/>
  <c r="H80"/>
  <c r="D103" s="1"/>
  <c r="H81"/>
  <c r="D104"/>
  <c r="H70"/>
  <c r="D93"/>
  <c r="D95"/>
  <c r="D97"/>
  <c r="D99"/>
  <c r="D101"/>
  <c r="E71"/>
  <c r="E72"/>
  <c r="E73"/>
  <c r="E74"/>
  <c r="E75"/>
  <c r="E76"/>
  <c r="E77"/>
  <c r="E78"/>
  <c r="E79"/>
  <c r="E80"/>
  <c r="E81"/>
  <c r="E70"/>
  <c r="J34"/>
  <c r="I71" s="1"/>
  <c r="E94" s="1"/>
  <c r="J35"/>
  <c r="I72"/>
  <c r="E95" s="1"/>
  <c r="J36"/>
  <c r="I73" s="1"/>
  <c r="E96" s="1"/>
  <c r="J37"/>
  <c r="I74"/>
  <c r="E97" s="1"/>
  <c r="J38"/>
  <c r="I75" s="1"/>
  <c r="E98" s="1"/>
  <c r="J39"/>
  <c r="I76"/>
  <c r="E99" s="1"/>
  <c r="J40"/>
  <c r="I77" s="1"/>
  <c r="E100" s="1"/>
  <c r="J41"/>
  <c r="I78"/>
  <c r="E101" s="1"/>
  <c r="J42"/>
  <c r="I79" s="1"/>
  <c r="E102" s="1"/>
  <c r="J43"/>
  <c r="I80"/>
  <c r="E103" s="1"/>
  <c r="J44"/>
  <c r="I81" s="1"/>
  <c r="E104" s="1"/>
  <c r="J33"/>
  <c r="I70"/>
  <c r="E93" s="1"/>
  <c r="I34"/>
  <c r="I35"/>
  <c r="I36"/>
  <c r="I37"/>
  <c r="I38"/>
  <c r="I39"/>
  <c r="I40"/>
  <c r="I41"/>
  <c r="I42"/>
  <c r="I43"/>
  <c r="I44"/>
  <c r="I33"/>
  <c r="I14" i="21"/>
  <c r="I12"/>
  <c r="I9"/>
  <c r="C9"/>
  <c r="O6" i="6"/>
  <c r="D11" i="32"/>
  <c r="J27" i="33"/>
  <c r="J26"/>
  <c r="J25"/>
  <c r="H72" i="45"/>
  <c r="J24" i="33"/>
  <c r="J23"/>
  <c r="J22"/>
  <c r="J21"/>
  <c r="J20"/>
  <c r="J19"/>
  <c r="H68" i="45"/>
  <c r="H67"/>
  <c r="H66"/>
  <c r="H65"/>
  <c r="H63"/>
  <c r="H64"/>
  <c r="H60"/>
  <c r="O8"/>
  <c r="G17"/>
  <c r="D23" i="55"/>
  <c r="D22"/>
  <c r="L31"/>
  <c r="L30"/>
  <c r="L18"/>
  <c r="L17"/>
  <c r="D8" i="32"/>
  <c r="D9"/>
  <c r="F72"/>
  <c r="G97"/>
  <c r="G96"/>
  <c r="G95"/>
  <c r="D96"/>
  <c r="D95"/>
  <c r="B97"/>
  <c r="B96"/>
  <c r="B95"/>
  <c r="N6" i="50"/>
  <c r="H10"/>
  <c r="C36"/>
  <c r="C76" s="1"/>
  <c r="C23"/>
  <c r="C75" s="1"/>
  <c r="D28" i="53"/>
  <c r="E28"/>
  <c r="F28"/>
  <c r="D29"/>
  <c r="E29"/>
  <c r="F29"/>
  <c r="D30"/>
  <c r="E30"/>
  <c r="F30"/>
  <c r="D31"/>
  <c r="E31"/>
  <c r="F31"/>
  <c r="D32"/>
  <c r="E32"/>
  <c r="F32"/>
  <c r="D33"/>
  <c r="E33"/>
  <c r="F33"/>
  <c r="D34"/>
  <c r="E34"/>
  <c r="F34"/>
  <c r="D35"/>
  <c r="E35"/>
  <c r="F35"/>
  <c r="D36"/>
  <c r="E36"/>
  <c r="F36"/>
  <c r="D37"/>
  <c r="E37"/>
  <c r="F37"/>
  <c r="D38"/>
  <c r="E38"/>
  <c r="E40"/>
  <c r="F38"/>
  <c r="D39"/>
  <c r="E39"/>
  <c r="F39"/>
  <c r="M11" i="52"/>
  <c r="M12"/>
  <c r="M13"/>
  <c r="M14"/>
  <c r="M15"/>
  <c r="M16"/>
  <c r="M17"/>
  <c r="M18"/>
  <c r="M19"/>
  <c r="M20"/>
  <c r="M21"/>
  <c r="M22"/>
  <c r="E8" i="51"/>
  <c r="E26"/>
  <c r="F8"/>
  <c r="G10"/>
  <c r="M20"/>
  <c r="N20"/>
  <c r="N22"/>
  <c r="M13"/>
  <c r="O13"/>
  <c r="Q13"/>
  <c r="M14"/>
  <c r="O14"/>
  <c r="Q14"/>
  <c r="R14"/>
  <c r="M15"/>
  <c r="O15"/>
  <c r="Q15"/>
  <c r="R15" s="1"/>
  <c r="N18"/>
  <c r="N19"/>
  <c r="L25"/>
  <c r="E34"/>
  <c r="E39"/>
  <c r="G39"/>
  <c r="E44"/>
  <c r="F53"/>
  <c r="F54"/>
  <c r="AE28" i="33"/>
  <c r="AE27"/>
  <c r="AE26"/>
  <c r="AC28"/>
  <c r="AC27"/>
  <c r="AC26"/>
  <c r="H20"/>
  <c r="H71" i="45"/>
  <c r="O11" s="1"/>
  <c r="H21" i="33"/>
  <c r="H62" i="45"/>
  <c r="K6" i="50"/>
  <c r="O8"/>
  <c r="O17" i="45"/>
  <c r="O9" i="50"/>
  <c r="E23"/>
  <c r="E24"/>
  <c r="E36"/>
  <c r="E37"/>
  <c r="E38"/>
  <c r="Q6" i="6"/>
  <c r="M10" i="21"/>
  <c r="H11"/>
  <c r="M9"/>
  <c r="M13"/>
  <c r="M12"/>
  <c r="I10"/>
  <c r="G9"/>
  <c r="G10"/>
  <c r="C10"/>
  <c r="M14"/>
  <c r="J107"/>
  <c r="L14"/>
  <c r="I8"/>
  <c r="I13"/>
  <c r="I11"/>
  <c r="D21" i="6"/>
  <c r="E21"/>
  <c r="F21"/>
  <c r="F13" i="9"/>
  <c r="F11"/>
  <c r="H10"/>
  <c r="F9"/>
  <c r="F13" i="6"/>
  <c r="F11"/>
  <c r="F9"/>
  <c r="L76" i="33"/>
  <c r="H76"/>
  <c r="D76"/>
  <c r="H8" i="6"/>
  <c r="I95" i="32"/>
  <c r="D42" i="33"/>
  <c r="L42"/>
  <c r="H42"/>
  <c r="D13" i="9"/>
  <c r="D97" i="32"/>
  <c r="D11" i="9"/>
  <c r="K10"/>
  <c r="M10"/>
  <c r="D9"/>
  <c r="K8"/>
  <c r="M8"/>
  <c r="D13" i="6"/>
  <c r="I12"/>
  <c r="D11"/>
  <c r="H10"/>
  <c r="D14" i="9"/>
  <c r="N18"/>
  <c r="M18"/>
  <c r="K18"/>
  <c r="F18"/>
  <c r="E18"/>
  <c r="D18"/>
  <c r="N21" i="6"/>
  <c r="M21"/>
  <c r="K21"/>
  <c r="F10" i="10"/>
  <c r="H10"/>
  <c r="G36"/>
  <c r="H36"/>
  <c r="I30"/>
  <c r="J30"/>
  <c r="G24"/>
  <c r="H24"/>
  <c r="I24"/>
  <c r="J24"/>
  <c r="F17"/>
  <c r="G17"/>
  <c r="F4"/>
  <c r="H17"/>
  <c r="B12" i="6"/>
  <c r="I12" i="9"/>
  <c r="AD33" i="33"/>
  <c r="D36" i="50" s="1"/>
  <c r="K12" i="9"/>
  <c r="M12"/>
  <c r="G10" i="10"/>
  <c r="B8" i="6"/>
  <c r="D14"/>
  <c r="H8" i="9"/>
  <c r="D15" i="6"/>
  <c r="I10" i="9"/>
  <c r="I8"/>
  <c r="F40" i="53"/>
  <c r="D40"/>
  <c r="G47" i="51"/>
  <c r="G34"/>
  <c r="J12" i="9"/>
  <c r="AC33" i="33"/>
  <c r="Q12" i="9"/>
  <c r="H12"/>
  <c r="Q10"/>
  <c r="J10"/>
  <c r="J8"/>
  <c r="Q8"/>
  <c r="J18" i="33"/>
  <c r="R13" i="51"/>
  <c r="B94" i="32"/>
  <c r="K8" i="6"/>
  <c r="M8"/>
  <c r="I8"/>
  <c r="G54" i="51"/>
  <c r="D56"/>
  <c r="H11" i="32" s="1"/>
  <c r="K20" i="54"/>
  <c r="J16"/>
  <c r="D73"/>
  <c r="I20"/>
  <c r="K21"/>
  <c r="J17"/>
  <c r="D74"/>
  <c r="I21"/>
  <c r="I96" i="32"/>
  <c r="G94"/>
  <c r="B90"/>
  <c r="F67" s="1"/>
  <c r="I10" i="6"/>
  <c r="O6" i="50"/>
  <c r="I17" i="54"/>
  <c r="J21"/>
  <c r="D78"/>
  <c r="K17"/>
  <c r="I16"/>
  <c r="J20"/>
  <c r="D77"/>
  <c r="K16"/>
  <c r="I19"/>
  <c r="I15"/>
  <c r="J23"/>
  <c r="D80" s="1"/>
  <c r="J19"/>
  <c r="D76" s="1"/>
  <c r="J15"/>
  <c r="D72" s="1"/>
  <c r="K23"/>
  <c r="K19"/>
  <c r="K15"/>
  <c r="I22"/>
  <c r="I18"/>
  <c r="J22"/>
  <c r="D79"/>
  <c r="J18"/>
  <c r="D75"/>
  <c r="K22"/>
  <c r="K18"/>
  <c r="I23"/>
  <c r="D57" i="51"/>
  <c r="AD32" i="33"/>
  <c r="D23" i="50"/>
  <c r="G37"/>
  <c r="G36"/>
  <c r="G38"/>
  <c r="K14" i="54"/>
  <c r="I24"/>
  <c r="J13"/>
  <c r="D70" s="1"/>
  <c r="J14"/>
  <c r="D71" s="1"/>
  <c r="K13"/>
  <c r="K24"/>
  <c r="I13"/>
  <c r="J24"/>
  <c r="D81"/>
  <c r="I14"/>
  <c r="K12" i="6"/>
  <c r="M12"/>
  <c r="B10"/>
  <c r="I97" i="32"/>
  <c r="H61" i="45"/>
  <c r="H12" i="6"/>
  <c r="S12"/>
  <c r="J12"/>
  <c r="K10"/>
  <c r="M10"/>
  <c r="S8"/>
  <c r="J8"/>
  <c r="AC32" i="33"/>
  <c r="G24" i="50" s="1"/>
  <c r="S10" i="6"/>
  <c r="J10"/>
  <c r="O9" i="45"/>
  <c r="J17" i="33"/>
  <c r="G23" i="50"/>
  <c r="E107" i="21"/>
  <c r="E108" s="1"/>
  <c r="N91"/>
  <c r="N93"/>
  <c r="N16"/>
  <c r="J108"/>
  <c r="J114" s="1"/>
  <c r="K13"/>
  <c r="C115" s="1"/>
  <c r="K9"/>
  <c r="L98"/>
  <c r="K14"/>
  <c r="J119"/>
  <c r="O21" i="51"/>
  <c r="G26"/>
  <c r="E17"/>
  <c r="G17"/>
  <c r="G44"/>
  <c r="Z13"/>
  <c r="X14"/>
  <c r="X10"/>
  <c r="Z7"/>
  <c r="O22"/>
  <c r="Q22"/>
  <c r="P22"/>
  <c r="X17"/>
  <c r="Z10"/>
  <c r="X6"/>
  <c r="X15"/>
  <c r="Z15"/>
  <c r="Z6"/>
  <c r="Z17"/>
  <c r="X7"/>
  <c r="Z8"/>
  <c r="AD10"/>
  <c r="AI10"/>
  <c r="M34" s="1"/>
  <c r="D29" i="21" s="1"/>
  <c r="Y35" i="51"/>
  <c r="Y27"/>
  <c r="Z11"/>
  <c r="X11"/>
  <c r="AC11" s="1"/>
  <c r="AH11" s="1"/>
  <c r="Z16"/>
  <c r="Z9"/>
  <c r="X29" s="1"/>
  <c r="X16"/>
  <c r="Z12"/>
  <c r="X32"/>
  <c r="AD32" s="1"/>
  <c r="X13"/>
  <c r="Z14"/>
  <c r="X34"/>
  <c r="N8"/>
  <c r="O8"/>
  <c r="G12" i="45" s="1"/>
  <c r="X8" i="51"/>
  <c r="AC8" s="1"/>
  <c r="AH8" s="1"/>
  <c r="X9"/>
  <c r="X12"/>
  <c r="Z32" s="1"/>
  <c r="AF32" s="1"/>
  <c r="AD12"/>
  <c r="AI12"/>
  <c r="M36" s="1"/>
  <c r="D31" i="21" s="1"/>
  <c r="Y32" i="51"/>
  <c r="AE32"/>
  <c r="AD8"/>
  <c r="AI8"/>
  <c r="M32" s="1"/>
  <c r="Y28"/>
  <c r="Y31"/>
  <c r="AE31" s="1"/>
  <c r="AD11"/>
  <c r="AI11"/>
  <c r="M35"/>
  <c r="D30" i="21" s="1"/>
  <c r="AD7" i="51"/>
  <c r="AI7"/>
  <c r="M31"/>
  <c r="D26" i="21" s="1"/>
  <c r="AE11" i="51"/>
  <c r="AJ11" s="1"/>
  <c r="X31"/>
  <c r="AD31" s="1"/>
  <c r="X36"/>
  <c r="AE16"/>
  <c r="AJ16"/>
  <c r="AE9"/>
  <c r="AJ9"/>
  <c r="AC16"/>
  <c r="AH16"/>
  <c r="Z36"/>
  <c r="AA36"/>
  <c r="AE12"/>
  <c r="AJ12"/>
  <c r="AA33"/>
  <c r="AG33"/>
  <c r="AC13"/>
  <c r="AH13"/>
  <c r="Z33"/>
  <c r="AF33"/>
  <c r="AE14"/>
  <c r="AJ14"/>
  <c r="AA28"/>
  <c r="Z29"/>
  <c r="AC9"/>
  <c r="AH9"/>
  <c r="AA29"/>
  <c r="AA32"/>
  <c r="AG32" s="1"/>
  <c r="AD16"/>
  <c r="AI16"/>
  <c r="M40"/>
  <c r="D35" i="21" s="1"/>
  <c r="Y36" i="51"/>
  <c r="Y34"/>
  <c r="AD14"/>
  <c r="AI14"/>
  <c r="M38"/>
  <c r="D33" i="21" s="1"/>
  <c r="Y30" i="51"/>
  <c r="Y26"/>
  <c r="AD6"/>
  <c r="AI6"/>
  <c r="M30"/>
  <c r="AD17"/>
  <c r="AI17"/>
  <c r="M41" s="1"/>
  <c r="D36" i="21" s="1"/>
  <c r="Y37" i="51"/>
  <c r="AD13"/>
  <c r="AI13"/>
  <c r="M37"/>
  <c r="D32" i="21" s="1"/>
  <c r="Y33" i="51"/>
  <c r="AE33" s="1"/>
  <c r="AD9"/>
  <c r="AI9"/>
  <c r="M33"/>
  <c r="D28" i="21" s="1"/>
  <c r="Y29" i="51"/>
  <c r="Z26"/>
  <c r="AA26"/>
  <c r="AC6"/>
  <c r="AH6"/>
  <c r="X27"/>
  <c r="AE7"/>
  <c r="AJ7" s="1"/>
  <c r="AA35"/>
  <c r="AC15"/>
  <c r="AH15"/>
  <c r="Z35"/>
  <c r="AC17"/>
  <c r="AH17" s="1"/>
  <c r="AA37"/>
  <c r="Z37"/>
  <c r="X35"/>
  <c r="AE15"/>
  <c r="AJ15"/>
  <c r="AA30"/>
  <c r="AC10"/>
  <c r="AH10" s="1"/>
  <c r="Z30"/>
  <c r="X26"/>
  <c r="AE6"/>
  <c r="AJ6" s="1"/>
  <c r="X30"/>
  <c r="AE10"/>
  <c r="AJ10"/>
  <c r="X37"/>
  <c r="AE17"/>
  <c r="AJ17" s="1"/>
  <c r="AA34"/>
  <c r="AC14"/>
  <c r="AH14"/>
  <c r="Z34"/>
  <c r="Z27"/>
  <c r="AA27"/>
  <c r="AC7"/>
  <c r="AH7" s="1"/>
  <c r="AE13"/>
  <c r="AJ13" s="1"/>
  <c r="X33"/>
  <c r="AD33" s="1"/>
  <c r="AE8"/>
  <c r="AJ8" s="1"/>
  <c r="X28"/>
  <c r="AC12"/>
  <c r="AH12"/>
  <c r="Z28"/>
  <c r="Z31"/>
  <c r="AF31" s="1"/>
  <c r="AD15"/>
  <c r="AI15"/>
  <c r="M39"/>
  <c r="D34" i="21" s="1"/>
  <c r="AA31" i="51"/>
  <c r="AG31" s="1"/>
  <c r="Z52"/>
  <c r="AF52"/>
  <c r="AL33"/>
  <c r="AA52"/>
  <c r="AG52"/>
  <c r="AM33" s="1"/>
  <c r="J111" i="21"/>
  <c r="J117"/>
  <c r="J110"/>
  <c r="J109"/>
  <c r="J115"/>
  <c r="S10" i="32"/>
  <c r="F23" i="50"/>
  <c r="F24"/>
  <c r="C139" i="21"/>
  <c r="K30" i="10"/>
  <c r="D36"/>
  <c r="I36"/>
  <c r="J36"/>
  <c r="F5"/>
  <c r="I10"/>
  <c r="I17"/>
  <c r="H41"/>
  <c r="H42"/>
  <c r="D25" i="21"/>
  <c r="Y51" i="51"/>
  <c r="AE51"/>
  <c r="AE27"/>
  <c r="AE37"/>
  <c r="AD26"/>
  <c r="AE26"/>
  <c r="AF26"/>
  <c r="AG26"/>
  <c r="AD27"/>
  <c r="AG37"/>
  <c r="AF37"/>
  <c r="AD37"/>
  <c r="AF27"/>
  <c r="AG27"/>
  <c r="AG46"/>
  <c r="AM27" s="1"/>
  <c r="AA46"/>
  <c r="AD56"/>
  <c r="AJ37"/>
  <c r="X56"/>
  <c r="AG56"/>
  <c r="AM37" s="1"/>
  <c r="AA56"/>
  <c r="AG45"/>
  <c r="AM26"/>
  <c r="AA45"/>
  <c r="Y45"/>
  <c r="AE45"/>
  <c r="AE56"/>
  <c r="Y56"/>
  <c r="AF46"/>
  <c r="AL27" s="1"/>
  <c r="Z46"/>
  <c r="AF56"/>
  <c r="AL37"/>
  <c r="Z56"/>
  <c r="AD46"/>
  <c r="AJ27" s="1"/>
  <c r="X46"/>
  <c r="AF45"/>
  <c r="AL26"/>
  <c r="Z45"/>
  <c r="AD45"/>
  <c r="AJ26" s="1"/>
  <c r="X45"/>
  <c r="AE46"/>
  <c r="Y46"/>
  <c r="N36"/>
  <c r="E48" i="21" s="1"/>
  <c r="AK32" i="51"/>
  <c r="N31"/>
  <c r="E43" i="21" s="1"/>
  <c r="D45" i="33" s="1"/>
  <c r="J21" i="50" s="1"/>
  <c r="J22" s="1"/>
  <c r="AK27" i="51"/>
  <c r="N41"/>
  <c r="E53" i="21" s="1"/>
  <c r="AK37" i="51"/>
  <c r="N30"/>
  <c r="E42" i="21" s="1"/>
  <c r="AK26" i="51"/>
  <c r="N79" i="33"/>
  <c r="J112" i="21" l="1"/>
  <c r="D55" i="33"/>
  <c r="T21" i="50" s="1"/>
  <c r="T22" s="1"/>
  <c r="F55" i="33"/>
  <c r="H89"/>
  <c r="L89"/>
  <c r="F89"/>
  <c r="AC86" s="1"/>
  <c r="J55"/>
  <c r="L55"/>
  <c r="N89"/>
  <c r="J89"/>
  <c r="D89"/>
  <c r="T34" i="50" s="1"/>
  <c r="T35" s="1"/>
  <c r="H55" i="33"/>
  <c r="AC52" s="1"/>
  <c r="C71" i="45" s="1"/>
  <c r="N55" i="33"/>
  <c r="J23" i="50"/>
  <c r="J24"/>
  <c r="L45" i="33"/>
  <c r="F45"/>
  <c r="H45"/>
  <c r="AC42" s="1"/>
  <c r="C61" i="45" s="1"/>
  <c r="F79" i="33"/>
  <c r="AC76" s="1"/>
  <c r="L79"/>
  <c r="J79"/>
  <c r="D79"/>
  <c r="J34" i="50" s="1"/>
  <c r="J35" s="1"/>
  <c r="N45" i="33"/>
  <c r="H79"/>
  <c r="J45"/>
  <c r="H50"/>
  <c r="AC47" s="1"/>
  <c r="C66" i="45" s="1"/>
  <c r="H84" i="33"/>
  <c r="J84"/>
  <c r="L84"/>
  <c r="F84"/>
  <c r="AC81" s="1"/>
  <c r="D50"/>
  <c r="O21" i="50" s="1"/>
  <c r="O22" s="1"/>
  <c r="L50" i="33"/>
  <c r="F50"/>
  <c r="D84"/>
  <c r="O34" i="50" s="1"/>
  <c r="O35" s="1"/>
  <c r="N84" i="33"/>
  <c r="J50"/>
  <c r="N50"/>
  <c r="AE52" i="51"/>
  <c r="Y52"/>
  <c r="AG51"/>
  <c r="AM32" s="1"/>
  <c r="AA51"/>
  <c r="F68" i="32"/>
  <c r="M10"/>
  <c r="F36" i="50"/>
  <c r="F37"/>
  <c r="F38"/>
  <c r="N44" i="33"/>
  <c r="F78"/>
  <c r="D44"/>
  <c r="J78"/>
  <c r="J44"/>
  <c r="F44"/>
  <c r="H44"/>
  <c r="D78"/>
  <c r="H78"/>
  <c r="L44"/>
  <c r="N78"/>
  <c r="L78"/>
  <c r="AG50" i="51"/>
  <c r="AM31" s="1"/>
  <c r="AA50"/>
  <c r="AF50"/>
  <c r="AL31" s="1"/>
  <c r="Z50"/>
  <c r="AD52"/>
  <c r="AJ33" s="1"/>
  <c r="X52"/>
  <c r="AD50"/>
  <c r="AJ31" s="1"/>
  <c r="X50"/>
  <c r="AE50"/>
  <c r="Y50"/>
  <c r="G8" i="45"/>
  <c r="D27" i="21"/>
  <c r="D92" s="1"/>
  <c r="AF51" i="51"/>
  <c r="AL32" s="1"/>
  <c r="Z51"/>
  <c r="AD51"/>
  <c r="AJ32" s="1"/>
  <c r="X51"/>
  <c r="F15" i="32"/>
  <c r="H20" s="1"/>
  <c r="H22" s="1"/>
  <c r="H24" s="1"/>
  <c r="P67"/>
  <c r="AD34" i="51"/>
  <c r="AG36"/>
  <c r="AE36"/>
  <c r="AG35"/>
  <c r="AF30"/>
  <c r="AD28"/>
  <c r="AE28"/>
  <c r="AG28"/>
  <c r="AE34"/>
  <c r="AF35"/>
  <c r="AD30"/>
  <c r="AF28"/>
  <c r="AE35"/>
  <c r="AD36"/>
  <c r="AF29"/>
  <c r="AE30"/>
  <c r="AD35"/>
  <c r="AG34"/>
  <c r="AD29"/>
  <c r="AF36"/>
  <c r="AG29"/>
  <c r="AE29"/>
  <c r="AG30"/>
  <c r="AF34"/>
  <c r="E8" i="50"/>
  <c r="E7"/>
  <c r="G18" i="45" s="1"/>
  <c r="J113" i="21"/>
  <c r="J116"/>
  <c r="J118"/>
  <c r="T23" i="50" l="1"/>
  <c r="T24"/>
  <c r="F25" i="21"/>
  <c r="D93"/>
  <c r="D94" s="1"/>
  <c r="AG48" i="51"/>
  <c r="AM29" s="1"/>
  <c r="AA48"/>
  <c r="O18" i="45"/>
  <c r="E33" i="32"/>
  <c r="E32" s="1"/>
  <c r="N35" i="51"/>
  <c r="E47" i="21" s="1"/>
  <c r="AK31" i="51"/>
  <c r="AC41" i="33"/>
  <c r="C60" i="45" s="1"/>
  <c r="I21" i="50"/>
  <c r="O38"/>
  <c r="J38"/>
  <c r="T38"/>
  <c r="O36"/>
  <c r="J36"/>
  <c r="T36"/>
  <c r="M69" i="32"/>
  <c r="K65"/>
  <c r="N37" i="51"/>
  <c r="E49" i="21" s="1"/>
  <c r="AK33" i="51"/>
  <c r="G97" i="21"/>
  <c r="G102"/>
  <c r="G93"/>
  <c r="G101"/>
  <c r="G95"/>
  <c r="G99"/>
  <c r="AG49" i="51"/>
  <c r="AM30" s="1"/>
  <c r="AA49"/>
  <c r="AD48"/>
  <c r="AJ29" s="1"/>
  <c r="X48"/>
  <c r="AD54"/>
  <c r="AJ35" s="1"/>
  <c r="X54"/>
  <c r="AF48"/>
  <c r="AL29" s="1"/>
  <c r="Z48"/>
  <c r="Y54"/>
  <c r="AE54"/>
  <c r="AD49"/>
  <c r="AJ30" s="1"/>
  <c r="X49"/>
  <c r="Y53"/>
  <c r="AE53"/>
  <c r="Y47"/>
  <c r="AE47"/>
  <c r="AF49"/>
  <c r="AL30" s="1"/>
  <c r="Z49"/>
  <c r="Y55"/>
  <c r="AE55"/>
  <c r="AD53"/>
  <c r="AJ34" s="1"/>
  <c r="X53"/>
  <c r="AF53"/>
  <c r="AL34" s="1"/>
  <c r="Z53"/>
  <c r="AE48"/>
  <c r="Y48"/>
  <c r="AF55"/>
  <c r="AL36" s="1"/>
  <c r="Z55"/>
  <c r="AA53"/>
  <c r="AG53"/>
  <c r="AM34" s="1"/>
  <c r="Y49"/>
  <c r="AE49"/>
  <c r="AD55"/>
  <c r="AJ36" s="1"/>
  <c r="X55"/>
  <c r="AF47"/>
  <c r="AL28" s="1"/>
  <c r="Z47"/>
  <c r="AF54"/>
  <c r="AL35" s="1"/>
  <c r="Z54"/>
  <c r="AG47"/>
  <c r="AM28" s="1"/>
  <c r="AA47"/>
  <c r="AD47"/>
  <c r="AJ28" s="1"/>
  <c r="X47"/>
  <c r="AG54"/>
  <c r="AM35" s="1"/>
  <c r="AA54"/>
  <c r="AG55"/>
  <c r="AM36" s="1"/>
  <c r="AA55"/>
  <c r="I34" i="50"/>
  <c r="AC75" i="33"/>
  <c r="T37" i="50"/>
  <c r="O37"/>
  <c r="J37"/>
  <c r="O24"/>
  <c r="O23"/>
  <c r="G100" i="21"/>
  <c r="G94"/>
  <c r="G91"/>
  <c r="G96"/>
  <c r="G92"/>
  <c r="G98"/>
  <c r="N34" i="51" l="1"/>
  <c r="E46" i="21" s="1"/>
  <c r="AK30" i="51"/>
  <c r="N40"/>
  <c r="E52" i="21" s="1"/>
  <c r="AK36" i="51"/>
  <c r="N32"/>
  <c r="E44" i="21" s="1"/>
  <c r="AK28" i="51"/>
  <c r="N38"/>
  <c r="E50" i="21" s="1"/>
  <c r="AK34" i="51"/>
  <c r="N39"/>
  <c r="E51" i="21" s="1"/>
  <c r="AK35" i="51"/>
  <c r="D85" i="33"/>
  <c r="P34" i="50" s="1"/>
  <c r="P35" s="1"/>
  <c r="L85" i="33"/>
  <c r="N51"/>
  <c r="N85"/>
  <c r="J85"/>
  <c r="F85"/>
  <c r="AC82" s="1"/>
  <c r="H85"/>
  <c r="D51"/>
  <c r="P21" i="50" s="1"/>
  <c r="P22" s="1"/>
  <c r="J51" i="33"/>
  <c r="H51"/>
  <c r="AC48" s="1"/>
  <c r="C67" i="45" s="1"/>
  <c r="L51" i="33"/>
  <c r="F51"/>
  <c r="I22" i="50"/>
  <c r="J83" i="33"/>
  <c r="H83"/>
  <c r="F83"/>
  <c r="AC80" s="1"/>
  <c r="N49"/>
  <c r="F49"/>
  <c r="D49"/>
  <c r="N21" i="50" s="1"/>
  <c r="N22" s="1"/>
  <c r="H49" i="33"/>
  <c r="AC46" s="1"/>
  <c r="C65" i="45" s="1"/>
  <c r="J49" i="33"/>
  <c r="N83"/>
  <c r="D83"/>
  <c r="N34" i="50" s="1"/>
  <c r="N35" s="1"/>
  <c r="L49" i="33"/>
  <c r="L83"/>
  <c r="I35" i="50"/>
  <c r="N33" i="51"/>
  <c r="E45" i="21" s="1"/>
  <c r="AK29" i="51"/>
  <c r="D95" i="21"/>
  <c r="D96" s="1"/>
  <c r="E9" s="1"/>
  <c r="N88" l="1"/>
  <c r="E13"/>
  <c r="C114" s="1"/>
  <c r="C116" s="1"/>
  <c r="N47" i="33"/>
  <c r="L47"/>
  <c r="F81"/>
  <c r="AC78" s="1"/>
  <c r="H81"/>
  <c r="F47"/>
  <c r="N81"/>
  <c r="D47"/>
  <c r="L21" i="50" s="1"/>
  <c r="L22" s="1"/>
  <c r="L81" i="33"/>
  <c r="H47"/>
  <c r="AC44" s="1"/>
  <c r="C63" i="45" s="1"/>
  <c r="D81" i="33"/>
  <c r="L34" i="50" s="1"/>
  <c r="L35" s="1"/>
  <c r="J81" i="33"/>
  <c r="J47"/>
  <c r="P38" i="50"/>
  <c r="P36"/>
  <c r="P37"/>
  <c r="J53" i="33"/>
  <c r="D53"/>
  <c r="R21" i="50" s="1"/>
  <c r="R22" s="1"/>
  <c r="J87" i="33"/>
  <c r="F87"/>
  <c r="AC84" s="1"/>
  <c r="L87"/>
  <c r="D87"/>
  <c r="R34" i="50" s="1"/>
  <c r="R35" s="1"/>
  <c r="F53" i="33"/>
  <c r="N53"/>
  <c r="H53"/>
  <c r="AC50" s="1"/>
  <c r="C69" i="45" s="1"/>
  <c r="H87" i="33"/>
  <c r="N87"/>
  <c r="L53"/>
  <c r="L86"/>
  <c r="D86"/>
  <c r="Q34" i="50" s="1"/>
  <c r="Q35" s="1"/>
  <c r="L52" i="33"/>
  <c r="J52"/>
  <c r="N52"/>
  <c r="H86"/>
  <c r="H52"/>
  <c r="AC49" s="1"/>
  <c r="C68" i="45" s="1"/>
  <c r="F86" i="33"/>
  <c r="AC83" s="1"/>
  <c r="N86"/>
  <c r="J86"/>
  <c r="D52"/>
  <c r="Q21" i="50" s="1"/>
  <c r="Q22" s="1"/>
  <c r="F52" i="33"/>
  <c r="H46"/>
  <c r="L46"/>
  <c r="L80"/>
  <c r="N46"/>
  <c r="J80"/>
  <c r="D46"/>
  <c r="J46"/>
  <c r="N80"/>
  <c r="H80"/>
  <c r="F80"/>
  <c r="D80"/>
  <c r="F46"/>
  <c r="O12" i="45"/>
  <c r="E54" i="21"/>
  <c r="N88" i="33"/>
  <c r="F54"/>
  <c r="N54"/>
  <c r="J54"/>
  <c r="D54"/>
  <c r="S21" i="50" s="1"/>
  <c r="S22" s="1"/>
  <c r="D88" i="33"/>
  <c r="S34" i="50" s="1"/>
  <c r="S35" s="1"/>
  <c r="L88" i="33"/>
  <c r="L54"/>
  <c r="F88"/>
  <c r="AC85" s="1"/>
  <c r="J88"/>
  <c r="H88"/>
  <c r="H54"/>
  <c r="AC51" s="1"/>
  <c r="C70" i="45" s="1"/>
  <c r="F82" i="33"/>
  <c r="AC79" s="1"/>
  <c r="D82"/>
  <c r="M34" i="50" s="1"/>
  <c r="M35" s="1"/>
  <c r="L48" i="33"/>
  <c r="J82"/>
  <c r="N48"/>
  <c r="H82"/>
  <c r="N82"/>
  <c r="J48"/>
  <c r="H48"/>
  <c r="AC45" s="1"/>
  <c r="C64" i="45" s="1"/>
  <c r="D48" i="33"/>
  <c r="M21" i="50" s="1"/>
  <c r="M22" s="1"/>
  <c r="L82" i="33"/>
  <c r="F48"/>
  <c r="I38" i="50"/>
  <c r="I36"/>
  <c r="I37"/>
  <c r="N36"/>
  <c r="N38"/>
  <c r="N37"/>
  <c r="N23"/>
  <c r="N24"/>
  <c r="I23"/>
  <c r="G19" i="45" s="1"/>
  <c r="I24" i="50"/>
  <c r="P23"/>
  <c r="P24"/>
  <c r="D97" i="21"/>
  <c r="N90" i="33" l="1"/>
  <c r="N56"/>
  <c r="M24" i="50"/>
  <c r="M23"/>
  <c r="M36"/>
  <c r="M37"/>
  <c r="M38"/>
  <c r="S38"/>
  <c r="S36"/>
  <c r="S37"/>
  <c r="AC77" i="33"/>
  <c r="F90"/>
  <c r="K21" i="50"/>
  <c r="D56" i="33"/>
  <c r="Q38" i="50"/>
  <c r="Q36"/>
  <c r="Q37"/>
  <c r="R36"/>
  <c r="R38"/>
  <c r="R37"/>
  <c r="R24"/>
  <c r="R23"/>
  <c r="L24"/>
  <c r="L23"/>
  <c r="E100" i="21"/>
  <c r="C138"/>
  <c r="E19" s="1"/>
  <c r="J94"/>
  <c r="J99"/>
  <c r="J96"/>
  <c r="J92"/>
  <c r="J100"/>
  <c r="J95"/>
  <c r="J93"/>
  <c r="J91"/>
  <c r="E18"/>
  <c r="J101"/>
  <c r="J102"/>
  <c r="J98"/>
  <c r="J97"/>
  <c r="M11" i="32"/>
  <c r="S23" i="50"/>
  <c r="S24"/>
  <c r="K34"/>
  <c r="D90" i="33"/>
  <c r="AC43"/>
  <c r="C62" i="45" s="1"/>
  <c r="H56" i="33"/>
  <c r="Q24" i="50"/>
  <c r="Q23"/>
  <c r="L38"/>
  <c r="L36"/>
  <c r="L37"/>
  <c r="C124" i="21"/>
  <c r="C127"/>
  <c r="C118"/>
  <c r="C126"/>
  <c r="C119"/>
  <c r="C123"/>
  <c r="C121"/>
  <c r="C120"/>
  <c r="C125"/>
  <c r="C117"/>
  <c r="C122"/>
  <c r="F56" i="33"/>
  <c r="AE21" s="1"/>
  <c r="L56"/>
  <c r="H90"/>
  <c r="J56"/>
  <c r="J90"/>
  <c r="L90"/>
  <c r="K35" i="50" l="1"/>
  <c r="D76"/>
  <c r="K18" i="21"/>
  <c r="I23" i="55"/>
  <c r="G9" i="45"/>
  <c r="K22" i="50"/>
  <c r="D75"/>
  <c r="G10" i="45"/>
  <c r="AE23" i="33"/>
  <c r="G20" i="45" l="1"/>
  <c r="E76" i="50" s="1"/>
  <c r="E75"/>
  <c r="G21" i="45" s="1"/>
  <c r="G11"/>
  <c r="P65" i="32"/>
  <c r="S9" s="1"/>
  <c r="S11" s="1"/>
  <c r="K38" i="50"/>
  <c r="K36"/>
  <c r="K37"/>
  <c r="K23"/>
  <c r="K24"/>
</calcChain>
</file>

<file path=xl/sharedStrings.xml><?xml version="1.0" encoding="utf-8"?>
<sst xmlns="http://schemas.openxmlformats.org/spreadsheetml/2006/main" count="1259" uniqueCount="583">
  <si>
    <t>Results</t>
  </si>
  <si>
    <t>MJ/kg</t>
  </si>
  <si>
    <t>kWh/kg</t>
  </si>
  <si>
    <t>Basic Dimensions</t>
  </si>
  <si>
    <t>External surface (m2)</t>
  </si>
  <si>
    <t>Volume (m3)</t>
  </si>
  <si>
    <t>Temperature</t>
  </si>
  <si>
    <t>Length (m)</t>
  </si>
  <si>
    <t>Internal</t>
  </si>
  <si>
    <t>Width (m)</t>
  </si>
  <si>
    <t>Height (m)</t>
  </si>
  <si>
    <t>Ground</t>
  </si>
  <si>
    <t>Building Components</t>
  </si>
  <si>
    <t>Surface (m2)</t>
  </si>
  <si>
    <t>U (W/m2k)</t>
  </si>
  <si>
    <t>Walls</t>
  </si>
  <si>
    <t>Additional wall surface</t>
  </si>
  <si>
    <t>Total wall surface</t>
  </si>
  <si>
    <t>Windows</t>
  </si>
  <si>
    <t>Length</t>
  </si>
  <si>
    <t>Height</t>
  </si>
  <si>
    <t>Total surface</t>
  </si>
  <si>
    <t>Doors</t>
  </si>
  <si>
    <t>Number of doors</t>
  </si>
  <si>
    <t>Additional door surface</t>
  </si>
  <si>
    <t>Rooftop</t>
  </si>
  <si>
    <t>Additional surface</t>
  </si>
  <si>
    <t xml:space="preserve">Floor </t>
  </si>
  <si>
    <t>WoodChip3</t>
  </si>
  <si>
    <t>Source: Smith, K.R.; Kaltschmitt, M.; Thrän, D. 2001 "Renewable Energy from Biomass"</t>
  </si>
  <si>
    <t>Pellet1</t>
  </si>
  <si>
    <t>Pellet2</t>
  </si>
  <si>
    <t>Pellet3</t>
  </si>
  <si>
    <t>Winter</t>
  </si>
  <si>
    <t>Summer</t>
  </si>
  <si>
    <t>Estimate of Carbon Emissions from the Production of Woodchips</t>
  </si>
  <si>
    <t>Assumes drying at roadside only</t>
  </si>
  <si>
    <t>CV</t>
  </si>
  <si>
    <t>Moisture Content at Felling</t>
  </si>
  <si>
    <t>% IMC</t>
  </si>
  <si>
    <t>DO NOT OVERWRITE ANY OTHER CELLS</t>
  </si>
  <si>
    <t>Moisture Content after drying at roadside</t>
  </si>
  <si>
    <t>% FMC</t>
  </si>
  <si>
    <t>Harvesting</t>
  </si>
  <si>
    <t>tonnes/hr</t>
  </si>
  <si>
    <t>Mean HP of equipment</t>
  </si>
  <si>
    <t>kWh / tonne wood</t>
  </si>
  <si>
    <t>litres diesel / tonne wood @ IMC</t>
  </si>
  <si>
    <t>Felling</t>
  </si>
  <si>
    <t>Removal to Roadside</t>
  </si>
  <si>
    <t>(Insert appropriate data)</t>
  </si>
  <si>
    <t>Skyline, Skidder or Forwarder</t>
  </si>
  <si>
    <t>tonnes / load</t>
  </si>
  <si>
    <t>Mean       mpg</t>
  </si>
  <si>
    <t>Return Distance Miles</t>
  </si>
  <si>
    <t>Fuel Used    litres</t>
  </si>
  <si>
    <t>Energy Used  kWh</t>
  </si>
  <si>
    <t>Transport to Depot</t>
  </si>
  <si>
    <t>Haulage</t>
  </si>
  <si>
    <t>Chipping</t>
  </si>
  <si>
    <t>tonnes / hour</t>
  </si>
  <si>
    <t>Mean HP of chipper</t>
  </si>
  <si>
    <t>Conversion to Woodchips</t>
  </si>
  <si>
    <t>Delivery of Woodchips</t>
  </si>
  <si>
    <t>Haulage to end user</t>
  </si>
  <si>
    <t>Total carbon emissions/tonne of woodchips</t>
  </si>
  <si>
    <r>
      <t>kgCO</t>
    </r>
    <r>
      <rPr>
        <vertAlign val="subscript"/>
        <sz val="10"/>
        <rFont val="Arial"/>
        <family val="2"/>
      </rPr>
      <t>2</t>
    </r>
    <r>
      <rPr>
        <sz val="11"/>
        <color theme="1"/>
        <rFont val="Calibri"/>
        <family val="2"/>
        <scheme val="minor"/>
      </rPr>
      <t>/tonne wood</t>
    </r>
  </si>
  <si>
    <r>
      <t>kg CO</t>
    </r>
    <r>
      <rPr>
        <b/>
        <vertAlign val="subscript"/>
        <sz val="10"/>
        <color indexed="60"/>
        <rFont val="Arial"/>
        <family val="2"/>
      </rPr>
      <t>2</t>
    </r>
    <r>
      <rPr>
        <b/>
        <sz val="10"/>
        <color indexed="60"/>
        <rFont val="Arial"/>
        <family val="2"/>
      </rPr>
      <t xml:space="preserve"> / tonne wood @ IMC</t>
    </r>
  </si>
  <si>
    <r>
      <t>CO</t>
    </r>
    <r>
      <rPr>
        <b/>
        <vertAlign val="subscript"/>
        <sz val="10"/>
        <color indexed="60"/>
        <rFont val="Arial"/>
        <family val="2"/>
      </rPr>
      <t xml:space="preserve">2 </t>
    </r>
    <r>
      <rPr>
        <b/>
        <sz val="10"/>
        <color indexed="60"/>
        <rFont val="Arial"/>
        <family val="2"/>
      </rPr>
      <t>/ tonne wood corrected to FMC</t>
    </r>
  </si>
  <si>
    <r>
      <t>kg CO</t>
    </r>
    <r>
      <rPr>
        <b/>
        <vertAlign val="subscript"/>
        <sz val="10"/>
        <color indexed="60"/>
        <rFont val="Arial"/>
        <family val="2"/>
      </rPr>
      <t>2</t>
    </r>
    <r>
      <rPr>
        <b/>
        <sz val="10"/>
        <color indexed="60"/>
        <rFont val="Arial"/>
        <family val="2"/>
      </rPr>
      <t xml:space="preserve"> / tonne wood @ FMC</t>
    </r>
  </si>
  <si>
    <r>
      <t>Density of Woodchips kg/m</t>
    </r>
    <r>
      <rPr>
        <b/>
        <vertAlign val="superscript"/>
        <sz val="10"/>
        <color indexed="60"/>
        <rFont val="Arial"/>
        <family val="2"/>
      </rPr>
      <t>3</t>
    </r>
  </si>
  <si>
    <r>
      <t>kgCO</t>
    </r>
    <r>
      <rPr>
        <b/>
        <vertAlign val="subscript"/>
        <sz val="12"/>
        <rFont val="Arial"/>
        <family val="2"/>
      </rPr>
      <t>2</t>
    </r>
    <r>
      <rPr>
        <b/>
        <sz val="12"/>
        <color indexed="8"/>
        <rFont val="Calibri"/>
        <family val="2"/>
      </rPr>
      <t>/kWh</t>
    </r>
  </si>
  <si>
    <r>
      <t>kg CO</t>
    </r>
    <r>
      <rPr>
        <b/>
        <vertAlign val="subscript"/>
        <sz val="12"/>
        <rFont val="Calibri"/>
        <family val="2"/>
      </rPr>
      <t>2</t>
    </r>
    <r>
      <rPr>
        <b/>
        <sz val="12"/>
        <rFont val="Calibri"/>
        <family val="2"/>
      </rPr>
      <t xml:space="preserve"> / kWh energy in woodchips</t>
    </r>
  </si>
  <si>
    <t>-</t>
  </si>
  <si>
    <t>kg/m3</t>
  </si>
  <si>
    <t>kWh/m3</t>
  </si>
  <si>
    <t>M20</t>
  </si>
  <si>
    <t>M30</t>
  </si>
  <si>
    <t>M40</t>
  </si>
  <si>
    <t>M55</t>
  </si>
  <si>
    <t>M65</t>
  </si>
  <si>
    <t>Moisture (M)</t>
  </si>
  <si>
    <t>Dried</t>
  </si>
  <si>
    <r>
      <t xml:space="preserve">Moisture </t>
    </r>
    <r>
      <rPr>
        <sz val="11"/>
        <color indexed="8"/>
        <rFont val="Calibri"/>
        <family val="2"/>
      </rPr>
      <t>≤</t>
    </r>
    <r>
      <rPr>
        <sz val="11"/>
        <color theme="1"/>
        <rFont val="Calibri"/>
        <family val="2"/>
        <scheme val="minor"/>
      </rPr>
      <t xml:space="preserve"> 30%</t>
    </r>
  </si>
  <si>
    <r>
      <t xml:space="preserve">Moisture </t>
    </r>
    <r>
      <rPr>
        <sz val="11"/>
        <color indexed="8"/>
        <rFont val="Calibri"/>
        <family val="2"/>
      </rPr>
      <t>≤</t>
    </r>
    <r>
      <rPr>
        <sz val="11"/>
        <color theme="1"/>
        <rFont val="Calibri"/>
        <family val="2"/>
        <scheme val="minor"/>
      </rPr>
      <t xml:space="preserve"> 20%</t>
    </r>
  </si>
  <si>
    <r>
      <t xml:space="preserve">Moisture </t>
    </r>
    <r>
      <rPr>
        <sz val="11"/>
        <color indexed="8"/>
        <rFont val="Calibri"/>
        <family val="2"/>
      </rPr>
      <t>≤</t>
    </r>
    <r>
      <rPr>
        <sz val="11"/>
        <color theme="1"/>
        <rFont val="Calibri"/>
        <family val="2"/>
        <scheme val="minor"/>
      </rPr>
      <t xml:space="preserve"> 40%</t>
    </r>
  </si>
  <si>
    <r>
      <t xml:space="preserve">Moisture </t>
    </r>
    <r>
      <rPr>
        <sz val="11"/>
        <color indexed="8"/>
        <rFont val="Calibri"/>
        <family val="2"/>
      </rPr>
      <t>≤</t>
    </r>
    <r>
      <rPr>
        <sz val="11"/>
        <color theme="1"/>
        <rFont val="Calibri"/>
        <family val="2"/>
        <scheme val="minor"/>
      </rPr>
      <t xml:space="preserve"> 55%</t>
    </r>
  </si>
  <si>
    <r>
      <t xml:space="preserve">Moisture </t>
    </r>
    <r>
      <rPr>
        <sz val="11"/>
        <color indexed="8"/>
        <rFont val="Calibri"/>
        <family val="2"/>
      </rPr>
      <t>≤</t>
    </r>
    <r>
      <rPr>
        <sz val="11"/>
        <color theme="1"/>
        <rFont val="Calibri"/>
        <family val="2"/>
        <scheme val="minor"/>
      </rPr>
      <t xml:space="preserve"> 65%</t>
    </r>
  </si>
  <si>
    <t>*When dealing with the fuel supplier, following the CEN/TS 14961:2005, the specifications of the fuel  properties are given as bellow</t>
  </si>
  <si>
    <t>A0.7</t>
  </si>
  <si>
    <t>A1.5</t>
  </si>
  <si>
    <t>A3.0</t>
  </si>
  <si>
    <t>A6.0</t>
  </si>
  <si>
    <t>A10.0</t>
  </si>
  <si>
    <t>Ash Content (dry basis)</t>
  </si>
  <si>
    <r>
      <t xml:space="preserve">Ash content </t>
    </r>
    <r>
      <rPr>
        <sz val="11"/>
        <color indexed="8"/>
        <rFont val="Calibri"/>
        <family val="2"/>
      </rPr>
      <t>≤ 0.7%</t>
    </r>
  </si>
  <si>
    <r>
      <t xml:space="preserve">Ash content </t>
    </r>
    <r>
      <rPr>
        <sz val="11"/>
        <color indexed="8"/>
        <rFont val="Calibri"/>
        <family val="2"/>
      </rPr>
      <t>≤ 1.5%</t>
    </r>
  </si>
  <si>
    <r>
      <t xml:space="preserve">Ash content </t>
    </r>
    <r>
      <rPr>
        <sz val="11"/>
        <color indexed="8"/>
        <rFont val="Calibri"/>
        <family val="2"/>
      </rPr>
      <t>≤ 3.0%</t>
    </r>
  </si>
  <si>
    <r>
      <t xml:space="preserve">Ash content </t>
    </r>
    <r>
      <rPr>
        <sz val="11"/>
        <color indexed="8"/>
        <rFont val="Calibri"/>
        <family val="2"/>
      </rPr>
      <t>≤ 6.0%</t>
    </r>
  </si>
  <si>
    <r>
      <t xml:space="preserve">Ash content </t>
    </r>
    <r>
      <rPr>
        <sz val="11"/>
        <color indexed="8"/>
        <rFont val="Calibri"/>
        <family val="2"/>
      </rPr>
      <t>≤ 10.0%</t>
    </r>
  </si>
  <si>
    <t>Base Net Calorific Value (HHV) for dry wood taken is (MJ/kg)</t>
  </si>
  <si>
    <t xml:space="preserve"> Dry Bulk density taken is (kg/m3)</t>
  </si>
  <si>
    <t>dry basis</t>
  </si>
  <si>
    <t>as received</t>
  </si>
  <si>
    <t>Ash content (%)</t>
  </si>
  <si>
    <t>May</t>
  </si>
  <si>
    <t>m</t>
  </si>
  <si>
    <t>Month</t>
  </si>
  <si>
    <t>M10</t>
  </si>
  <si>
    <t>M15</t>
  </si>
  <si>
    <t>A6.0+</t>
  </si>
  <si>
    <t>Woodchip2</t>
  </si>
  <si>
    <t>(GBP per kWh)</t>
  </si>
  <si>
    <t>Ventilation Heat loss</t>
  </si>
  <si>
    <t>December</t>
  </si>
  <si>
    <t>November</t>
  </si>
  <si>
    <t>October</t>
  </si>
  <si>
    <t>September</t>
  </si>
  <si>
    <t>August</t>
  </si>
  <si>
    <t>July</t>
  </si>
  <si>
    <t>June</t>
  </si>
  <si>
    <t>April</t>
  </si>
  <si>
    <t>March</t>
  </si>
  <si>
    <t>February</t>
  </si>
  <si>
    <t>January</t>
  </si>
  <si>
    <t>N. East Scotland</t>
  </si>
  <si>
    <t>N. West Scotland</t>
  </si>
  <si>
    <t>East Scotland</t>
  </si>
  <si>
    <t>West Scotland</t>
  </si>
  <si>
    <t>North Scotland</t>
  </si>
  <si>
    <t>Number of air changes N (h-1)</t>
  </si>
  <si>
    <t>Pcs</t>
  </si>
  <si>
    <t>Occupants</t>
  </si>
  <si>
    <t>Total</t>
  </si>
  <si>
    <t>kW per unit</t>
  </si>
  <si>
    <t>Number</t>
  </si>
  <si>
    <t>Mean Annual</t>
  </si>
  <si>
    <t>Average Mean Temperature 1998 - 2007</t>
  </si>
  <si>
    <t>Mean Temperature 1998</t>
  </si>
  <si>
    <t>Mean Temperature 1999</t>
  </si>
  <si>
    <t>Mean Temperature 2000</t>
  </si>
  <si>
    <t>Mean Temperature 2001</t>
  </si>
  <si>
    <t>Mean Temperature 2002</t>
  </si>
  <si>
    <t>Mean Temperature 2003</t>
  </si>
  <si>
    <t>Mean Temperature 2004</t>
  </si>
  <si>
    <t>Mean Temperature 2005</t>
  </si>
  <si>
    <t>Mean Temperature 2006</t>
  </si>
  <si>
    <t>Mean Temperature 2007</t>
  </si>
  <si>
    <t>South West</t>
  </si>
  <si>
    <t>South East &amp; Wales</t>
  </si>
  <si>
    <t>Scotland</t>
  </si>
  <si>
    <t>Northern Ireland</t>
  </si>
  <si>
    <t>North &amp; Middlands</t>
  </si>
  <si>
    <t>Standard Degree Days in UK for the last 20 years (averages for 2007)</t>
  </si>
  <si>
    <t>Ventilation factor</t>
  </si>
  <si>
    <t>Location</t>
  </si>
  <si>
    <t>Table 2</t>
  </si>
  <si>
    <t>Table 1</t>
  </si>
  <si>
    <r>
      <t xml:space="preserve">INPUTS ARE IN </t>
    </r>
    <r>
      <rPr>
        <b/>
        <sz val="12"/>
        <color indexed="55"/>
        <rFont val="Arial"/>
        <family val="2"/>
      </rPr>
      <t>WHITE</t>
    </r>
    <r>
      <rPr>
        <b/>
        <sz val="12"/>
        <rFont val="Arial"/>
        <family val="2"/>
      </rPr>
      <t xml:space="preserve"> BOXES</t>
    </r>
  </si>
  <si>
    <t>CREATED BY CAMPBELL PALMER</t>
  </si>
  <si>
    <t>Choice</t>
  </si>
  <si>
    <t>TEMPERATURE VARIATION - SCOTLAND</t>
  </si>
  <si>
    <t>%</t>
  </si>
  <si>
    <t>kW</t>
  </si>
  <si>
    <t>Source - http://www.metoffice.gov.uk</t>
  </si>
  <si>
    <t>Heating Period</t>
  </si>
  <si>
    <t>Hours</t>
  </si>
  <si>
    <t>Days in a week</t>
  </si>
  <si>
    <t>Minimum power output</t>
  </si>
  <si>
    <t>Mean Energy Consumed (kWh)</t>
  </si>
  <si>
    <t>Cost - British Pounds</t>
  </si>
  <si>
    <t>Consumption   Tonnes</t>
  </si>
  <si>
    <t>TOTAL</t>
  </si>
  <si>
    <t>Back to woodchip fuel data</t>
  </si>
  <si>
    <t>Woodchip1</t>
  </si>
  <si>
    <t>Selected Consumption</t>
  </si>
  <si>
    <t xml:space="preserve">Monthly  </t>
  </si>
  <si>
    <t>Fuel Cost - GBP</t>
  </si>
  <si>
    <t>Back to Pellet fuel data</t>
  </si>
  <si>
    <t>Diameter</t>
  </si>
  <si>
    <t>*just indicative value, may vary with manufacturer</t>
  </si>
  <si>
    <t>Requested Capacity</t>
  </si>
  <si>
    <t>*</t>
  </si>
  <si>
    <t>Mean Load</t>
  </si>
  <si>
    <t>Total (kW)</t>
  </si>
  <si>
    <t>Proportion between diameter and height (D/H)</t>
  </si>
  <si>
    <t>Turn-down ratio</t>
  </si>
  <si>
    <t>Heating Oil</t>
  </si>
  <si>
    <t>LPG</t>
  </si>
  <si>
    <t>Electricity</t>
  </si>
  <si>
    <t>Mains Gas</t>
  </si>
  <si>
    <t>Coal</t>
  </si>
  <si>
    <t>house coal</t>
  </si>
  <si>
    <t>Coalite</t>
  </si>
  <si>
    <t>Fuel</t>
  </si>
  <si>
    <t>Other Values</t>
  </si>
  <si>
    <t>Hard Wood - 19.5</t>
  </si>
  <si>
    <t>Select Option</t>
  </si>
  <si>
    <t>Price per tonne delivered (GBP)</t>
  </si>
  <si>
    <t>Mean</t>
  </si>
  <si>
    <t>Mean Value for graph</t>
  </si>
  <si>
    <t>Min</t>
  </si>
  <si>
    <t>Load Profile kW</t>
  </si>
  <si>
    <t>Load Profile</t>
  </si>
  <si>
    <t>: 1</t>
  </si>
  <si>
    <t>Boiler Cap.</t>
  </si>
  <si>
    <t>Number of boilers</t>
  </si>
  <si>
    <t>Main Boiler</t>
  </si>
  <si>
    <t>Secondary Boiler</t>
  </si>
  <si>
    <t>Capacity to be supplied</t>
  </si>
  <si>
    <t>Max Capacity</t>
  </si>
  <si>
    <t>Min Capacity</t>
  </si>
  <si>
    <t xml:space="preserve">New </t>
  </si>
  <si>
    <t>Boiler Cap</t>
  </si>
  <si>
    <t>System minimum Output</t>
  </si>
  <si>
    <t xml:space="preserve">Matrix </t>
  </si>
  <si>
    <t>Min. Boiler 1</t>
  </si>
  <si>
    <t>Min. Boiler 2</t>
  </si>
  <si>
    <t>Minimum</t>
  </si>
  <si>
    <t>Max1</t>
  </si>
  <si>
    <t>Max defined</t>
  </si>
  <si>
    <t>Min defined</t>
  </si>
  <si>
    <t>select option</t>
  </si>
  <si>
    <t>Working Power</t>
  </si>
  <si>
    <t>Main boiler</t>
  </si>
  <si>
    <t>Max defined corrected</t>
  </si>
  <si>
    <t>Select source</t>
  </si>
  <si>
    <t>Woodenergy</t>
  </si>
  <si>
    <t>SAP 2005</t>
  </si>
  <si>
    <t>* Source:</t>
  </si>
  <si>
    <t>Low Carbon Buildings Program Phase 2</t>
  </si>
  <si>
    <t>Name</t>
  </si>
  <si>
    <t>Requirements</t>
  </si>
  <si>
    <t>Grant Value</t>
  </si>
  <si>
    <t>Boilers up to 50 kW</t>
  </si>
  <si>
    <t>Information</t>
  </si>
  <si>
    <t>http://www.lowcarbonbuildingsphase2.org.uk/</t>
  </si>
  <si>
    <t>Low Carbon Buildings Program Phase 1</t>
  </si>
  <si>
    <t xml:space="preserve">You must have insulated the whole of the loft of the property to meet current 
building regulations e.g. 270mm of mineral wool loft insulation or suitable 
alternative; 
You must have installed cavity wall insulation throughout the property where 
practicable (i.e. where the property does have cavity walls); 
You must use low energy light bulbs in appropriate light fittings in all the main 
rooms (i.e. kitchen, hallway and all main living rooms) in the property; 
You must have installed basic controls for your central heating system (if any), 
including controls that ensure your boiler only operates when there is a demand 
for heat and a programmer or timer for the property as a whole. </t>
  </si>
  <si>
    <t>http://www.lowcarbonbuildings.org.uk</t>
  </si>
  <si>
    <t>Highland and Island Enterprises</t>
  </si>
  <si>
    <t>Funding is divided into 4 phases, each one with its own funding values</t>
  </si>
  <si>
    <t>Start Up</t>
  </si>
  <si>
    <t>Up to 2,000 Pounds</t>
  </si>
  <si>
    <t>Feasibility</t>
  </si>
  <si>
    <t>Up to 15,000 Pounds</t>
  </si>
  <si>
    <t>Pre-Planning</t>
  </si>
  <si>
    <t>Up to 50,000 Pounds</t>
  </si>
  <si>
    <t>Pos-Planning</t>
  </si>
  <si>
    <t>Up to 200,000 Pounds</t>
  </si>
  <si>
    <t>http://www.hie.co.uk/community-investment.html</t>
  </si>
  <si>
    <t>Energy Saving Trust - Communities</t>
  </si>
  <si>
    <t xml:space="preserve">local/national voluntary, non-profit and charitable organisations </t>
  </si>
  <si>
    <t xml:space="preserve">local rural partnerships </t>
  </si>
  <si>
    <t xml:space="preserve">local authorities </t>
  </si>
  <si>
    <t xml:space="preserve">housing associations </t>
  </si>
  <si>
    <t xml:space="preserve">local enterprise companies </t>
  </si>
  <si>
    <t xml:space="preserve">companies limited by guarantee </t>
  </si>
  <si>
    <t xml:space="preserve">Universities and schools </t>
  </si>
  <si>
    <t>The grant is divided into two categories:</t>
  </si>
  <si>
    <t>http://www.energysavingtrust.org.uk/schri/community/grant.cfm#eligible</t>
  </si>
  <si>
    <t>Energy Saving Trust - Householders</t>
  </si>
  <si>
    <t xml:space="preserve">The system must be designed, installed and commissioned by an approved installer using approved system components </t>
  </si>
  <si>
    <t>Funding for householders is set at 30% of the installed cost of a renewable measure up to £4,000</t>
  </si>
  <si>
    <t>http://www.energysavingtrust.org.uk/schri/household/grant.cfm</t>
  </si>
  <si>
    <t xml:space="preserve">Bio-energy Capital Grants Scheme
</t>
  </si>
  <si>
    <t>Defra intends to run further rounds of the scheme.  The details are likely to be broadly similar to round 3.</t>
  </si>
  <si>
    <t>The round was open to applications from the industrial, commercial and community sectors. "Community" included local authorities, schools, etc.  There was no targeting of any particular technology or sector.</t>
  </si>
  <si>
    <t xml:space="preserve">The minimum award limit was £25,000 and the maximum single award was £1m.  Higher awards were possible for multiple or bundled applications. 
</t>
  </si>
  <si>
    <t>http://www.defra.gov.uk/farm/crops/industrial/energy/capital-grants.htm</t>
  </si>
  <si>
    <t>ScottishPower Green Energy Trust</t>
  </si>
  <si>
    <t>The ScottishPower Green Energy Trust supports the development of small scale community based environmental and educational renewable energy projects.</t>
  </si>
  <si>
    <t xml:space="preserve">The Trust does not support applications that will benefit only private companies, individual or government bodies.
</t>
  </si>
  <si>
    <t xml:space="preserve">The Trust provides up to 50 per cent of the project cost, up to a maximum of £25,000. </t>
  </si>
  <si>
    <t>http://freight.quix.co.uk/Default.aspx</t>
  </si>
  <si>
    <t>Number of floors</t>
  </si>
  <si>
    <t>Max. Heat Load(kW/m2)</t>
  </si>
  <si>
    <t>Max. Heat Load(kW)</t>
  </si>
  <si>
    <t>Efficiency</t>
  </si>
  <si>
    <t>Correction Factor</t>
  </si>
  <si>
    <t>Type of Heating</t>
  </si>
  <si>
    <t>Total Correction Factor</t>
  </si>
  <si>
    <t>Intermittent-responsive plant</t>
  </si>
  <si>
    <t>Total (kWh)</t>
  </si>
  <si>
    <t>Glazing Percentage (%)</t>
  </si>
  <si>
    <t>Design Heat Losses (kW/m2) without HWS</t>
  </si>
  <si>
    <t>Hot water supply</t>
  </si>
  <si>
    <t>HWS provision (W/m2)</t>
  </si>
  <si>
    <t>kWh/m2</t>
  </si>
  <si>
    <t>No of working weeks/year</t>
  </si>
  <si>
    <t>No of working days/week</t>
  </si>
  <si>
    <t>Building type</t>
  </si>
  <si>
    <t>Education</t>
  </si>
  <si>
    <t>Monthly Energy Demand (kWh/m2)</t>
  </si>
  <si>
    <t>Monthly Energy Demand (kWh/m2) - With correction factors</t>
  </si>
  <si>
    <t>Monthly Energy Demand (kWh) - With correction factors</t>
  </si>
  <si>
    <t>Hospitals</t>
  </si>
  <si>
    <t>Hotels</t>
  </si>
  <si>
    <t>Residential</t>
  </si>
  <si>
    <t>Warehouse</t>
  </si>
  <si>
    <t>Factories - 7 day multiple shift</t>
  </si>
  <si>
    <t>Factories - 6 day single shift</t>
  </si>
  <si>
    <t>Factories - 5 day single shift</t>
  </si>
  <si>
    <t>Shop - 6 day week</t>
  </si>
  <si>
    <t>Office - 5 or 6 day week</t>
  </si>
  <si>
    <t>HWS (W/m2)</t>
  </si>
  <si>
    <t>Building Type</t>
  </si>
  <si>
    <t>HWS provision in W/m2 of floor</t>
  </si>
  <si>
    <t>Intermittent-plant with long time lag</t>
  </si>
  <si>
    <t>Continuous</t>
  </si>
  <si>
    <t>Occupied Period (hours)</t>
  </si>
  <si>
    <t>occupied period (days)</t>
  </si>
  <si>
    <t xml:space="preserve">Environmental Transformation Fund </t>
  </si>
  <si>
    <t>The domestic ETF brings together Defra’s and BERR’s existing low carbon technology funding programmes together with a number of new investments to begin in 2008/09</t>
  </si>
  <si>
    <t xml:space="preserve">On 21 February 2008 Hilary Benn announced the first set of new schemes to be funded from Defra’s element of the domestic ETF </t>
  </si>
  <si>
    <t>The Environmental Transformation Fund itself will not be open for funding requests. Instead, schemes funded by the ETF, such as those operated by the Carbon Trust and BERR, will be publicised via their websites and in the usual ways when funding becomes available.</t>
  </si>
  <si>
    <t>47.4m for the Carbon Trust’s technology programmes in 2008/09</t>
  </si>
  <si>
    <t xml:space="preserve">£10m in 2008/09 for new rounds of the Bio-energy Capital Grants and Bio-energy Infrastructure Schemes </t>
  </si>
  <si>
    <t xml:space="preserve">Around £10m over three years for projects that demonstrate the potential of anaerobic digestion technologies at commercial scale 
</t>
  </si>
  <si>
    <t>http://www.defra.gov.uk/environment/climatechange/uk/energy/fund/</t>
  </si>
  <si>
    <t xml:space="preserve">Community associations, enterprises, development trusts and groups </t>
  </si>
  <si>
    <t xml:space="preserve">The basic premise is that applicants must be Scotland based, legally constituted, non-profit distributing community groups:
</t>
  </si>
  <si>
    <t>STORAGE OPTIONS</t>
  </si>
  <si>
    <t>Storage type</t>
  </si>
  <si>
    <t>Extractor angle</t>
  </si>
  <si>
    <t>Storage capacity</t>
  </si>
  <si>
    <t>degrees</t>
  </si>
  <si>
    <t>m3</t>
  </si>
  <si>
    <t>N/A</t>
  </si>
  <si>
    <t>Average fuel consumption</t>
  </si>
  <si>
    <t>Jan</t>
  </si>
  <si>
    <t>Feb</t>
  </si>
  <si>
    <t>Mar</t>
  </si>
  <si>
    <t>Apr</t>
  </si>
  <si>
    <t>Jun</t>
  </si>
  <si>
    <t>Jul</t>
  </si>
  <si>
    <t>Aug</t>
  </si>
  <si>
    <t>Sep</t>
  </si>
  <si>
    <t>Oct</t>
  </si>
  <si>
    <t>Nov</t>
  </si>
  <si>
    <t>Dec</t>
  </si>
  <si>
    <t>Fuel density</t>
  </si>
  <si>
    <t>Cost per delivery</t>
  </si>
  <si>
    <t xml:space="preserve"> kg/month</t>
  </si>
  <si>
    <t>Tonnes</t>
  </si>
  <si>
    <t>GBP</t>
  </si>
  <si>
    <t>kg/hour</t>
  </si>
  <si>
    <t>Storage capacity (days)</t>
  </si>
  <si>
    <t>Capital Cost</t>
  </si>
  <si>
    <t>Base Value</t>
  </si>
  <si>
    <t>Power out</t>
  </si>
  <si>
    <t>Boiler 1</t>
  </si>
  <si>
    <t>Boiler 2</t>
  </si>
  <si>
    <t>**Reference: Biomass sector review for the Carbon Trust
for the Carbon Trust</t>
  </si>
  <si>
    <t>1 - Physical Characterisation and chemical composition of densified biomass fuels with regard to their combustion behaviour. Published in: Proceedings of the 1st World Conference on Pellets</t>
  </si>
  <si>
    <t>Automatic</t>
  </si>
  <si>
    <t>Total (kW/m2)</t>
  </si>
  <si>
    <t>Total (kWh/m2)</t>
  </si>
  <si>
    <t>Lighting (kW/m2)</t>
  </si>
  <si>
    <t>Design Heat Losses (kW)</t>
  </si>
  <si>
    <t>Monthly Energy Demand (kWh) - With correction factors &amp; HWS &amp; CHG</t>
  </si>
  <si>
    <t>Standard Degree Days- Scotland</t>
  </si>
  <si>
    <r>
      <t xml:space="preserve"> </t>
    </r>
    <r>
      <rPr>
        <b/>
        <sz val="11"/>
        <color indexed="8"/>
        <rFont val="Arial"/>
        <family val="2"/>
      </rPr>
      <t>Public Sector</t>
    </r>
    <r>
      <rPr>
        <sz val="11"/>
        <color indexed="8"/>
        <rFont val="Arial"/>
        <family val="2"/>
      </rPr>
      <t xml:space="preserve"> - schools, hospitals, housing associations, local authorities and charitable bodies</t>
    </r>
  </si>
  <si>
    <r>
      <rPr>
        <b/>
        <sz val="11"/>
        <color indexed="8"/>
        <rFont val="Arial"/>
        <family val="2"/>
      </rPr>
      <t>Communities</t>
    </r>
    <r>
      <rPr>
        <sz val="11"/>
        <color indexed="8"/>
        <rFont val="Arial"/>
        <family val="2"/>
      </rPr>
      <t xml:space="preserve"> in the Highlands and Islands </t>
    </r>
  </si>
  <si>
    <r>
      <rPr>
        <b/>
        <sz val="11"/>
        <color indexed="8"/>
        <rFont val="Arial"/>
        <family val="2"/>
      </rPr>
      <t>Capital grants</t>
    </r>
    <r>
      <rPr>
        <sz val="11"/>
        <color indexed="8"/>
        <rFont val="Arial"/>
        <family val="2"/>
      </rPr>
      <t xml:space="preserve">: contribute to the capital costs of a project. The maximum grant is £100,000.
</t>
    </r>
  </si>
  <si>
    <r>
      <rPr>
        <b/>
        <sz val="11"/>
        <color indexed="8"/>
        <rFont val="Arial"/>
        <family val="2"/>
      </rPr>
      <t xml:space="preserve">Round 3 </t>
    </r>
    <r>
      <rPr>
        <sz val="11"/>
        <color indexed="8"/>
        <rFont val="Arial"/>
        <family val="2"/>
      </rPr>
      <t xml:space="preserve">of the Bio-energy Capital Grants Scheme was launched in December 2006 with a 10 week application window which closed in March 2007. 
 \
</t>
    </r>
  </si>
  <si>
    <r>
      <t xml:space="preserve">*density of pellet is typically between 600 and 700 kg/m3 </t>
    </r>
    <r>
      <rPr>
        <sz val="10"/>
        <color indexed="8"/>
        <rFont val="Arial"/>
        <family val="2"/>
      </rPr>
      <t>(1)</t>
    </r>
  </si>
  <si>
    <r>
      <t xml:space="preserve">Moisture </t>
    </r>
    <r>
      <rPr>
        <sz val="11"/>
        <color indexed="8"/>
        <rFont val="Arial"/>
        <family val="2"/>
      </rPr>
      <t>≤</t>
    </r>
    <r>
      <rPr>
        <sz val="11"/>
        <color indexed="8"/>
        <rFont val="Arial"/>
        <family val="2"/>
      </rPr>
      <t xml:space="preserve"> 10%</t>
    </r>
  </si>
  <si>
    <r>
      <t xml:space="preserve">Ash content </t>
    </r>
    <r>
      <rPr>
        <sz val="11"/>
        <color indexed="8"/>
        <rFont val="Arial"/>
        <family val="2"/>
      </rPr>
      <t>≤ 0.7%</t>
    </r>
  </si>
  <si>
    <r>
      <t xml:space="preserve">Moisture </t>
    </r>
    <r>
      <rPr>
        <sz val="11"/>
        <color indexed="8"/>
        <rFont val="Arial"/>
        <family val="2"/>
      </rPr>
      <t>≤</t>
    </r>
    <r>
      <rPr>
        <sz val="11"/>
        <color indexed="8"/>
        <rFont val="Arial"/>
        <family val="2"/>
      </rPr>
      <t xml:space="preserve"> 15%</t>
    </r>
  </si>
  <si>
    <r>
      <t xml:space="preserve">Ash content </t>
    </r>
    <r>
      <rPr>
        <sz val="11"/>
        <color indexed="8"/>
        <rFont val="Arial"/>
        <family val="2"/>
      </rPr>
      <t>≤ 1.5%</t>
    </r>
  </si>
  <si>
    <r>
      <t xml:space="preserve">Moisture </t>
    </r>
    <r>
      <rPr>
        <sz val="11"/>
        <color indexed="8"/>
        <rFont val="Arial"/>
        <family val="2"/>
      </rPr>
      <t>≤</t>
    </r>
    <r>
      <rPr>
        <sz val="11"/>
        <color indexed="8"/>
        <rFont val="Arial"/>
        <family val="2"/>
      </rPr>
      <t xml:space="preserve"> 20%</t>
    </r>
  </si>
  <si>
    <r>
      <t xml:space="preserve">Ash content </t>
    </r>
    <r>
      <rPr>
        <sz val="11"/>
        <color indexed="8"/>
        <rFont val="Arial"/>
        <family val="2"/>
      </rPr>
      <t>≤ 3.0%</t>
    </r>
  </si>
  <si>
    <r>
      <t xml:space="preserve">Ash content </t>
    </r>
    <r>
      <rPr>
        <sz val="11"/>
        <color indexed="8"/>
        <rFont val="Arial"/>
        <family val="2"/>
      </rPr>
      <t>≤ 6.0%</t>
    </r>
  </si>
  <si>
    <r>
      <t xml:space="preserve">Ash content </t>
    </r>
    <r>
      <rPr>
        <sz val="11"/>
        <color indexed="8"/>
        <rFont val="Arial"/>
        <family val="2"/>
      </rPr>
      <t>≥6.0%</t>
    </r>
  </si>
  <si>
    <t>Woodchip Storage</t>
  </si>
  <si>
    <t>Wood Pellet Storage</t>
  </si>
  <si>
    <t>Fuel Consumption Data</t>
  </si>
  <si>
    <t>Back to boiler sizing</t>
  </si>
  <si>
    <t>Auxiliary Box</t>
  </si>
  <si>
    <t>Auxiliary Table -Selects Value for auto or defined</t>
  </si>
  <si>
    <t>Woodchips</t>
  </si>
  <si>
    <t>Wood pellets</t>
  </si>
  <si>
    <t>Up to 30% of installation costs.</t>
  </si>
  <si>
    <t>Residential Building</t>
  </si>
  <si>
    <t>Up to 30% of the installation costs or 1,500 pounds. The lowest value</t>
  </si>
  <si>
    <r>
      <rPr>
        <b/>
        <sz val="11"/>
        <color indexed="8"/>
        <rFont val="Arial"/>
        <family val="2"/>
      </rPr>
      <t>Technical assistance funding</t>
    </r>
    <r>
      <rPr>
        <sz val="11"/>
        <color indexed="8"/>
        <rFont val="Arial"/>
        <family val="2"/>
      </rPr>
      <t xml:space="preserve">: available to support non-capital projects, such as feasibility or scooping studies and capacity building within a community. The maximum grant is £10,000.
</t>
    </r>
  </si>
  <si>
    <t>Pay back period</t>
  </si>
  <si>
    <t>Kind of Fuel</t>
  </si>
  <si>
    <t>Against</t>
  </si>
  <si>
    <t>Savings per year</t>
  </si>
  <si>
    <t>Payback Period</t>
  </si>
  <si>
    <t>Exit diameter</t>
  </si>
  <si>
    <t>Width/ Diameter</t>
  </si>
  <si>
    <t>Depth</t>
  </si>
  <si>
    <t>Selected Storage Option</t>
  </si>
  <si>
    <t>Fuel Price Comparator</t>
  </si>
  <si>
    <t>Fuel Consumption and Monthly Cost</t>
  </si>
  <si>
    <t>The selected biomass fuels will be used at further calculations</t>
  </si>
  <si>
    <t>For the storage system</t>
  </si>
  <si>
    <t>Monthly Energy Demand (kWh/m2) - With correction factors &amp; HWS &amp; CHG</t>
  </si>
  <si>
    <t xml:space="preserve">Design Heat Losses (kW) with HWS </t>
  </si>
  <si>
    <t>Heat Transfer per Floor Area</t>
  </si>
  <si>
    <t>Solar gains</t>
  </si>
  <si>
    <t>Spring/Autunm</t>
  </si>
  <si>
    <t>Floor Area (A)</t>
  </si>
  <si>
    <t>Selected Energy Demand</t>
  </si>
  <si>
    <t>Selected Design Heat Losses</t>
  </si>
  <si>
    <t>Auxiliar Table</t>
  </si>
  <si>
    <t>USER DEFINED HEAT DEMAND</t>
  </si>
  <si>
    <t>auxiliar energy Demand</t>
  </si>
  <si>
    <t>*Please, select the apropriate location and the calculation option</t>
  </si>
  <si>
    <t>Auxiliary Tables - main boiler sizing</t>
  </si>
  <si>
    <t>Degree Days and Ventilation Factor</t>
  </si>
  <si>
    <t>AUXILIAR TABLES - Heat Demand Calculation</t>
  </si>
  <si>
    <t>OAT</t>
  </si>
  <si>
    <t>Mean Power (kW)</t>
  </si>
  <si>
    <t>Building Data</t>
  </si>
  <si>
    <t>Peak Heat Loads baseds on defined OAT</t>
  </si>
  <si>
    <t>DHL and Monthly Energy Demand</t>
  </si>
  <si>
    <t>Inputs</t>
  </si>
  <si>
    <t>Calculation Method</t>
  </si>
  <si>
    <t>Thermal Lining</t>
  </si>
  <si>
    <t>Fuel Moisture Content</t>
  </si>
  <si>
    <t>Defining Fuel Moisture Content</t>
  </si>
  <si>
    <t>Kind Of Fuel</t>
  </si>
  <si>
    <t>Moisture Content of Fuel -Pellet</t>
  </si>
  <si>
    <t>Moisture Content of Fuel -Woodchip</t>
  </si>
  <si>
    <t>Requested Energy (kWh)</t>
  </si>
  <si>
    <t>HWS  (kWh)</t>
  </si>
  <si>
    <t>Sizing</t>
  </si>
  <si>
    <t>Number of hours water supply</t>
  </si>
  <si>
    <t>Circuit Temperature Drop</t>
  </si>
  <si>
    <t>HWS Capacity</t>
  </si>
  <si>
    <t>Buffer utilization</t>
  </si>
  <si>
    <t>Power to be supplied by secondary source*</t>
  </si>
  <si>
    <t>*includes peak demand at defined OAT</t>
  </si>
  <si>
    <t>Power to be suplied by a sec boiler</t>
  </si>
  <si>
    <t>Soft Wood - 195</t>
  </si>
  <si>
    <t>Hard Wood - 260</t>
  </si>
  <si>
    <t>Source:UBET Unified Bioenergy Terminology</t>
  </si>
  <si>
    <t>Soft Wood - 18.5</t>
  </si>
  <si>
    <t>Number of tanks</t>
  </si>
  <si>
    <t>(*) (**)</t>
  </si>
  <si>
    <r>
      <t xml:space="preserve">*the proportion </t>
    </r>
    <r>
      <rPr>
        <u/>
        <sz val="11"/>
        <color indexed="10"/>
        <rFont val="Arial"/>
        <family val="2"/>
      </rPr>
      <t>usually</t>
    </r>
    <r>
      <rPr>
        <sz val="11"/>
        <color indexed="10"/>
        <rFont val="Arial"/>
        <family val="2"/>
      </rPr>
      <t xml:space="preserve"> varies around 0.4, depending of the manufacturer</t>
    </r>
  </si>
  <si>
    <r>
      <t xml:space="preserve">**value for </t>
    </r>
    <r>
      <rPr>
        <u/>
        <sz val="11"/>
        <color indexed="10"/>
        <rFont val="Arial"/>
        <family val="2"/>
      </rPr>
      <t>each</t>
    </r>
    <r>
      <rPr>
        <sz val="11"/>
        <color indexed="10"/>
        <rFont val="Arial"/>
        <family val="2"/>
      </rPr>
      <t xml:space="preserve"> tank</t>
    </r>
  </si>
  <si>
    <t>Illustrative buffer dimensions (individual)</t>
  </si>
  <si>
    <t>Start up energy (kWh)</t>
  </si>
  <si>
    <t>Temperature drop through heating circuit</t>
  </si>
  <si>
    <t>auxiliary Table</t>
  </si>
  <si>
    <t>Start-up energy requested</t>
  </si>
  <si>
    <t>.                                .</t>
  </si>
  <si>
    <t>Boiler Capacity</t>
  </si>
  <si>
    <t>RETURN TO MAIN MENU</t>
  </si>
  <si>
    <t>Fuel Selected</t>
  </si>
  <si>
    <t>Storage Selected</t>
  </si>
  <si>
    <t>Kind of Input</t>
  </si>
  <si>
    <t>Auxiliary Table</t>
  </si>
  <si>
    <t>BACK TO MAIN MENU</t>
  </si>
  <si>
    <t>.                                                     .</t>
  </si>
  <si>
    <t>.                                                .</t>
  </si>
  <si>
    <t>DEGREE DAYS C.F AND HWS DATA, CLICK HERE</t>
  </si>
  <si>
    <t>RETURN TO HEAT DEMAND CALCULATION</t>
  </si>
  <si>
    <t>TEMPERATURE DATA CLICK HERE</t>
  </si>
  <si>
    <t>RETURN TO HEAT DEMAND CALCULATOR</t>
  </si>
  <si>
    <r>
      <t>T  (</t>
    </r>
    <r>
      <rPr>
        <sz val="11"/>
        <color indexed="8"/>
        <rFont val="Arial"/>
        <family val="2"/>
      </rPr>
      <t>°</t>
    </r>
    <r>
      <rPr>
        <sz val="9.35"/>
        <color indexed="8"/>
        <rFont val="Arial"/>
        <family val="2"/>
      </rPr>
      <t>C)</t>
    </r>
  </si>
  <si>
    <t>.                                        .</t>
  </si>
  <si>
    <t>.                                   .</t>
  </si>
  <si>
    <t>.                           .</t>
  </si>
  <si>
    <t>RESULTS</t>
  </si>
  <si>
    <t>BUILDING HEAT DEMAND</t>
  </si>
  <si>
    <t>BIOMASS BOILER SIZE</t>
  </si>
  <si>
    <t>SECONDARY HEAT SOURCE</t>
  </si>
  <si>
    <t>*based on a peak demand of</t>
  </si>
  <si>
    <t>kW *</t>
  </si>
  <si>
    <t>tonnes</t>
  </si>
  <si>
    <t>BACK TO HEAT DEMAND CALCULATOR</t>
  </si>
  <si>
    <t>STORAGE TYPE</t>
  </si>
  <si>
    <t>FUEL STORAGE CAPACITY</t>
  </si>
  <si>
    <t>FUEL CONSUMPTION (YEAR)</t>
  </si>
  <si>
    <t>FUEL COST (YEAR)</t>
  </si>
  <si>
    <t>kg</t>
  </si>
  <si>
    <t>cost</t>
  </si>
  <si>
    <t>Storage and Consumption</t>
  </si>
  <si>
    <t>Funding Schemes at Scotland</t>
  </si>
  <si>
    <t>*based on winter consumption</t>
  </si>
  <si>
    <t>Mean Monthly Consumption (kWh)</t>
  </si>
  <si>
    <t>BOILER INSTALATION COST</t>
  </si>
  <si>
    <t>Total energy stored (kWh)</t>
  </si>
  <si>
    <t>Consumption Table</t>
  </si>
  <si>
    <t>SELECTED FUEL TYPE</t>
  </si>
  <si>
    <t>SELECT SECONDARY FUEL</t>
  </si>
  <si>
    <t>FUEL TYPES AND COSTS</t>
  </si>
  <si>
    <t>LPG Domestic</t>
  </si>
  <si>
    <t>LPG Commercial</t>
  </si>
  <si>
    <t>COST OF kWh SECONDARY</t>
  </si>
  <si>
    <t>Cost of selected source</t>
  </si>
  <si>
    <t>User Input</t>
  </si>
  <si>
    <t>values in p/kWh</t>
  </si>
  <si>
    <t>Fuel Storage and Buffer Volumes</t>
  </si>
  <si>
    <t>Fuel Data and Saving</t>
  </si>
  <si>
    <t>.                                      .</t>
  </si>
  <si>
    <t xml:space="preserve">      .                                                    .</t>
  </si>
  <si>
    <t>STORAGE SYSTEM VOLUME</t>
  </si>
  <si>
    <t>Storage Capacity</t>
  </si>
  <si>
    <t>BUFFERS OCCUPIED VOLUME</t>
  </si>
  <si>
    <t>USER GUIDE</t>
  </si>
  <si>
    <t>SELECT</t>
  </si>
  <si>
    <t>Boiler System Data</t>
  </si>
  <si>
    <t>ANNUAL SAVINGS</t>
  </si>
  <si>
    <t>COST PER kWh DELIVERED</t>
  </si>
  <si>
    <t>Typical price* (pence per kWh)</t>
  </si>
  <si>
    <t>Square silo sloping floor</t>
  </si>
  <si>
    <t>Walking floor</t>
  </si>
  <si>
    <t>Gravity hopper</t>
  </si>
  <si>
    <t>Storage capacity (tonnes)</t>
  </si>
  <si>
    <t>Fall angle to the horizontal</t>
  </si>
  <si>
    <t>Fuel moisture content</t>
  </si>
  <si>
    <t>Storage capacity requested (L)</t>
  </si>
  <si>
    <t>Total water volume (m3)</t>
  </si>
  <si>
    <t>Buffer volume incl. insulation (m3)</t>
  </si>
  <si>
    <t>Limited for storage</t>
  </si>
  <si>
    <t>Suitable for storage</t>
  </si>
  <si>
    <t>Ash content (dry basis)</t>
  </si>
  <si>
    <t>Default net calorific value (HHV) for dry wood taken is (MJ/kg)</t>
  </si>
  <si>
    <t xml:space="preserve"> Default dry bulk density  (kg/m3)</t>
  </si>
  <si>
    <t>Price per tonne (GBP)</t>
  </si>
  <si>
    <t>Moisture content*</t>
  </si>
  <si>
    <t>Calorific value</t>
  </si>
  <si>
    <t>Total cost</t>
  </si>
  <si>
    <t>Kind of wood</t>
  </si>
  <si>
    <t>Boiler efficiency</t>
  </si>
  <si>
    <t>Final system capacity</t>
  </si>
  <si>
    <t>New build capital cost **</t>
  </si>
  <si>
    <t>Wood Consumption - tonnes</t>
  </si>
  <si>
    <t>Design heat losses + HWS</t>
  </si>
  <si>
    <t>Energy consumption</t>
  </si>
  <si>
    <t>Design heat losses(kW)</t>
  </si>
  <si>
    <t>HWS (kW)</t>
  </si>
  <si>
    <t>Working weeks (per year)</t>
  </si>
  <si>
    <t>Monthly HWS energy demand (kWh)</t>
  </si>
  <si>
    <t>Energy Consump option tables</t>
  </si>
  <si>
    <t>Design heat losses option tables</t>
  </si>
  <si>
    <t>Selected Table</t>
  </si>
  <si>
    <t>Kind of input</t>
  </si>
  <si>
    <t>days*</t>
  </si>
  <si>
    <t>Monthly Energy Demand (kWh)</t>
  </si>
  <si>
    <t>Design Heat Losses + HWS (kW)</t>
  </si>
  <si>
    <t>Space heating monthly energy demand (kWh) - With correction factors</t>
  </si>
  <si>
    <t>Working days (per week)</t>
  </si>
  <si>
    <t>Internal temperature</t>
  </si>
  <si>
    <t>Automatic Calculation</t>
  </si>
  <si>
    <t>Square Silo Sloping Floor</t>
  </si>
  <si>
    <t>Shop 6 day week</t>
  </si>
  <si>
    <t>Hard Wood</t>
  </si>
  <si>
    <t>HWS supply</t>
  </si>
  <si>
    <t>Auxiliar Boiler</t>
  </si>
  <si>
    <t>Start up period using A. Boiler (h)</t>
  </si>
  <si>
    <t>Auxiliar boiler power (kW)</t>
  </si>
  <si>
    <t>HWS mean demand (kW)</t>
  </si>
  <si>
    <t>Auxiliar boiler data</t>
  </si>
  <si>
    <t>*depending of the control configuration, the auxiliar boiler may</t>
  </si>
  <si>
    <t>be used to supply hot water during summer or energy for</t>
  </si>
  <si>
    <t>the start-up process</t>
  </si>
  <si>
    <t>.                                                                .</t>
  </si>
  <si>
    <t>Return to main menu</t>
  </si>
  <si>
    <t>FUEL DATA - WOODCHIP</t>
  </si>
  <si>
    <t>FUEL DATA - PELLETS</t>
  </si>
  <si>
    <t>BOILER SIZING</t>
  </si>
  <si>
    <t>ENERGY DEMAND</t>
  </si>
  <si>
    <t>Thermal Buffer</t>
  </si>
  <si>
    <t>FUEL COST AND CONSUMPTION</t>
  </si>
  <si>
    <t>Welcome to the biomass feasibility tool</t>
  </si>
  <si>
    <t>Whilst all reasonable steps have been taken to ensure that the information used to produce this calculator is correct, you should be aware that it may not produce representative results in every case.  Accordingly, no liability can be accepted by either the University of Strathclyde or the Campbell Palmer Partnership Ltd should the use of the calculator result in errors or omissions in designs or calculations based on results obtained from the calculator.  Any person makes use of this calculator at their own risk and designers should, in every case, carry out their own calculations from first principles in order to underwrite the accuracy of the information they supply.</t>
  </si>
  <si>
    <t>Disclaimer</t>
  </si>
  <si>
    <t xml:space="preserve">This tool is FREEWARE and is distributed free of charge by the University of Strathclyde and the Campbell Palmer Partnership Ltd. </t>
  </si>
  <si>
    <t>Click here to start</t>
  </si>
  <si>
    <r>
      <t xml:space="preserve">This tool was developed by </t>
    </r>
    <r>
      <rPr>
        <b/>
        <sz val="14"/>
        <color indexed="60"/>
        <rFont val="Arial"/>
        <family val="2"/>
      </rPr>
      <t>Lucas Lira</t>
    </r>
    <r>
      <rPr>
        <b/>
        <sz val="14"/>
        <color indexed="8"/>
        <rFont val="Arial"/>
        <family val="2"/>
      </rPr>
      <t xml:space="preserve">, </t>
    </r>
    <r>
      <rPr>
        <b/>
        <sz val="14"/>
        <color indexed="60"/>
        <rFont val="Arial"/>
        <family val="2"/>
      </rPr>
      <t>Panagiotis Seferis</t>
    </r>
    <r>
      <rPr>
        <b/>
        <sz val="14"/>
        <color indexed="8"/>
        <rFont val="Arial"/>
        <family val="2"/>
      </rPr>
      <t xml:space="preserve"> and </t>
    </r>
    <r>
      <rPr>
        <b/>
        <sz val="14"/>
        <color indexed="60"/>
        <rFont val="Arial"/>
        <family val="2"/>
      </rPr>
      <t>Radek Kaczorowski</t>
    </r>
    <r>
      <rPr>
        <b/>
        <sz val="14"/>
        <color indexed="8"/>
        <rFont val="Arial"/>
        <family val="2"/>
      </rPr>
      <t xml:space="preserve"> for a MSc group project at the University of Strathclyde.  The work was supported by David Palmer of the Campbell Palmer Partnership Ltd who provided industrial supervision for the project.</t>
    </r>
  </si>
  <si>
    <t>Source - CIBSE guide</t>
  </si>
  <si>
    <t>Source - MetOffice</t>
  </si>
  <si>
    <t>Correction Factors - Source: CIBSE guide</t>
  </si>
  <si>
    <t>HWS - McMullan, R. "Environmental Science in Building" . 6th edition</t>
  </si>
  <si>
    <t>Click here to access our web page</t>
  </si>
</sst>
</file>

<file path=xl/styles.xml><?xml version="1.0" encoding="utf-8"?>
<styleSheet xmlns="http://schemas.openxmlformats.org/spreadsheetml/2006/main">
  <numFmts count="7">
    <numFmt numFmtId="43" formatCode="_-* #,##0.00_-;\-* #,##0.00_-;_-* &quot;-&quot;??_-;_-@_-"/>
    <numFmt numFmtId="164" formatCode="0.000"/>
    <numFmt numFmtId="165" formatCode="0.00000"/>
    <numFmt numFmtId="166" formatCode="0.0"/>
    <numFmt numFmtId="167" formatCode="0.0000"/>
    <numFmt numFmtId="168" formatCode="#,##0.000"/>
    <numFmt numFmtId="169" formatCode="#,##0_ ;\-#,##0\ "/>
  </numFmts>
  <fonts count="148">
    <font>
      <sz val="11"/>
      <color theme="1"/>
      <name val="Calibri"/>
      <family val="2"/>
      <scheme val="minor"/>
    </font>
    <font>
      <sz val="11"/>
      <color indexed="8"/>
      <name val="Calibri"/>
      <family val="2"/>
    </font>
    <font>
      <sz val="11"/>
      <color indexed="60"/>
      <name val="Calibri"/>
      <family val="2"/>
    </font>
    <font>
      <sz val="11"/>
      <color indexed="29"/>
      <name val="Calibri"/>
      <family val="2"/>
    </font>
    <font>
      <b/>
      <sz val="11"/>
      <color indexed="8"/>
      <name val="Calibri"/>
      <family val="2"/>
    </font>
    <font>
      <sz val="11"/>
      <color indexed="31"/>
      <name val="Calibri"/>
      <family val="2"/>
    </font>
    <font>
      <b/>
      <sz val="11"/>
      <color indexed="10"/>
      <name val="Calibri"/>
      <family val="2"/>
    </font>
    <font>
      <b/>
      <sz val="11"/>
      <color indexed="60"/>
      <name val="Calibri"/>
      <family val="2"/>
    </font>
    <font>
      <i/>
      <sz val="7"/>
      <color indexed="8"/>
      <name val="Verdana"/>
      <family val="2"/>
    </font>
    <font>
      <b/>
      <sz val="12"/>
      <name val="Arial"/>
      <family val="2"/>
    </font>
    <font>
      <b/>
      <sz val="10"/>
      <name val="Arial"/>
      <family val="2"/>
    </font>
    <font>
      <b/>
      <i/>
      <sz val="12"/>
      <color indexed="10"/>
      <name val="Arial"/>
      <family val="2"/>
    </font>
    <font>
      <b/>
      <i/>
      <sz val="10"/>
      <name val="Arial"/>
      <family val="2"/>
    </font>
    <font>
      <vertAlign val="subscript"/>
      <sz val="10"/>
      <name val="Arial"/>
      <family val="2"/>
    </font>
    <font>
      <b/>
      <vertAlign val="subscript"/>
      <sz val="12"/>
      <name val="Arial"/>
      <family val="2"/>
    </font>
    <font>
      <b/>
      <sz val="10"/>
      <color indexed="60"/>
      <name val="Arial"/>
      <family val="2"/>
    </font>
    <font>
      <b/>
      <vertAlign val="subscript"/>
      <sz val="10"/>
      <color indexed="60"/>
      <name val="Arial"/>
      <family val="2"/>
    </font>
    <font>
      <b/>
      <vertAlign val="superscript"/>
      <sz val="10"/>
      <color indexed="60"/>
      <name val="Arial"/>
      <family val="2"/>
    </font>
    <font>
      <b/>
      <i/>
      <sz val="11"/>
      <color indexed="8"/>
      <name val="Calibri"/>
      <family val="2"/>
    </font>
    <font>
      <b/>
      <sz val="12"/>
      <color indexed="8"/>
      <name val="Calibri"/>
      <family val="2"/>
    </font>
    <font>
      <b/>
      <sz val="12"/>
      <name val="Calibri"/>
      <family val="2"/>
    </font>
    <font>
      <b/>
      <vertAlign val="subscript"/>
      <sz val="12"/>
      <name val="Calibri"/>
      <family val="2"/>
    </font>
    <font>
      <b/>
      <i/>
      <sz val="10"/>
      <color indexed="8"/>
      <name val="Arial"/>
      <family val="2"/>
    </font>
    <font>
      <b/>
      <u/>
      <sz val="12"/>
      <color indexed="60"/>
      <name val="Calibri"/>
      <family val="2"/>
    </font>
    <font>
      <sz val="11"/>
      <color indexed="9"/>
      <name val="Calibri"/>
      <family val="2"/>
    </font>
    <font>
      <sz val="11"/>
      <color indexed="8"/>
      <name val="Calibri"/>
      <family val="2"/>
    </font>
    <font>
      <sz val="8"/>
      <name val="Calibri"/>
      <family val="2"/>
    </font>
    <font>
      <sz val="11"/>
      <name val="Calibri"/>
      <family val="2"/>
    </font>
    <font>
      <b/>
      <sz val="12"/>
      <color indexed="55"/>
      <name val="Arial"/>
      <family val="2"/>
    </font>
    <font>
      <sz val="11"/>
      <color indexed="9"/>
      <name val="Calibri"/>
      <family val="2"/>
    </font>
    <font>
      <b/>
      <u/>
      <sz val="14"/>
      <color indexed="8"/>
      <name val="Calibri"/>
      <family val="2"/>
    </font>
    <font>
      <sz val="11"/>
      <color indexed="60"/>
      <name val="Calibri"/>
      <family val="2"/>
    </font>
    <font>
      <b/>
      <sz val="10"/>
      <color indexed="60"/>
      <name val="Arial"/>
      <family val="2"/>
    </font>
    <font>
      <b/>
      <i/>
      <u/>
      <sz val="11"/>
      <color indexed="8"/>
      <name val="Calibri"/>
      <family val="2"/>
    </font>
    <font>
      <u/>
      <sz val="11"/>
      <color indexed="9"/>
      <name val="Calibri"/>
      <family val="2"/>
    </font>
    <font>
      <b/>
      <u/>
      <sz val="20"/>
      <color indexed="8"/>
      <name val="Calibri"/>
      <family val="2"/>
    </font>
    <font>
      <sz val="11"/>
      <color indexed="8"/>
      <name val="Verdana"/>
      <family val="2"/>
    </font>
    <font>
      <u/>
      <sz val="11"/>
      <color indexed="60"/>
      <name val="Calibri"/>
      <family val="2"/>
    </font>
    <font>
      <b/>
      <sz val="11"/>
      <color indexed="10"/>
      <name val="Calibri"/>
      <family val="2"/>
    </font>
    <font>
      <b/>
      <sz val="11"/>
      <color indexed="8"/>
      <name val="Arial"/>
      <family val="2"/>
    </font>
    <font>
      <b/>
      <i/>
      <sz val="14"/>
      <color indexed="9"/>
      <name val="Arial"/>
      <family val="2"/>
    </font>
    <font>
      <sz val="11"/>
      <color indexed="8"/>
      <name val="Arial"/>
      <family val="2"/>
    </font>
    <font>
      <u/>
      <sz val="20"/>
      <color indexed="8"/>
      <name val="Arial"/>
      <family val="2"/>
    </font>
    <font>
      <b/>
      <i/>
      <sz val="12"/>
      <color indexed="8"/>
      <name val="Arial"/>
      <family val="2"/>
    </font>
    <font>
      <u/>
      <sz val="11"/>
      <color indexed="12"/>
      <name val="Arial"/>
      <family val="2"/>
    </font>
    <font>
      <b/>
      <i/>
      <u/>
      <sz val="14"/>
      <color indexed="8"/>
      <name val="Arial"/>
      <family val="2"/>
    </font>
    <font>
      <sz val="11"/>
      <color indexed="56"/>
      <name val="Arial"/>
      <family val="2"/>
    </font>
    <font>
      <sz val="11"/>
      <color indexed="10"/>
      <name val="Arial"/>
      <family val="2"/>
    </font>
    <font>
      <sz val="11"/>
      <color indexed="57"/>
      <name val="Arial"/>
      <family val="2"/>
    </font>
    <font>
      <b/>
      <sz val="12"/>
      <color indexed="8"/>
      <name val="Arial"/>
      <family val="2"/>
    </font>
    <font>
      <b/>
      <i/>
      <sz val="11"/>
      <color indexed="8"/>
      <name val="Arial"/>
      <family val="2"/>
    </font>
    <font>
      <sz val="12"/>
      <color indexed="8"/>
      <name val="Arial"/>
      <family val="2"/>
    </font>
    <font>
      <b/>
      <sz val="11"/>
      <color indexed="56"/>
      <name val="Arial"/>
      <family val="2"/>
    </font>
    <font>
      <b/>
      <sz val="11"/>
      <color indexed="60"/>
      <name val="Arial"/>
      <family val="2"/>
    </font>
    <font>
      <b/>
      <sz val="11"/>
      <color indexed="57"/>
      <name val="Arial"/>
      <family val="2"/>
    </font>
    <font>
      <b/>
      <i/>
      <u/>
      <sz val="11"/>
      <color indexed="8"/>
      <name val="Arial"/>
      <family val="2"/>
    </font>
    <font>
      <u/>
      <sz val="11"/>
      <color indexed="8"/>
      <name val="Arial"/>
      <family val="2"/>
    </font>
    <font>
      <i/>
      <u/>
      <sz val="11"/>
      <color indexed="8"/>
      <name val="Arial"/>
      <family val="2"/>
    </font>
    <font>
      <i/>
      <sz val="11"/>
      <color indexed="8"/>
      <name val="Arial"/>
      <family val="2"/>
    </font>
    <font>
      <b/>
      <i/>
      <sz val="11"/>
      <color indexed="10"/>
      <name val="Arial"/>
      <family val="2"/>
    </font>
    <font>
      <sz val="11"/>
      <color indexed="60"/>
      <name val="Arial"/>
      <family val="2"/>
    </font>
    <font>
      <u/>
      <sz val="11"/>
      <color indexed="60"/>
      <name val="Arial"/>
      <family val="2"/>
    </font>
    <font>
      <i/>
      <sz val="11"/>
      <color indexed="10"/>
      <name val="Arial"/>
      <family val="2"/>
    </font>
    <font>
      <b/>
      <u/>
      <sz val="11"/>
      <color indexed="8"/>
      <name val="Arial"/>
      <family val="2"/>
    </font>
    <font>
      <b/>
      <sz val="9"/>
      <color indexed="10"/>
      <name val="Arial"/>
      <family val="2"/>
    </font>
    <font>
      <sz val="11"/>
      <color indexed="9"/>
      <name val="Arial"/>
      <family val="2"/>
    </font>
    <font>
      <sz val="11"/>
      <color indexed="22"/>
      <name val="Arial"/>
      <family val="2"/>
    </font>
    <font>
      <sz val="11"/>
      <name val="Arial"/>
      <family val="2"/>
    </font>
    <font>
      <b/>
      <i/>
      <u/>
      <sz val="14"/>
      <color indexed="60"/>
      <name val="Arial"/>
      <family val="2"/>
    </font>
    <font>
      <u/>
      <sz val="11"/>
      <color indexed="10"/>
      <name val="Arial"/>
      <family val="2"/>
    </font>
    <font>
      <b/>
      <i/>
      <u/>
      <sz val="10"/>
      <color indexed="60"/>
      <name val="Arial"/>
      <family val="2"/>
    </font>
    <font>
      <b/>
      <u/>
      <sz val="22"/>
      <color indexed="60"/>
      <name val="Arial"/>
      <family val="2"/>
    </font>
    <font>
      <b/>
      <i/>
      <sz val="14"/>
      <color indexed="60"/>
      <name val="Arial"/>
      <family val="2"/>
    </font>
    <font>
      <b/>
      <u/>
      <sz val="16"/>
      <color indexed="8"/>
      <name val="Arial"/>
      <family val="2"/>
    </font>
    <font>
      <sz val="8"/>
      <color indexed="8"/>
      <name val="Arial"/>
      <family val="2"/>
    </font>
    <font>
      <b/>
      <sz val="14"/>
      <color indexed="60"/>
      <name val="Arial"/>
      <family val="2"/>
    </font>
    <font>
      <b/>
      <i/>
      <u/>
      <sz val="12"/>
      <color indexed="10"/>
      <name val="Arial"/>
      <family val="2"/>
    </font>
    <font>
      <sz val="11"/>
      <color indexed="29"/>
      <name val="Arial"/>
      <family val="2"/>
    </font>
    <font>
      <sz val="11"/>
      <color indexed="18"/>
      <name val="Arial"/>
      <family val="2"/>
    </font>
    <font>
      <sz val="11"/>
      <color indexed="31"/>
      <name val="Arial"/>
      <family val="2"/>
    </font>
    <font>
      <b/>
      <sz val="11"/>
      <color indexed="9"/>
      <name val="Arial"/>
      <family val="2"/>
    </font>
    <font>
      <i/>
      <sz val="8"/>
      <color indexed="8"/>
      <name val="Arial"/>
      <family val="2"/>
    </font>
    <font>
      <i/>
      <sz val="7"/>
      <color indexed="8"/>
      <name val="Arial"/>
      <family val="2"/>
    </font>
    <font>
      <b/>
      <u/>
      <sz val="20"/>
      <color indexed="8"/>
      <name val="Arial"/>
      <family val="2"/>
    </font>
    <font>
      <sz val="10"/>
      <color indexed="8"/>
      <name val="Arial"/>
      <family val="2"/>
    </font>
    <font>
      <sz val="11"/>
      <name val="Arial"/>
      <family val="2"/>
      <charset val="238"/>
    </font>
    <font>
      <b/>
      <sz val="11"/>
      <name val="Arial"/>
      <family val="2"/>
      <charset val="238"/>
    </font>
    <font>
      <b/>
      <u/>
      <sz val="20"/>
      <name val="Arial"/>
      <family val="2"/>
      <charset val="238"/>
    </font>
    <font>
      <sz val="11"/>
      <color indexed="8"/>
      <name val="Calibri"/>
      <family val="2"/>
      <charset val="238"/>
    </font>
    <font>
      <sz val="11"/>
      <color indexed="10"/>
      <name val="Calibri"/>
      <family val="2"/>
      <charset val="238"/>
    </font>
    <font>
      <b/>
      <sz val="11"/>
      <name val="Arial"/>
      <family val="2"/>
    </font>
    <font>
      <sz val="9.35"/>
      <color indexed="8"/>
      <name val="Arial"/>
      <family val="2"/>
    </font>
    <font>
      <b/>
      <sz val="16"/>
      <name val="Calibri"/>
      <family val="2"/>
    </font>
    <font>
      <sz val="10"/>
      <name val="Arial"/>
      <family val="2"/>
      <charset val="238"/>
    </font>
    <font>
      <b/>
      <sz val="14"/>
      <color indexed="8"/>
      <name val="Arial"/>
      <family val="2"/>
    </font>
    <font>
      <sz val="11"/>
      <color theme="0"/>
      <name val="Calibri"/>
      <family val="2"/>
      <scheme val="minor"/>
    </font>
    <font>
      <u/>
      <sz val="11"/>
      <color theme="10"/>
      <name val="Calibri"/>
      <family val="2"/>
    </font>
    <font>
      <sz val="11"/>
      <color rgb="FFFF0000"/>
      <name val="Calibri"/>
      <family val="2"/>
      <scheme val="minor"/>
    </font>
    <font>
      <b/>
      <sz val="11"/>
      <color theme="1"/>
      <name val="Calibri"/>
      <family val="2"/>
      <scheme val="minor"/>
    </font>
    <font>
      <sz val="11"/>
      <color theme="1"/>
      <name val="Arial"/>
      <family val="2"/>
    </font>
    <font>
      <u/>
      <sz val="11"/>
      <color theme="10"/>
      <name val="Arial"/>
      <family val="2"/>
    </font>
    <font>
      <b/>
      <u/>
      <sz val="20"/>
      <color theme="1"/>
      <name val="Calibri"/>
      <family val="2"/>
      <scheme val="minor"/>
    </font>
    <font>
      <u/>
      <sz val="20"/>
      <color theme="1"/>
      <name val="Calibri"/>
      <family val="2"/>
      <scheme val="minor"/>
    </font>
    <font>
      <i/>
      <sz val="14"/>
      <color theme="1"/>
      <name val="Calibri"/>
      <family val="2"/>
      <scheme val="minor"/>
    </font>
    <font>
      <b/>
      <i/>
      <sz val="11"/>
      <color theme="1"/>
      <name val="Calibri"/>
      <family val="2"/>
      <scheme val="minor"/>
    </font>
    <font>
      <i/>
      <sz val="11"/>
      <color theme="1"/>
      <name val="Calibri"/>
      <family val="2"/>
      <scheme val="minor"/>
    </font>
    <font>
      <sz val="11"/>
      <color rgb="FFFF0000"/>
      <name val="Arial"/>
      <family val="2"/>
    </font>
    <font>
      <sz val="11"/>
      <color theme="0"/>
      <name val="Arial"/>
      <family val="2"/>
    </font>
    <font>
      <b/>
      <sz val="11"/>
      <color theme="1"/>
      <name val="Arial"/>
      <family val="2"/>
    </font>
    <font>
      <b/>
      <sz val="11"/>
      <color rgb="FF993300"/>
      <name val="Arial"/>
      <family val="2"/>
    </font>
    <font>
      <b/>
      <u/>
      <sz val="11"/>
      <color theme="1"/>
      <name val="Arial"/>
      <family val="2"/>
    </font>
    <font>
      <sz val="11"/>
      <color theme="0"/>
      <name val="Calibri"/>
      <family val="2"/>
    </font>
    <font>
      <i/>
      <sz val="14"/>
      <color theme="1"/>
      <name val="Arial"/>
      <family val="2"/>
    </font>
    <font>
      <b/>
      <i/>
      <sz val="11"/>
      <color theme="1"/>
      <name val="Arial"/>
      <family val="2"/>
    </font>
    <font>
      <i/>
      <sz val="11"/>
      <color theme="1"/>
      <name val="Arial"/>
      <family val="2"/>
    </font>
    <font>
      <b/>
      <sz val="11"/>
      <color rgb="FFFF0000"/>
      <name val="Arial"/>
      <family val="2"/>
    </font>
    <font>
      <i/>
      <sz val="11"/>
      <color rgb="FFFF0000"/>
      <name val="Arial"/>
      <family val="2"/>
    </font>
    <font>
      <b/>
      <sz val="11"/>
      <color rgb="FFFFFF99"/>
      <name val="Arial"/>
      <family val="2"/>
    </font>
    <font>
      <sz val="12"/>
      <color theme="1"/>
      <name val="Arial"/>
      <family val="2"/>
    </font>
    <font>
      <b/>
      <i/>
      <sz val="11"/>
      <color rgb="FFC00000"/>
      <name val="Arial"/>
      <family val="2"/>
    </font>
    <font>
      <b/>
      <sz val="11"/>
      <color rgb="FFC00000"/>
      <name val="Arial"/>
      <family val="2"/>
    </font>
    <font>
      <sz val="10"/>
      <color theme="1"/>
      <name val="Arial"/>
      <family val="2"/>
    </font>
    <font>
      <b/>
      <sz val="12"/>
      <color theme="1"/>
      <name val="Calibri"/>
      <family val="2"/>
      <scheme val="minor"/>
    </font>
    <font>
      <b/>
      <sz val="14"/>
      <color theme="1"/>
      <name val="Calibri"/>
      <family val="2"/>
      <scheme val="minor"/>
    </font>
    <font>
      <b/>
      <sz val="14"/>
      <color theme="0"/>
      <name val="Calibri"/>
      <family val="2"/>
      <scheme val="minor"/>
    </font>
    <font>
      <sz val="11"/>
      <color rgb="FFFFFF99"/>
      <name val="Arial"/>
      <family val="2"/>
    </font>
    <font>
      <b/>
      <i/>
      <sz val="11"/>
      <color rgb="FFFF0000"/>
      <name val="Calibri"/>
      <family val="2"/>
      <scheme val="minor"/>
    </font>
    <font>
      <b/>
      <sz val="11"/>
      <color theme="0"/>
      <name val="Arial"/>
      <family val="2"/>
    </font>
    <font>
      <b/>
      <sz val="18"/>
      <color rgb="FF993300"/>
      <name val="Arial"/>
      <family val="2"/>
    </font>
    <font>
      <b/>
      <u/>
      <sz val="26"/>
      <color rgb="FF993300"/>
      <name val="Arial"/>
      <family val="2"/>
    </font>
    <font>
      <b/>
      <sz val="26"/>
      <color rgb="FF993300"/>
      <name val="Arial"/>
      <family val="2"/>
    </font>
    <font>
      <b/>
      <sz val="14"/>
      <color theme="1"/>
      <name val="Arial"/>
      <family val="2"/>
    </font>
    <font>
      <b/>
      <i/>
      <sz val="14"/>
      <color rgb="FF993300"/>
      <name val="Calibri"/>
      <family val="2"/>
      <scheme val="minor"/>
    </font>
    <font>
      <sz val="11"/>
      <color theme="3" tint="-0.499984740745262"/>
      <name val="Calibri"/>
      <family val="2"/>
    </font>
    <font>
      <u/>
      <sz val="11"/>
      <color theme="3" tint="-0.499984740745262"/>
      <name val="Calibri"/>
      <family val="2"/>
    </font>
    <font>
      <b/>
      <u/>
      <sz val="20"/>
      <color theme="1"/>
      <name val="Arial"/>
      <family val="2"/>
    </font>
    <font>
      <b/>
      <u/>
      <sz val="12"/>
      <color rgb="FFFF0000"/>
      <name val="Arial"/>
      <family val="2"/>
    </font>
    <font>
      <b/>
      <sz val="12"/>
      <color theme="0"/>
      <name val="Arial"/>
      <family val="2"/>
    </font>
    <font>
      <b/>
      <u/>
      <sz val="11"/>
      <color theme="0"/>
      <name val="Arial"/>
      <family val="2"/>
    </font>
    <font>
      <b/>
      <sz val="11"/>
      <name val="Calibri"/>
      <family val="2"/>
      <scheme val="minor"/>
    </font>
    <font>
      <b/>
      <sz val="14"/>
      <color theme="0"/>
      <name val="Calibri"/>
      <family val="2"/>
    </font>
    <font>
      <sz val="11"/>
      <name val="Calibri"/>
      <family val="2"/>
      <scheme val="minor"/>
    </font>
    <font>
      <b/>
      <sz val="11"/>
      <color theme="0"/>
      <name val="Calibri"/>
      <family val="2"/>
    </font>
    <font>
      <i/>
      <sz val="10"/>
      <color theme="1"/>
      <name val="Calibri"/>
      <family val="2"/>
      <scheme val="minor"/>
    </font>
    <font>
      <b/>
      <sz val="12"/>
      <color rgb="FFFF0000"/>
      <name val="Arial"/>
      <family val="2"/>
    </font>
    <font>
      <b/>
      <sz val="12"/>
      <color theme="0"/>
      <name val="Calibri"/>
      <family val="2"/>
    </font>
    <font>
      <b/>
      <sz val="16"/>
      <color theme="0"/>
      <name val="Calibri"/>
      <family val="2"/>
    </font>
    <font>
      <i/>
      <sz val="10"/>
      <color theme="1"/>
      <name val="Arial"/>
      <family val="2"/>
    </font>
  </fonts>
  <fills count="33">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23"/>
        <bgColor indexed="64"/>
      </patternFill>
    </fill>
    <fill>
      <patternFill patternType="solid">
        <fgColor indexed="9"/>
        <bgColor indexed="26"/>
      </patternFill>
    </fill>
    <fill>
      <patternFill patternType="solid">
        <fgColor indexed="23"/>
        <bgColor indexed="55"/>
      </patternFill>
    </fill>
    <fill>
      <patternFill patternType="solid">
        <fgColor indexed="43"/>
        <bgColor indexed="26"/>
      </patternFill>
    </fill>
    <fill>
      <patternFill patternType="solid">
        <fgColor indexed="51"/>
        <bgColor indexed="13"/>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tint="-0.49998474074526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C00"/>
        <bgColor indexed="64"/>
      </patternFill>
    </fill>
    <fill>
      <patternFill patternType="solid">
        <fgColor theme="0" tint="-0.499984740745262"/>
        <bgColor indexed="55"/>
      </patternFill>
    </fill>
    <fill>
      <patternFill patternType="solid">
        <fgColor theme="0" tint="-0.499984740745262"/>
        <bgColor indexed="26"/>
      </patternFill>
    </fill>
    <fill>
      <patternFill patternType="solid">
        <fgColor rgb="FFFFFF00"/>
        <bgColor indexed="64"/>
      </patternFill>
    </fill>
    <fill>
      <patternFill patternType="solid">
        <fgColor rgb="FFC00000"/>
        <bgColor indexed="64"/>
      </patternFill>
    </fill>
    <fill>
      <patternFill patternType="solid">
        <fgColor rgb="FF993300"/>
        <bgColor indexed="64"/>
      </patternFill>
    </fill>
    <fill>
      <patternFill patternType="solid">
        <fgColor rgb="FF00B050"/>
        <bgColor indexed="64"/>
      </patternFill>
    </fill>
    <fill>
      <patternFill patternType="solid">
        <fgColor rgb="FFC0C0C0"/>
        <bgColor indexed="64"/>
      </patternFill>
    </fill>
    <fill>
      <patternFill patternType="solid">
        <fgColor rgb="FF993300"/>
        <bgColor indexed="26"/>
      </patternFill>
    </fill>
    <fill>
      <patternFill patternType="solid">
        <fgColor theme="0"/>
        <bgColor indexed="26"/>
      </patternFill>
    </fill>
  </fills>
  <borders count="153">
    <border>
      <left/>
      <right/>
      <top/>
      <bottom/>
      <diagonal/>
    </border>
    <border>
      <left/>
      <right/>
      <top/>
      <bottom style="thin">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thick">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right/>
      <top/>
      <bottom style="thick">
        <color indexed="6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ck">
        <color indexed="60"/>
      </left>
      <right style="thick">
        <color indexed="60"/>
      </right>
      <top style="thick">
        <color indexed="60"/>
      </top>
      <bottom style="thick">
        <color indexed="60"/>
      </bottom>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ck">
        <color indexed="8"/>
      </left>
      <right style="thin">
        <color indexed="8"/>
      </right>
      <top style="thin">
        <color indexed="8"/>
      </top>
      <bottom style="hair">
        <color indexed="8"/>
      </bottom>
      <diagonal/>
    </border>
    <border>
      <left style="medium">
        <color indexed="8"/>
      </left>
      <right style="medium">
        <color indexed="8"/>
      </right>
      <top/>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ck">
        <color indexed="8"/>
      </top>
      <bottom/>
      <diagonal/>
    </border>
    <border>
      <left/>
      <right style="thick">
        <color indexed="8"/>
      </right>
      <top/>
      <bottom/>
      <diagonal/>
    </border>
    <border>
      <left/>
      <right style="thin">
        <color indexed="8"/>
      </right>
      <top/>
      <bottom/>
      <diagonal/>
    </border>
    <border>
      <left style="thin">
        <color indexed="8"/>
      </left>
      <right/>
      <top style="thick">
        <color indexed="8"/>
      </top>
      <bottom/>
      <diagonal/>
    </border>
    <border>
      <left style="thin">
        <color indexed="8"/>
      </left>
      <right style="thin">
        <color indexed="8"/>
      </right>
      <top/>
      <bottom style="thin">
        <color indexed="8"/>
      </bottom>
      <diagonal/>
    </border>
    <border>
      <left/>
      <right/>
      <top/>
      <bottom style="double">
        <color indexed="8"/>
      </bottom>
      <diagonal/>
    </border>
    <border>
      <left style="thin">
        <color indexed="8"/>
      </left>
      <right style="thick">
        <color indexed="8"/>
      </right>
      <top style="thin">
        <color indexed="8"/>
      </top>
      <bottom/>
      <diagonal/>
    </border>
    <border>
      <left/>
      <right style="medium">
        <color indexed="8"/>
      </right>
      <top style="medium">
        <color indexed="8"/>
      </top>
      <bottom/>
      <diagonal/>
    </border>
    <border>
      <left style="hair">
        <color indexed="8"/>
      </left>
      <right style="thin">
        <color indexed="8"/>
      </right>
      <top style="thick">
        <color indexed="8"/>
      </top>
      <bottom style="thin">
        <color indexed="8"/>
      </bottom>
      <diagonal/>
    </border>
    <border>
      <left/>
      <right/>
      <top style="medium">
        <color indexed="8"/>
      </top>
      <bottom/>
      <diagonal/>
    </border>
    <border>
      <left style="medium">
        <color indexed="8"/>
      </left>
      <right/>
      <top style="medium">
        <color indexed="8"/>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indexed="60"/>
      </top>
      <bottom style="thick">
        <color indexed="60"/>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ck">
        <color indexed="8"/>
      </left>
      <right/>
      <top style="thin">
        <color indexed="8"/>
      </top>
      <bottom/>
      <diagonal/>
    </border>
    <border>
      <left style="thick">
        <color indexed="8"/>
      </left>
      <right/>
      <top style="thin">
        <color indexed="8"/>
      </top>
      <bottom style="thick">
        <color indexed="8"/>
      </bottom>
      <diagonal/>
    </border>
    <border>
      <left/>
      <right/>
      <top/>
      <bottom style="thick">
        <color indexed="8"/>
      </bottom>
      <diagonal/>
    </border>
    <border>
      <left/>
      <right style="hair">
        <color indexed="8"/>
      </right>
      <top style="hair">
        <color indexed="8"/>
      </top>
      <bottom/>
      <diagonal/>
    </border>
    <border>
      <left/>
      <right style="thin">
        <color indexed="8"/>
      </right>
      <top style="thin">
        <color indexed="8"/>
      </top>
      <bottom style="thick">
        <color indexed="8"/>
      </bottom>
      <diagonal/>
    </border>
    <border>
      <left style="hair">
        <color indexed="8"/>
      </left>
      <right style="hair">
        <color indexed="8"/>
      </right>
      <top style="hair">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ck">
        <color indexed="60"/>
      </left>
      <right/>
      <top style="thick">
        <color indexed="60"/>
      </top>
      <bottom style="thick">
        <color indexed="60"/>
      </bottom>
      <diagonal/>
    </border>
    <border>
      <left/>
      <right style="thick">
        <color indexed="60"/>
      </right>
      <top style="thick">
        <color indexed="60"/>
      </top>
      <bottom style="thick">
        <color indexed="60"/>
      </bottom>
      <diagonal/>
    </border>
    <border>
      <left/>
      <right style="thin">
        <color indexed="8"/>
      </right>
      <top/>
      <bottom style="thick">
        <color indexed="8"/>
      </bottom>
      <diagonal/>
    </border>
    <border>
      <left style="thin">
        <color indexed="8"/>
      </left>
      <right/>
      <top/>
      <bottom style="thick">
        <color indexed="8"/>
      </bottom>
      <diagonal/>
    </border>
    <border>
      <left style="thin">
        <color indexed="8"/>
      </left>
      <right style="thin">
        <color indexed="8"/>
      </right>
      <top style="thick">
        <color indexed="8"/>
      </top>
      <bottom style="thick">
        <color indexed="8"/>
      </bottom>
      <diagonal/>
    </border>
    <border>
      <left style="hair">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right style="hair">
        <color indexed="8"/>
      </right>
      <top style="hair">
        <color indexed="8"/>
      </top>
      <bottom style="hair">
        <color indexed="8"/>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64"/>
      </left>
      <right style="thin">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s>
  <cellStyleXfs count="4">
    <xf numFmtId="0" fontId="0" fillId="0" borderId="0"/>
    <xf numFmtId="0" fontId="96" fillId="0" borderId="0" applyNumberFormat="0" applyFill="0" applyBorder="0" applyAlignment="0" applyProtection="0">
      <alignment vertical="top"/>
      <protection locked="0"/>
    </xf>
    <xf numFmtId="0" fontId="1" fillId="0" borderId="0"/>
    <xf numFmtId="43" fontId="25" fillId="0" borderId="0" applyFont="0" applyFill="0" applyBorder="0" applyAlignment="0" applyProtection="0"/>
  </cellStyleXfs>
  <cellXfs count="1582">
    <xf numFmtId="0" fontId="0" fillId="0" borderId="0" xfId="0"/>
    <xf numFmtId="0" fontId="0" fillId="2" borderId="0" xfId="0" applyFill="1"/>
    <xf numFmtId="0" fontId="0" fillId="3" borderId="0" xfId="0" applyFill="1"/>
    <xf numFmtId="0" fontId="0" fillId="3" borderId="0" xfId="0" applyFill="1" applyBorder="1" applyAlignment="1"/>
    <xf numFmtId="0" fontId="0" fillId="3" borderId="0" xfId="0" applyFill="1" applyBorder="1"/>
    <xf numFmtId="0" fontId="2" fillId="3" borderId="0" xfId="0" applyFont="1" applyFill="1" applyBorder="1" applyAlignment="1">
      <alignment horizontal="center"/>
    </xf>
    <xf numFmtId="0" fontId="7" fillId="3" borderId="0" xfId="0" applyFont="1" applyFill="1" applyBorder="1" applyAlignment="1">
      <alignment vertical="center"/>
    </xf>
    <xf numFmtId="0" fontId="0" fillId="3" borderId="1" xfId="0" applyFill="1" applyBorder="1"/>
    <xf numFmtId="0" fontId="4" fillId="3" borderId="0" xfId="0" applyFont="1" applyFill="1" applyBorder="1" applyAlignment="1">
      <alignment horizontal="center"/>
    </xf>
    <xf numFmtId="0" fontId="0" fillId="3" borderId="2" xfId="0" applyFill="1" applyBorder="1"/>
    <xf numFmtId="0" fontId="0" fillId="0" borderId="2" xfId="0" applyBorder="1"/>
    <xf numFmtId="0" fontId="0" fillId="3" borderId="3" xfId="0" applyFill="1" applyBorder="1"/>
    <xf numFmtId="0" fontId="0" fillId="3" borderId="3" xfId="0" applyFill="1" applyBorder="1" applyAlignment="1"/>
    <xf numFmtId="1" fontId="0" fillId="3" borderId="0" xfId="0" applyNumberFormat="1" applyFill="1" applyBorder="1" applyAlignment="1">
      <alignment horizontal="center"/>
    </xf>
    <xf numFmtId="0" fontId="18" fillId="3" borderId="2" xfId="0" applyFont="1" applyFill="1" applyBorder="1"/>
    <xf numFmtId="164" fontId="4" fillId="3" borderId="0" xfId="0" applyNumberFormat="1" applyFont="1" applyFill="1" applyBorder="1" applyAlignment="1">
      <alignment horizontal="center"/>
    </xf>
    <xf numFmtId="165" fontId="4" fillId="3" borderId="0" xfId="0" applyNumberFormat="1" applyFont="1" applyFill="1" applyBorder="1" applyAlignment="1">
      <alignment horizontal="center"/>
    </xf>
    <xf numFmtId="2" fontId="4" fillId="3" borderId="0" xfId="0" applyNumberFormat="1" applyFont="1" applyFill="1" applyBorder="1" applyAlignment="1">
      <alignment horizontal="center"/>
    </xf>
    <xf numFmtId="0" fontId="12" fillId="3" borderId="2" xfId="0" applyFont="1" applyFill="1" applyBorder="1" applyAlignment="1">
      <alignment horizontal="left"/>
    </xf>
    <xf numFmtId="164" fontId="0" fillId="3" borderId="2" xfId="0" applyNumberFormat="1" applyFill="1" applyBorder="1"/>
    <xf numFmtId="165" fontId="0" fillId="3" borderId="2" xfId="0" applyNumberFormat="1" applyFill="1" applyBorder="1"/>
    <xf numFmtId="0" fontId="12" fillId="3" borderId="2" xfId="0" applyFont="1" applyFill="1" applyBorder="1"/>
    <xf numFmtId="2" fontId="0" fillId="3" borderId="2" xfId="0" applyNumberFormat="1" applyFill="1" applyBorder="1"/>
    <xf numFmtId="0" fontId="22" fillId="3" borderId="2" xfId="0" applyFont="1"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0" fillId="3" borderId="8" xfId="0" applyFill="1" applyBorder="1"/>
    <xf numFmtId="0" fontId="0" fillId="3" borderId="9" xfId="0" applyFill="1" applyBorder="1"/>
    <xf numFmtId="0" fontId="0" fillId="0" borderId="10" xfId="0" applyBorder="1"/>
    <xf numFmtId="0" fontId="0" fillId="3" borderId="11" xfId="0" applyFill="1" applyBorder="1"/>
    <xf numFmtId="0" fontId="0" fillId="3" borderId="0" xfId="0" applyFill="1" applyBorder="1" applyAlignment="1">
      <alignment horizontal="center"/>
    </xf>
    <xf numFmtId="0" fontId="0" fillId="3" borderId="7" xfId="0" applyFill="1" applyBorder="1"/>
    <xf numFmtId="0" fontId="10" fillId="3" borderId="8" xfId="0" applyFont="1" applyFill="1" applyBorder="1"/>
    <xf numFmtId="0" fontId="0" fillId="3" borderId="12" xfId="0" applyFill="1" applyBorder="1"/>
    <xf numFmtId="0" fontId="9" fillId="3" borderId="0" xfId="0" applyFont="1" applyFill="1" applyBorder="1"/>
    <xf numFmtId="0" fontId="11" fillId="3" borderId="0" xfId="0" applyFont="1" applyFill="1" applyBorder="1"/>
    <xf numFmtId="0" fontId="4" fillId="3" borderId="0" xfId="0" applyFont="1" applyFill="1" applyBorder="1"/>
    <xf numFmtId="0" fontId="10" fillId="3" borderId="0" xfId="0" applyFont="1" applyFill="1" applyBorder="1" applyAlignment="1">
      <alignment horizontal="left" vertical="top"/>
    </xf>
    <xf numFmtId="0" fontId="10" fillId="3" borderId="0" xfId="0" applyFont="1" applyFill="1" applyBorder="1"/>
    <xf numFmtId="0" fontId="4" fillId="3" borderId="0" xfId="0" applyFont="1" applyFill="1" applyBorder="1" applyAlignment="1">
      <alignment horizontal="right"/>
    </xf>
    <xf numFmtId="0" fontId="10" fillId="3" borderId="0" xfId="0" applyFont="1" applyFill="1" applyBorder="1" applyAlignment="1">
      <alignment horizontal="left"/>
    </xf>
    <xf numFmtId="0" fontId="12" fillId="3" borderId="0" xfId="0" applyFont="1" applyFill="1" applyBorder="1" applyAlignment="1">
      <alignment horizontal="right"/>
    </xf>
    <xf numFmtId="164" fontId="0" fillId="3" borderId="0" xfId="0" applyNumberFormat="1" applyFill="1" applyBorder="1"/>
    <xf numFmtId="165" fontId="0" fillId="3" borderId="0" xfId="0" applyNumberFormat="1" applyFill="1" applyBorder="1"/>
    <xf numFmtId="2" fontId="0" fillId="3" borderId="0" xfId="0" applyNumberFormat="1" applyFill="1" applyBorder="1"/>
    <xf numFmtId="0" fontId="10" fillId="3" borderId="0" xfId="0" applyFont="1" applyFill="1" applyBorder="1" applyAlignment="1">
      <alignment horizontal="center"/>
    </xf>
    <xf numFmtId="0" fontId="0" fillId="3" borderId="10" xfId="0" applyFill="1" applyBorder="1"/>
    <xf numFmtId="0" fontId="0" fillId="0" borderId="0" xfId="0" applyFill="1" applyBorder="1"/>
    <xf numFmtId="0" fontId="0" fillId="0" borderId="11" xfId="0" applyBorder="1"/>
    <xf numFmtId="0" fontId="0" fillId="0" borderId="0" xfId="0" applyBorder="1"/>
    <xf numFmtId="0" fontId="0" fillId="0" borderId="9" xfId="0" applyBorder="1"/>
    <xf numFmtId="0" fontId="0" fillId="0" borderId="9" xfId="0" applyFill="1" applyBorder="1"/>
    <xf numFmtId="0" fontId="0" fillId="0" borderId="11" xfId="0" applyFill="1" applyBorder="1"/>
    <xf numFmtId="0" fontId="0" fillId="0" borderId="8" xfId="0" applyBorder="1"/>
    <xf numFmtId="0" fontId="0" fillId="0" borderId="12" xfId="0" applyBorder="1"/>
    <xf numFmtId="0" fontId="0" fillId="0" borderId="2" xfId="0" applyFill="1" applyBorder="1"/>
    <xf numFmtId="0" fontId="0" fillId="4" borderId="0" xfId="0" applyFill="1"/>
    <xf numFmtId="0" fontId="31" fillId="0" borderId="0" xfId="0" applyFont="1" applyBorder="1"/>
    <xf numFmtId="0" fontId="0" fillId="3" borderId="13" xfId="0" applyFill="1" applyBorder="1"/>
    <xf numFmtId="0" fontId="35" fillId="3" borderId="0" xfId="0" applyFont="1" applyFill="1" applyBorder="1"/>
    <xf numFmtId="0" fontId="36" fillId="0" borderId="0" xfId="0" applyFont="1" applyBorder="1"/>
    <xf numFmtId="0" fontId="6" fillId="3" borderId="0" xfId="0" applyFont="1" applyFill="1" applyBorder="1"/>
    <xf numFmtId="0" fontId="5" fillId="3" borderId="0" xfId="0" applyFont="1" applyFill="1" applyBorder="1"/>
    <xf numFmtId="0" fontId="30" fillId="0" borderId="0" xfId="0" applyFont="1" applyBorder="1"/>
    <xf numFmtId="0" fontId="37" fillId="0" borderId="0" xfId="1" applyFont="1" applyBorder="1" applyAlignment="1" applyProtection="1"/>
    <xf numFmtId="0" fontId="38" fillId="3" borderId="0" xfId="0" applyFont="1" applyFill="1" applyBorder="1"/>
    <xf numFmtId="0" fontId="38" fillId="3" borderId="8" xfId="0" applyFont="1" applyFill="1"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 xfId="0" applyBorder="1"/>
    <xf numFmtId="0" fontId="41" fillId="0" borderId="0" xfId="0" applyFont="1"/>
    <xf numFmtId="0" fontId="41" fillId="0" borderId="7" xfId="0" applyFont="1" applyBorder="1"/>
    <xf numFmtId="0" fontId="41" fillId="0" borderId="8" xfId="0" applyFont="1" applyBorder="1"/>
    <xf numFmtId="0" fontId="41" fillId="0" borderId="12" xfId="0" applyFont="1" applyFill="1" applyBorder="1"/>
    <xf numFmtId="0" fontId="41" fillId="0" borderId="3" xfId="0" applyFont="1" applyBorder="1"/>
    <xf numFmtId="0" fontId="41" fillId="0" borderId="0" xfId="0" applyFont="1" applyBorder="1"/>
    <xf numFmtId="0" fontId="42" fillId="0" borderId="0" xfId="0" applyFont="1" applyBorder="1"/>
    <xf numFmtId="0" fontId="41" fillId="0" borderId="9" xfId="0" applyFont="1" applyFill="1" applyBorder="1"/>
    <xf numFmtId="0" fontId="41" fillId="0" borderId="0" xfId="0" applyFont="1" applyFill="1" applyBorder="1"/>
    <xf numFmtId="2" fontId="41" fillId="0" borderId="0" xfId="0" applyNumberFormat="1" applyFont="1" applyFill="1" applyBorder="1" applyAlignment="1">
      <alignment horizontal="center"/>
    </xf>
    <xf numFmtId="0" fontId="44" fillId="0" borderId="0" xfId="1" applyFont="1" applyFill="1" applyBorder="1" applyAlignment="1" applyProtection="1"/>
    <xf numFmtId="0" fontId="41" fillId="0" borderId="0" xfId="0" applyFont="1" applyFill="1" applyBorder="1" applyAlignment="1">
      <alignment horizontal="center"/>
    </xf>
    <xf numFmtId="0" fontId="41" fillId="0" borderId="33" xfId="0" applyFont="1" applyFill="1" applyBorder="1"/>
    <xf numFmtId="2" fontId="41" fillId="0" borderId="33" xfId="0" applyNumberFormat="1" applyFont="1" applyFill="1" applyBorder="1" applyAlignment="1">
      <alignment horizontal="center"/>
    </xf>
    <xf numFmtId="0" fontId="41" fillId="0" borderId="33" xfId="0" applyFont="1" applyBorder="1"/>
    <xf numFmtId="0" fontId="41" fillId="0" borderId="33" xfId="0" applyFont="1" applyFill="1" applyBorder="1" applyAlignment="1">
      <alignment horizontal="center"/>
    </xf>
    <xf numFmtId="0" fontId="45" fillId="0" borderId="0" xfId="0" applyFont="1" applyFill="1" applyBorder="1"/>
    <xf numFmtId="1" fontId="41" fillId="0" borderId="0" xfId="0" applyNumberFormat="1" applyFont="1" applyFill="1" applyBorder="1" applyAlignment="1">
      <alignment horizontal="center"/>
    </xf>
    <xf numFmtId="0" fontId="41" fillId="0" borderId="12" xfId="0" applyFont="1" applyBorder="1"/>
    <xf numFmtId="0" fontId="41" fillId="0" borderId="9" xfId="0" applyFont="1" applyBorder="1"/>
    <xf numFmtId="0" fontId="49" fillId="0" borderId="0" xfId="0" applyFont="1" applyBorder="1" applyAlignment="1">
      <alignment horizontal="left"/>
    </xf>
    <xf numFmtId="0" fontId="51" fillId="0" borderId="0" xfId="0" applyFont="1" applyBorder="1" applyAlignment="1">
      <alignment horizontal="left"/>
    </xf>
    <xf numFmtId="0" fontId="41" fillId="0" borderId="2" xfId="0" applyFont="1" applyBorder="1"/>
    <xf numFmtId="0" fontId="41" fillId="0" borderId="11" xfId="0" applyFont="1" applyBorder="1"/>
    <xf numFmtId="0" fontId="41" fillId="0" borderId="0" xfId="0" applyFont="1" applyBorder="1" applyAlignment="1">
      <alignment horizontal="center"/>
    </xf>
    <xf numFmtId="4" fontId="41" fillId="0" borderId="0" xfId="0" applyNumberFormat="1" applyFont="1" applyFill="1" applyBorder="1"/>
    <xf numFmtId="4" fontId="39" fillId="0" borderId="0" xfId="0" applyNumberFormat="1" applyFont="1" applyFill="1" applyBorder="1"/>
    <xf numFmtId="0" fontId="55" fillId="0" borderId="0" xfId="0" applyFont="1" applyFill="1" applyBorder="1"/>
    <xf numFmtId="0" fontId="50" fillId="0" borderId="0" xfId="0" applyFont="1" applyFill="1" applyBorder="1"/>
    <xf numFmtId="0" fontId="41" fillId="0" borderId="10" xfId="0" applyFont="1" applyBorder="1"/>
    <xf numFmtId="0" fontId="41" fillId="0" borderId="2" xfId="0" applyFont="1" applyFill="1" applyBorder="1"/>
    <xf numFmtId="0" fontId="41" fillId="0" borderId="2" xfId="0" applyFont="1" applyFill="1" applyBorder="1" applyAlignment="1">
      <alignment horizontal="center"/>
    </xf>
    <xf numFmtId="0" fontId="41" fillId="0" borderId="11" xfId="0" applyFont="1" applyFill="1" applyBorder="1"/>
    <xf numFmtId="0" fontId="41" fillId="4" borderId="0" xfId="0" applyFont="1" applyFill="1"/>
    <xf numFmtId="0" fontId="41" fillId="0" borderId="8" xfId="0" applyFont="1" applyFill="1" applyBorder="1"/>
    <xf numFmtId="0" fontId="59" fillId="0" borderId="0" xfId="0" applyFont="1"/>
    <xf numFmtId="0" fontId="60" fillId="0" borderId="0" xfId="0" applyFont="1" applyBorder="1"/>
    <xf numFmtId="0" fontId="60" fillId="0" borderId="2" xfId="0" applyFont="1" applyBorder="1"/>
    <xf numFmtId="0" fontId="60" fillId="0" borderId="2" xfId="0" applyFont="1" applyFill="1" applyBorder="1"/>
    <xf numFmtId="0" fontId="60" fillId="0" borderId="0" xfId="0" applyFont="1" applyFill="1" applyBorder="1"/>
    <xf numFmtId="164" fontId="41" fillId="0" borderId="0" xfId="0" applyNumberFormat="1" applyFont="1" applyBorder="1"/>
    <xf numFmtId="0" fontId="62" fillId="0" borderId="0" xfId="0" applyFont="1" applyBorder="1"/>
    <xf numFmtId="0" fontId="63" fillId="0" borderId="0" xfId="0" applyFont="1" applyBorder="1"/>
    <xf numFmtId="0" fontId="39" fillId="0" borderId="0" xfId="0" applyFont="1" applyBorder="1" applyAlignment="1">
      <alignment horizontal="center"/>
    </xf>
    <xf numFmtId="0" fontId="63" fillId="0" borderId="34" xfId="0" applyFont="1" applyBorder="1"/>
    <xf numFmtId="0" fontId="41" fillId="0" borderId="13" xfId="0" applyFont="1" applyBorder="1"/>
    <xf numFmtId="0" fontId="64" fillId="0" borderId="0" xfId="0" applyFont="1" applyBorder="1" applyAlignment="1">
      <alignment horizontal="center"/>
    </xf>
    <xf numFmtId="0" fontId="41" fillId="0" borderId="0" xfId="0" applyFont="1" applyBorder="1" applyAlignment="1">
      <alignment horizontal="left"/>
    </xf>
    <xf numFmtId="0" fontId="65" fillId="3" borderId="0" xfId="0" applyFont="1" applyFill="1" applyBorder="1" applyAlignment="1">
      <alignment horizontal="center"/>
    </xf>
    <xf numFmtId="0" fontId="66" fillId="0" borderId="0" xfId="0" applyFont="1" applyBorder="1" applyAlignment="1">
      <alignment horizontal="center"/>
    </xf>
    <xf numFmtId="0" fontId="68" fillId="0" borderId="0" xfId="1" applyFont="1" applyFill="1" applyBorder="1" applyAlignment="1" applyProtection="1">
      <alignment vertical="center" wrapText="1"/>
    </xf>
    <xf numFmtId="0" fontId="41" fillId="3" borderId="0" xfId="0" applyFont="1" applyFill="1" applyBorder="1" applyAlignment="1">
      <alignment horizontal="center" vertical="center"/>
    </xf>
    <xf numFmtId="0" fontId="41" fillId="3" borderId="0" xfId="0" applyFont="1" applyFill="1" applyBorder="1" applyAlignment="1">
      <alignment horizontal="left" vertical="center"/>
    </xf>
    <xf numFmtId="2" fontId="47" fillId="0" borderId="35" xfId="0" applyNumberFormat="1" applyFont="1" applyFill="1" applyBorder="1" applyAlignment="1">
      <alignment vertical="center"/>
    </xf>
    <xf numFmtId="0" fontId="47" fillId="0" borderId="35" xfId="0" applyFont="1" applyFill="1" applyBorder="1" applyAlignment="1">
      <alignment vertical="center"/>
    </xf>
    <xf numFmtId="0" fontId="41" fillId="0" borderId="35" xfId="0" applyFont="1" applyFill="1" applyBorder="1" applyAlignment="1">
      <alignment vertical="center"/>
    </xf>
    <xf numFmtId="0" fontId="41" fillId="0" borderId="0" xfId="0" applyFont="1" applyFill="1" applyBorder="1" applyAlignment="1">
      <alignment vertical="center"/>
    </xf>
    <xf numFmtId="0" fontId="71" fillId="0" borderId="0" xfId="0" applyFont="1" applyBorder="1" applyAlignment="1">
      <alignment vertical="center"/>
    </xf>
    <xf numFmtId="0" fontId="72" fillId="0" borderId="0" xfId="0" applyFont="1" applyBorder="1"/>
    <xf numFmtId="4" fontId="41" fillId="0" borderId="0" xfId="0" applyNumberFormat="1" applyFont="1" applyAlignment="1"/>
    <xf numFmtId="0" fontId="41" fillId="3" borderId="3" xfId="0" applyFont="1" applyFill="1" applyBorder="1"/>
    <xf numFmtId="0" fontId="41" fillId="0" borderId="0" xfId="0" applyFont="1" applyFill="1" applyBorder="1" applyAlignment="1"/>
    <xf numFmtId="2" fontId="41" fillId="3" borderId="3" xfId="0" applyNumberFormat="1" applyFont="1" applyFill="1" applyBorder="1" applyAlignment="1">
      <alignment horizontal="center"/>
    </xf>
    <xf numFmtId="2" fontId="41" fillId="3" borderId="0" xfId="0" applyNumberFormat="1" applyFont="1" applyFill="1" applyBorder="1" applyAlignment="1">
      <alignment horizontal="center"/>
    </xf>
    <xf numFmtId="0" fontId="41" fillId="3" borderId="0" xfId="0" applyFont="1" applyFill="1" applyBorder="1"/>
    <xf numFmtId="0" fontId="41" fillId="3" borderId="0" xfId="0" applyFont="1" applyFill="1" applyBorder="1" applyAlignment="1"/>
    <xf numFmtId="0" fontId="41" fillId="5" borderId="7" xfId="0" applyFont="1" applyFill="1" applyBorder="1"/>
    <xf numFmtId="0" fontId="41" fillId="5" borderId="3" xfId="0" applyFont="1" applyFill="1" applyBorder="1"/>
    <xf numFmtId="0" fontId="41" fillId="5" borderId="12" xfId="0" applyFont="1" applyFill="1" applyBorder="1"/>
    <xf numFmtId="0" fontId="41" fillId="5" borderId="9" xfId="0" applyFont="1" applyFill="1" applyBorder="1"/>
    <xf numFmtId="0" fontId="41" fillId="5" borderId="36" xfId="0" applyFont="1" applyFill="1" applyBorder="1"/>
    <xf numFmtId="0" fontId="41" fillId="5" borderId="34" xfId="0" applyFont="1" applyFill="1" applyBorder="1" applyAlignment="1">
      <alignment horizontal="left"/>
    </xf>
    <xf numFmtId="0" fontId="41" fillId="5" borderId="13" xfId="0" applyFont="1" applyFill="1" applyBorder="1" applyAlignment="1">
      <alignment horizontal="left"/>
    </xf>
    <xf numFmtId="0" fontId="41" fillId="5" borderId="36" xfId="0" applyFont="1" applyFill="1" applyBorder="1" applyAlignment="1">
      <alignment horizontal="left"/>
    </xf>
    <xf numFmtId="0" fontId="41" fillId="5" borderId="34" xfId="0" applyFont="1" applyFill="1" applyBorder="1"/>
    <xf numFmtId="0" fontId="41" fillId="5" borderId="13" xfId="0" applyFont="1" applyFill="1" applyBorder="1"/>
    <xf numFmtId="0" fontId="56" fillId="5" borderId="34" xfId="0" applyFont="1" applyFill="1" applyBorder="1"/>
    <xf numFmtId="0" fontId="56" fillId="5" borderId="13" xfId="0" applyFont="1" applyFill="1" applyBorder="1"/>
    <xf numFmtId="0" fontId="56" fillId="5" borderId="13" xfId="0" applyFont="1" applyFill="1" applyBorder="1" applyAlignment="1">
      <alignment horizontal="center"/>
    </xf>
    <xf numFmtId="0" fontId="56" fillId="5" borderId="36" xfId="0" applyFont="1" applyFill="1" applyBorder="1"/>
    <xf numFmtId="0" fontId="41" fillId="5" borderId="22" xfId="0" applyFont="1" applyFill="1" applyBorder="1"/>
    <xf numFmtId="0" fontId="41" fillId="5" borderId="23" xfId="0" applyFont="1" applyFill="1" applyBorder="1"/>
    <xf numFmtId="0" fontId="41" fillId="5" borderId="6" xfId="0" applyFont="1" applyFill="1" applyBorder="1" applyAlignment="1">
      <alignment horizontal="center"/>
    </xf>
    <xf numFmtId="0" fontId="50" fillId="0" borderId="0" xfId="0" applyFont="1" applyBorder="1"/>
    <xf numFmtId="0" fontId="41" fillId="5" borderId="10" xfId="0" applyFont="1" applyFill="1" applyBorder="1"/>
    <xf numFmtId="0" fontId="39" fillId="5" borderId="3" xfId="0" applyFont="1" applyFill="1" applyBorder="1"/>
    <xf numFmtId="0" fontId="41" fillId="6" borderId="0" xfId="0" applyFont="1" applyFill="1"/>
    <xf numFmtId="0" fontId="0" fillId="5" borderId="0" xfId="0" applyFill="1"/>
    <xf numFmtId="0" fontId="0" fillId="5" borderId="7" xfId="0" applyFill="1" applyBorder="1"/>
    <xf numFmtId="0" fontId="4" fillId="5" borderId="3" xfId="0" applyFont="1" applyFill="1" applyBorder="1"/>
    <xf numFmtId="0" fontId="4" fillId="5" borderId="10" xfId="0" applyFont="1" applyFill="1" applyBorder="1"/>
    <xf numFmtId="0" fontId="0" fillId="5" borderId="8" xfId="0" applyFill="1" applyBorder="1"/>
    <xf numFmtId="0" fontId="10" fillId="5" borderId="37" xfId="0" applyFont="1" applyFill="1" applyBorder="1" applyAlignment="1">
      <alignment horizontal="center"/>
    </xf>
    <xf numFmtId="0" fontId="0" fillId="5" borderId="0" xfId="0" applyFill="1" applyBorder="1"/>
    <xf numFmtId="0" fontId="0" fillId="5" borderId="17" xfId="0" applyFill="1" applyBorder="1" applyAlignment="1">
      <alignment horizontal="center"/>
    </xf>
    <xf numFmtId="0" fontId="0" fillId="5" borderId="2" xfId="0" applyFill="1" applyBorder="1"/>
    <xf numFmtId="0" fontId="0" fillId="5" borderId="14" xfId="0" applyFill="1" applyBorder="1" applyAlignment="1">
      <alignment horizontal="center"/>
    </xf>
    <xf numFmtId="0" fontId="15" fillId="5" borderId="38" xfId="0" applyFont="1" applyFill="1" applyBorder="1" applyAlignment="1">
      <alignment horizontal="center" vertical="center"/>
    </xf>
    <xf numFmtId="0" fontId="15" fillId="5" borderId="38" xfId="0" applyFont="1" applyFill="1" applyBorder="1" applyAlignment="1">
      <alignment horizontal="center" vertical="center" wrapText="1"/>
    </xf>
    <xf numFmtId="0" fontId="15" fillId="5" borderId="38" xfId="0" applyFont="1" applyFill="1" applyBorder="1" applyAlignment="1">
      <alignment horizontal="center" wrapText="1"/>
    </xf>
    <xf numFmtId="0" fontId="4" fillId="5" borderId="38" xfId="0" applyFont="1" applyFill="1" applyBorder="1" applyAlignment="1">
      <alignment horizontal="center"/>
    </xf>
    <xf numFmtId="164" fontId="4" fillId="5" borderId="38" xfId="0" applyNumberFormat="1" applyFont="1" applyFill="1" applyBorder="1" applyAlignment="1">
      <alignment horizontal="center"/>
    </xf>
    <xf numFmtId="165" fontId="4" fillId="5" borderId="38" xfId="0" applyNumberFormat="1" applyFont="1" applyFill="1" applyBorder="1" applyAlignment="1">
      <alignment horizontal="center"/>
    </xf>
    <xf numFmtId="2" fontId="4" fillId="5" borderId="38" xfId="0" applyNumberFormat="1" applyFont="1" applyFill="1" applyBorder="1" applyAlignment="1">
      <alignment horizontal="center"/>
    </xf>
    <xf numFmtId="2" fontId="4" fillId="5" borderId="38" xfId="0" applyNumberFormat="1" applyFont="1" applyFill="1" applyBorder="1"/>
    <xf numFmtId="166" fontId="4" fillId="5" borderId="38" xfId="0" applyNumberFormat="1" applyFont="1" applyFill="1" applyBorder="1" applyAlignment="1">
      <alignment horizontal="center"/>
    </xf>
    <xf numFmtId="0" fontId="32" fillId="5" borderId="38" xfId="0" applyFont="1" applyFill="1" applyBorder="1" applyAlignment="1">
      <alignment horizontal="center" wrapText="1"/>
    </xf>
    <xf numFmtId="1" fontId="4" fillId="5" borderId="38" xfId="0" applyNumberFormat="1" applyFont="1" applyFill="1" applyBorder="1" applyAlignment="1">
      <alignment horizontal="center"/>
    </xf>
    <xf numFmtId="2" fontId="0" fillId="5" borderId="8" xfId="0" applyNumberFormat="1" applyFill="1" applyBorder="1" applyAlignment="1">
      <alignment horizontal="center"/>
    </xf>
    <xf numFmtId="0" fontId="0" fillId="5" borderId="12" xfId="0" applyFill="1" applyBorder="1"/>
    <xf numFmtId="167" fontId="20" fillId="5" borderId="2" xfId="0" applyNumberFormat="1" applyFont="1" applyFill="1" applyBorder="1" applyAlignment="1">
      <alignment horizontal="center"/>
    </xf>
    <xf numFmtId="0" fontId="19" fillId="5" borderId="2" xfId="0" applyFont="1" applyFill="1" applyBorder="1"/>
    <xf numFmtId="0" fontId="0" fillId="5" borderId="11" xfId="0" applyFill="1" applyBorder="1"/>
    <xf numFmtId="0" fontId="41" fillId="7" borderId="0" xfId="0" applyFont="1" applyFill="1"/>
    <xf numFmtId="0" fontId="41" fillId="7" borderId="0" xfId="0" applyFont="1" applyFill="1" applyBorder="1"/>
    <xf numFmtId="0" fontId="41" fillId="7" borderId="2" xfId="0" applyFont="1" applyFill="1" applyBorder="1"/>
    <xf numFmtId="0" fontId="65" fillId="7" borderId="0" xfId="0" applyFont="1" applyFill="1"/>
    <xf numFmtId="0" fontId="0" fillId="7" borderId="0" xfId="0" applyFill="1"/>
    <xf numFmtId="0" fontId="34" fillId="7" borderId="0" xfId="0" applyFont="1" applyFill="1"/>
    <xf numFmtId="0" fontId="29" fillId="7" borderId="0" xfId="0" applyFont="1" applyFill="1"/>
    <xf numFmtId="0" fontId="40" fillId="7" borderId="8" xfId="0" applyFont="1" applyFill="1" applyBorder="1"/>
    <xf numFmtId="0" fontId="41" fillId="17" borderId="0" xfId="0" applyFont="1" applyFill="1"/>
    <xf numFmtId="0" fontId="41" fillId="17" borderId="0" xfId="0" applyFont="1" applyFill="1" applyBorder="1"/>
    <xf numFmtId="0" fontId="41" fillId="17" borderId="2" xfId="0" applyFont="1" applyFill="1" applyBorder="1"/>
    <xf numFmtId="0" fontId="39" fillId="18" borderId="39" xfId="0" applyFont="1" applyFill="1" applyBorder="1" applyAlignment="1">
      <alignment horizontal="left" vertical="center"/>
    </xf>
    <xf numFmtId="0" fontId="39" fillId="18" borderId="4" xfId="0" applyFont="1" applyFill="1" applyBorder="1"/>
    <xf numFmtId="0" fontId="39" fillId="18" borderId="5" xfId="0" applyFont="1" applyFill="1" applyBorder="1"/>
    <xf numFmtId="0" fontId="39" fillId="18" borderId="6" xfId="0" applyFont="1" applyFill="1" applyBorder="1"/>
    <xf numFmtId="0" fontId="39" fillId="18" borderId="39" xfId="0" applyFont="1" applyFill="1" applyBorder="1"/>
    <xf numFmtId="0" fontId="0" fillId="19" borderId="7" xfId="0" applyFill="1" applyBorder="1"/>
    <xf numFmtId="0" fontId="0" fillId="19" borderId="3" xfId="0" applyFill="1" applyBorder="1"/>
    <xf numFmtId="0" fontId="0" fillId="20" borderId="0" xfId="0" applyFill="1" applyBorder="1"/>
    <xf numFmtId="0" fontId="0" fillId="21" borderId="3" xfId="0" applyFill="1" applyBorder="1"/>
    <xf numFmtId="0" fontId="0" fillId="20" borderId="8" xfId="0" applyFill="1" applyBorder="1"/>
    <xf numFmtId="0" fontId="0" fillId="20" borderId="9" xfId="0" applyFill="1" applyBorder="1"/>
    <xf numFmtId="0" fontId="0" fillId="21" borderId="10" xfId="0" applyFill="1" applyBorder="1"/>
    <xf numFmtId="0" fontId="0" fillId="20" borderId="11" xfId="0" applyFill="1" applyBorder="1"/>
    <xf numFmtId="0" fontId="0" fillId="0" borderId="38" xfId="0" applyBorder="1" applyAlignment="1">
      <alignment horizontal="center"/>
    </xf>
    <xf numFmtId="0" fontId="0" fillId="17" borderId="0" xfId="0" applyFill="1"/>
    <xf numFmtId="0" fontId="3" fillId="17" borderId="0" xfId="1" applyFont="1" applyFill="1" applyAlignment="1" applyProtection="1"/>
    <xf numFmtId="0" fontId="8" fillId="17" borderId="0" xfId="0" applyFont="1" applyFill="1" applyAlignment="1">
      <alignment wrapText="1"/>
    </xf>
    <xf numFmtId="0" fontId="0" fillId="17" borderId="0" xfId="0" applyFill="1" applyAlignment="1"/>
    <xf numFmtId="0" fontId="99" fillId="17" borderId="0" xfId="0" applyFont="1" applyFill="1"/>
    <xf numFmtId="0" fontId="99" fillId="0" borderId="7" xfId="0" applyFont="1" applyFill="1" applyBorder="1"/>
    <xf numFmtId="0" fontId="99" fillId="0" borderId="8" xfId="0" applyFont="1" applyFill="1" applyBorder="1"/>
    <xf numFmtId="0" fontId="99" fillId="0" borderId="12" xfId="0" applyFont="1" applyFill="1" applyBorder="1"/>
    <xf numFmtId="0" fontId="99" fillId="4" borderId="0" xfId="0" applyFont="1" applyFill="1"/>
    <xf numFmtId="0" fontId="99" fillId="0" borderId="0" xfId="0" applyFont="1"/>
    <xf numFmtId="0" fontId="99" fillId="0" borderId="3" xfId="0" applyFont="1" applyFill="1" applyBorder="1"/>
    <xf numFmtId="0" fontId="99" fillId="0" borderId="0" xfId="0" applyFont="1" applyFill="1" applyBorder="1"/>
    <xf numFmtId="0" fontId="99" fillId="0" borderId="9" xfId="0" applyFont="1" applyFill="1" applyBorder="1"/>
    <xf numFmtId="0" fontId="99" fillId="0" borderId="10" xfId="0" applyFont="1" applyFill="1" applyBorder="1"/>
    <xf numFmtId="0" fontId="99" fillId="0" borderId="2" xfId="0" applyFont="1" applyFill="1" applyBorder="1"/>
    <xf numFmtId="0" fontId="99" fillId="0" borderId="11" xfId="0" applyFont="1" applyFill="1" applyBorder="1"/>
    <xf numFmtId="0" fontId="4" fillId="22" borderId="3" xfId="0" applyFont="1" applyFill="1" applyBorder="1" applyAlignment="1">
      <alignment horizontal="center"/>
    </xf>
    <xf numFmtId="0" fontId="4" fillId="22" borderId="0" xfId="0" applyFont="1" applyFill="1" applyBorder="1" applyAlignment="1">
      <alignment horizontal="center"/>
    </xf>
    <xf numFmtId="0" fontId="4" fillId="22" borderId="9" xfId="0" applyFont="1" applyFill="1" applyBorder="1" applyAlignment="1">
      <alignment horizontal="center"/>
    </xf>
    <xf numFmtId="0" fontId="18" fillId="22" borderId="0" xfId="0" applyFont="1" applyFill="1" applyBorder="1" applyAlignment="1">
      <alignment horizontal="center"/>
    </xf>
    <xf numFmtId="0" fontId="0" fillId="22" borderId="3" xfId="0" applyFill="1" applyBorder="1"/>
    <xf numFmtId="0" fontId="0" fillId="22" borderId="9" xfId="0" applyFill="1" applyBorder="1"/>
    <xf numFmtId="0" fontId="0" fillId="22" borderId="10" xfId="0" applyFill="1" applyBorder="1"/>
    <xf numFmtId="0" fontId="0" fillId="22" borderId="2" xfId="0" applyFill="1" applyBorder="1"/>
    <xf numFmtId="0" fontId="0" fillId="22" borderId="11" xfId="0" applyFill="1" applyBorder="1"/>
    <xf numFmtId="0" fontId="4" fillId="22" borderId="0" xfId="0" applyFont="1" applyFill="1" applyBorder="1"/>
    <xf numFmtId="0" fontId="4" fillId="22" borderId="38" xfId="0" applyFont="1" applyFill="1" applyBorder="1" applyAlignment="1">
      <alignment horizontal="center"/>
    </xf>
    <xf numFmtId="0" fontId="0" fillId="22" borderId="38" xfId="0" applyFill="1" applyBorder="1" applyAlignment="1"/>
    <xf numFmtId="0" fontId="0" fillId="22" borderId="38" xfId="0" applyFill="1" applyBorder="1"/>
    <xf numFmtId="0" fontId="0" fillId="22" borderId="0" xfId="0" applyFill="1" applyBorder="1"/>
    <xf numFmtId="0" fontId="99" fillId="3" borderId="7" xfId="0" applyFont="1" applyFill="1" applyBorder="1"/>
    <xf numFmtId="0" fontId="99" fillId="3" borderId="8" xfId="0" applyFont="1" applyFill="1" applyBorder="1"/>
    <xf numFmtId="0" fontId="99" fillId="3" borderId="12" xfId="0" applyFont="1" applyFill="1" applyBorder="1"/>
    <xf numFmtId="0" fontId="99" fillId="3" borderId="0" xfId="0" applyFont="1" applyFill="1"/>
    <xf numFmtId="0" fontId="99" fillId="3" borderId="3" xfId="0" applyFont="1" applyFill="1" applyBorder="1"/>
    <xf numFmtId="0" fontId="99" fillId="3" borderId="0" xfId="0" applyFont="1" applyFill="1" applyBorder="1"/>
    <xf numFmtId="0" fontId="99" fillId="3" borderId="9" xfId="0" applyFont="1" applyFill="1" applyBorder="1"/>
    <xf numFmtId="0" fontId="99" fillId="22" borderId="12" xfId="0" applyFont="1" applyFill="1" applyBorder="1"/>
    <xf numFmtId="0" fontId="99" fillId="22" borderId="9" xfId="0" applyFont="1" applyFill="1" applyBorder="1"/>
    <xf numFmtId="0" fontId="99" fillId="22" borderId="0" xfId="0" applyFont="1" applyFill="1" applyBorder="1" applyAlignment="1">
      <alignment vertical="center" wrapText="1"/>
    </xf>
    <xf numFmtId="0" fontId="99" fillId="22" borderId="10" xfId="0" applyFont="1" applyFill="1" applyBorder="1"/>
    <xf numFmtId="0" fontId="99" fillId="22" borderId="2" xfId="0" applyFont="1" applyFill="1" applyBorder="1"/>
    <xf numFmtId="0" fontId="99" fillId="22" borderId="11" xfId="0" applyFont="1" applyFill="1" applyBorder="1"/>
    <xf numFmtId="0" fontId="99" fillId="22" borderId="8" xfId="0" applyFont="1" applyFill="1" applyBorder="1"/>
    <xf numFmtId="0" fontId="99" fillId="22" borderId="11" xfId="0" applyFont="1" applyFill="1" applyBorder="1" applyAlignment="1">
      <alignment horizontal="center" vertical="center"/>
    </xf>
    <xf numFmtId="0" fontId="39" fillId="22" borderId="3" xfId="0" applyFont="1" applyFill="1" applyBorder="1" applyAlignment="1">
      <alignment vertical="center"/>
    </xf>
    <xf numFmtId="0" fontId="39" fillId="22" borderId="3" xfId="0" applyFont="1" applyFill="1" applyBorder="1" applyAlignment="1">
      <alignment vertical="center" wrapText="1"/>
    </xf>
    <xf numFmtId="0" fontId="99" fillId="22" borderId="2" xfId="0" applyFont="1" applyFill="1" applyBorder="1" applyAlignment="1">
      <alignment vertical="center" wrapText="1"/>
    </xf>
    <xf numFmtId="0" fontId="99" fillId="3" borderId="10" xfId="0" applyFont="1" applyFill="1" applyBorder="1"/>
    <xf numFmtId="0" fontId="99" fillId="3" borderId="2" xfId="0" applyFont="1" applyFill="1" applyBorder="1"/>
    <xf numFmtId="0" fontId="99" fillId="3" borderId="11" xfId="0" applyFont="1" applyFill="1" applyBorder="1"/>
    <xf numFmtId="0" fontId="76" fillId="3" borderId="0" xfId="0" applyFont="1" applyFill="1" applyBorder="1"/>
    <xf numFmtId="0" fontId="77" fillId="3" borderId="3" xfId="1" applyFont="1" applyFill="1" applyBorder="1" applyAlignment="1" applyProtection="1"/>
    <xf numFmtId="0" fontId="53" fillId="22" borderId="38" xfId="0" applyFont="1" applyFill="1" applyBorder="1" applyAlignment="1">
      <alignment horizontal="center" vertical="center" wrapText="1"/>
    </xf>
    <xf numFmtId="0" fontId="75" fillId="3" borderId="3" xfId="0" applyFont="1" applyFill="1" applyBorder="1"/>
    <xf numFmtId="0" fontId="46" fillId="22" borderId="40" xfId="0" applyFont="1" applyFill="1" applyBorder="1" applyAlignment="1">
      <alignment horizontal="center" vertical="center"/>
    </xf>
    <xf numFmtId="0" fontId="99" fillId="22" borderId="41" xfId="0" applyFont="1" applyFill="1" applyBorder="1" applyAlignment="1">
      <alignment horizontal="center" vertical="center"/>
    </xf>
    <xf numFmtId="0" fontId="99" fillId="22" borderId="42" xfId="0" applyFont="1" applyFill="1" applyBorder="1" applyAlignment="1">
      <alignment horizontal="center"/>
    </xf>
    <xf numFmtId="168" fontId="99" fillId="22" borderId="42" xfId="0" applyNumberFormat="1" applyFont="1" applyFill="1" applyBorder="1"/>
    <xf numFmtId="168" fontId="99" fillId="22" borderId="9" xfId="0" applyNumberFormat="1" applyFont="1" applyFill="1" applyBorder="1"/>
    <xf numFmtId="0" fontId="47" fillId="22" borderId="41" xfId="0" applyFont="1" applyFill="1" applyBorder="1" applyAlignment="1">
      <alignment horizontal="center" vertical="center"/>
    </xf>
    <xf numFmtId="0" fontId="48" fillId="22" borderId="41" xfId="0" applyFont="1" applyFill="1" applyBorder="1" applyAlignment="1">
      <alignment horizontal="center" vertical="center"/>
    </xf>
    <xf numFmtId="0" fontId="99" fillId="22" borderId="43" xfId="0" applyFont="1" applyFill="1" applyBorder="1" applyAlignment="1">
      <alignment horizontal="center" vertical="center"/>
    </xf>
    <xf numFmtId="0" fontId="99" fillId="22" borderId="44" xfId="0" applyFont="1" applyFill="1" applyBorder="1" applyAlignment="1"/>
    <xf numFmtId="0" fontId="99" fillId="22" borderId="43" xfId="0" applyFont="1" applyFill="1" applyBorder="1" applyAlignment="1"/>
    <xf numFmtId="4" fontId="99" fillId="22" borderId="2" xfId="0" applyNumberFormat="1" applyFont="1" applyFill="1" applyBorder="1" applyAlignment="1">
      <alignment horizontal="center"/>
    </xf>
    <xf numFmtId="0" fontId="99" fillId="22" borderId="45" xfId="0" applyFont="1" applyFill="1" applyBorder="1" applyAlignment="1">
      <alignment horizontal="center"/>
    </xf>
    <xf numFmtId="4" fontId="99" fillId="22" borderId="45" xfId="0" applyNumberFormat="1" applyFont="1" applyFill="1" applyBorder="1"/>
    <xf numFmtId="4" fontId="99" fillId="22" borderId="11" xfId="0" applyNumberFormat="1" applyFont="1" applyFill="1" applyBorder="1"/>
    <xf numFmtId="0" fontId="80" fillId="3" borderId="0" xfId="0" applyFont="1" applyFill="1" applyBorder="1"/>
    <xf numFmtId="0" fontId="99" fillId="3" borderId="0" xfId="0" applyFont="1" applyFill="1" applyBorder="1" applyAlignment="1">
      <alignment horizontal="center" vertical="center"/>
    </xf>
    <xf numFmtId="0" fontId="99" fillId="3" borderId="0" xfId="0" applyFont="1" applyFill="1" applyBorder="1" applyAlignment="1"/>
    <xf numFmtId="4" fontId="99" fillId="3" borderId="0" xfId="0" applyNumberFormat="1" applyFont="1" applyFill="1" applyBorder="1" applyAlignment="1">
      <alignment horizontal="center"/>
    </xf>
    <xf numFmtId="0" fontId="99" fillId="3" borderId="0" xfId="0" applyFont="1" applyFill="1" applyBorder="1" applyAlignment="1">
      <alignment horizontal="center"/>
    </xf>
    <xf numFmtId="0" fontId="53" fillId="3" borderId="0" xfId="0" applyFont="1" applyFill="1" applyBorder="1"/>
    <xf numFmtId="0" fontId="82" fillId="3" borderId="0" xfId="0" applyFont="1" applyFill="1" applyBorder="1" applyAlignment="1">
      <alignment wrapText="1"/>
    </xf>
    <xf numFmtId="0" fontId="99" fillId="3" borderId="3" xfId="0" applyFont="1" applyFill="1" applyBorder="1" applyAlignment="1"/>
    <xf numFmtId="0" fontId="83" fillId="3" borderId="0" xfId="0" applyFont="1" applyFill="1" applyBorder="1"/>
    <xf numFmtId="0" fontId="39" fillId="3" borderId="3" xfId="0" applyFont="1" applyFill="1" applyBorder="1" applyAlignment="1"/>
    <xf numFmtId="0" fontId="99" fillId="3" borderId="0" xfId="0" applyFont="1" applyFill="1" applyBorder="1" applyAlignment="1">
      <alignment vertical="top" wrapText="1"/>
    </xf>
    <xf numFmtId="0" fontId="60" fillId="3" borderId="0" xfId="0" applyFont="1" applyFill="1" applyBorder="1"/>
    <xf numFmtId="0" fontId="60" fillId="3" borderId="0" xfId="0" applyFont="1" applyFill="1" applyBorder="1" applyAlignment="1">
      <alignment horizontal="center"/>
    </xf>
    <xf numFmtId="0" fontId="39" fillId="3" borderId="0" xfId="0" applyFont="1" applyFill="1" applyBorder="1"/>
    <xf numFmtId="0" fontId="53" fillId="3" borderId="0" xfId="0" applyFont="1" applyFill="1" applyBorder="1" applyAlignment="1">
      <alignment vertical="center"/>
    </xf>
    <xf numFmtId="0" fontId="39" fillId="3" borderId="0" xfId="0" applyFont="1" applyFill="1" applyBorder="1" applyAlignment="1">
      <alignment horizontal="center"/>
    </xf>
    <xf numFmtId="0" fontId="79" fillId="22" borderId="5" xfId="0" applyFont="1" applyFill="1" applyBorder="1"/>
    <xf numFmtId="164" fontId="99" fillId="22" borderId="42" xfId="0" applyNumberFormat="1" applyFont="1" applyFill="1" applyBorder="1"/>
    <xf numFmtId="164" fontId="99" fillId="22" borderId="9" xfId="0" applyNumberFormat="1" applyFont="1" applyFill="1" applyBorder="1"/>
    <xf numFmtId="0" fontId="99" fillId="22" borderId="5" xfId="0" applyFont="1" applyFill="1" applyBorder="1"/>
    <xf numFmtId="0" fontId="99" fillId="22" borderId="2" xfId="0" applyFont="1" applyFill="1" applyBorder="1" applyAlignment="1">
      <alignment horizontal="center" vertical="center"/>
    </xf>
    <xf numFmtId="164" fontId="99" fillId="22" borderId="2" xfId="0" applyNumberFormat="1" applyFont="1" applyFill="1" applyBorder="1"/>
    <xf numFmtId="164" fontId="99" fillId="22" borderId="11" xfId="0" applyNumberFormat="1" applyFont="1" applyFill="1" applyBorder="1"/>
    <xf numFmtId="0" fontId="99" fillId="22" borderId="3" xfId="0" applyFont="1" applyFill="1" applyBorder="1"/>
    <xf numFmtId="0" fontId="39" fillId="22" borderId="0" xfId="0" applyFont="1" applyFill="1" applyBorder="1" applyAlignment="1">
      <alignment horizontal="center" vertical="center"/>
    </xf>
    <xf numFmtId="0" fontId="99" fillId="22" borderId="0" xfId="0" applyFont="1" applyFill="1" applyBorder="1"/>
    <xf numFmtId="0" fontId="39" fillId="22" borderId="46" xfId="0" applyFont="1" applyFill="1" applyBorder="1" applyAlignment="1"/>
    <xf numFmtId="0" fontId="39" fillId="22" borderId="0" xfId="0" applyFont="1" applyFill="1" applyBorder="1"/>
    <xf numFmtId="0" fontId="39" fillId="22" borderId="38" xfId="0" applyFont="1" applyFill="1" applyBorder="1" applyAlignment="1">
      <alignment horizontal="center"/>
    </xf>
    <xf numFmtId="0" fontId="41" fillId="23" borderId="3" xfId="0" applyFont="1" applyFill="1" applyBorder="1"/>
    <xf numFmtId="0" fontId="100" fillId="22" borderId="7" xfId="1" applyFont="1" applyFill="1" applyBorder="1" applyAlignment="1" applyProtection="1"/>
    <xf numFmtId="0" fontId="99" fillId="22" borderId="0" xfId="0" applyFont="1" applyFill="1" applyBorder="1" applyAlignment="1">
      <alignment vertical="center"/>
    </xf>
    <xf numFmtId="0" fontId="99" fillId="22" borderId="9" xfId="0" applyFont="1" applyFill="1" applyBorder="1" applyAlignment="1">
      <alignment vertical="center" wrapText="1"/>
    </xf>
    <xf numFmtId="0" fontId="99" fillId="22" borderId="3" xfId="0" applyFont="1" applyFill="1" applyBorder="1" applyAlignment="1">
      <alignment horizontal="center" wrapText="1"/>
    </xf>
    <xf numFmtId="0" fontId="99" fillId="22" borderId="0" xfId="0" applyFont="1" applyFill="1" applyBorder="1" applyAlignment="1">
      <alignment horizontal="center" wrapText="1"/>
    </xf>
    <xf numFmtId="0" fontId="99" fillId="22" borderId="9" xfId="0" applyFont="1" applyFill="1" applyBorder="1" applyAlignment="1">
      <alignment horizontal="center" wrapText="1"/>
    </xf>
    <xf numFmtId="0" fontId="39" fillId="22" borderId="10" xfId="0" applyFont="1" applyFill="1" applyBorder="1" applyAlignment="1">
      <alignment vertical="center"/>
    </xf>
    <xf numFmtId="0" fontId="99" fillId="22" borderId="2" xfId="0" applyFont="1" applyFill="1" applyBorder="1" applyAlignment="1">
      <alignment vertical="center"/>
    </xf>
    <xf numFmtId="0" fontId="99" fillId="22" borderId="11" xfId="0" applyFont="1" applyFill="1" applyBorder="1" applyAlignment="1">
      <alignment vertical="center" wrapText="1"/>
    </xf>
    <xf numFmtId="0" fontId="9" fillId="3" borderId="7" xfId="0" applyFont="1" applyFill="1" applyBorder="1"/>
    <xf numFmtId="0" fontId="11" fillId="3" borderId="10" xfId="0" applyFont="1" applyFill="1" applyBorder="1"/>
    <xf numFmtId="0" fontId="41" fillId="6" borderId="34" xfId="0" applyFont="1" applyFill="1" applyBorder="1" applyAlignment="1"/>
    <xf numFmtId="0" fontId="41" fillId="6" borderId="36" xfId="0" applyFont="1" applyFill="1" applyBorder="1" applyAlignment="1"/>
    <xf numFmtId="49" fontId="99" fillId="3" borderId="4" xfId="0" applyNumberFormat="1" applyFont="1" applyFill="1" applyBorder="1" applyProtection="1">
      <protection locked="0"/>
    </xf>
    <xf numFmtId="0" fontId="99" fillId="3" borderId="47" xfId="0" applyFont="1" applyFill="1" applyBorder="1" applyAlignment="1" applyProtection="1">
      <alignment horizontal="center" vertical="center"/>
      <protection locked="0"/>
    </xf>
    <xf numFmtId="0" fontId="99" fillId="3" borderId="48" xfId="0" applyFont="1" applyFill="1" applyBorder="1" applyAlignment="1" applyProtection="1">
      <alignment horizontal="center" vertical="center"/>
      <protection locked="0"/>
    </xf>
    <xf numFmtId="49" fontId="99" fillId="3" borderId="5" xfId="0" applyNumberFormat="1" applyFont="1" applyFill="1" applyBorder="1" applyProtection="1">
      <protection locked="0"/>
    </xf>
    <xf numFmtId="0" fontId="99" fillId="3" borderId="49" xfId="0" applyFont="1" applyFill="1" applyBorder="1" applyAlignment="1" applyProtection="1">
      <alignment horizontal="center" vertical="center"/>
      <protection locked="0"/>
    </xf>
    <xf numFmtId="0" fontId="99" fillId="3" borderId="50" xfId="0" applyFont="1" applyFill="1" applyBorder="1" applyAlignment="1" applyProtection="1">
      <alignment horizontal="center" vertical="center"/>
      <protection locked="0"/>
    </xf>
    <xf numFmtId="49" fontId="99" fillId="3" borderId="6" xfId="0" applyNumberFormat="1" applyFont="1" applyFill="1" applyBorder="1" applyProtection="1">
      <protection locked="0"/>
    </xf>
    <xf numFmtId="0" fontId="99" fillId="3" borderId="48" xfId="0" applyFont="1" applyFill="1" applyBorder="1" applyAlignment="1" applyProtection="1">
      <alignment horizontal="center"/>
      <protection locked="0"/>
    </xf>
    <xf numFmtId="0" fontId="99" fillId="3" borderId="42" xfId="0" applyFont="1" applyFill="1" applyBorder="1" applyAlignment="1" applyProtection="1">
      <alignment horizontal="center"/>
      <protection locked="0"/>
    </xf>
    <xf numFmtId="0" fontId="99" fillId="3" borderId="50" xfId="0" applyFont="1" applyFill="1" applyBorder="1" applyAlignment="1" applyProtection="1">
      <alignment horizontal="center"/>
      <protection locked="0"/>
    </xf>
    <xf numFmtId="0" fontId="2" fillId="20" borderId="51" xfId="0" applyFont="1" applyFill="1" applyBorder="1" applyAlignment="1" applyProtection="1">
      <alignment horizontal="center" vertical="center"/>
      <protection locked="0"/>
    </xf>
    <xf numFmtId="4" fontId="41" fillId="0" borderId="0" xfId="0" applyNumberFormat="1" applyFont="1" applyBorder="1"/>
    <xf numFmtId="0" fontId="58" fillId="7" borderId="0" xfId="0" applyFont="1" applyFill="1" applyBorder="1"/>
    <xf numFmtId="0" fontId="85" fillId="8" borderId="0" xfId="2" applyFont="1" applyFill="1"/>
    <xf numFmtId="0" fontId="85" fillId="9" borderId="0" xfId="2" applyFont="1" applyFill="1"/>
    <xf numFmtId="0" fontId="85" fillId="8" borderId="52" xfId="2" applyFont="1" applyFill="1" applyBorder="1"/>
    <xf numFmtId="0" fontId="85" fillId="8" borderId="53" xfId="2" applyFont="1" applyFill="1" applyBorder="1"/>
    <xf numFmtId="0" fontId="85" fillId="0" borderId="53" xfId="2" applyFont="1" applyBorder="1"/>
    <xf numFmtId="0" fontId="85" fillId="8" borderId="54" xfId="2" applyFont="1" applyFill="1" applyBorder="1"/>
    <xf numFmtId="0" fontId="85" fillId="8" borderId="55" xfId="2" applyFont="1" applyFill="1" applyBorder="1"/>
    <xf numFmtId="0" fontId="85" fillId="8" borderId="0" xfId="2" applyFont="1" applyFill="1" applyBorder="1"/>
    <xf numFmtId="0" fontId="85" fillId="0" borderId="0" xfId="2" applyFont="1" applyBorder="1"/>
    <xf numFmtId="0" fontId="85" fillId="8" borderId="56" xfId="2" applyFont="1" applyFill="1" applyBorder="1"/>
    <xf numFmtId="1" fontId="85" fillId="10" borderId="57" xfId="2" applyNumberFormat="1" applyFont="1" applyFill="1" applyBorder="1" applyAlignment="1">
      <alignment horizontal="center" vertical="center"/>
    </xf>
    <xf numFmtId="1" fontId="85" fillId="10" borderId="58" xfId="2" applyNumberFormat="1" applyFont="1" applyFill="1" applyBorder="1" applyAlignment="1">
      <alignment horizontal="center" vertical="center"/>
    </xf>
    <xf numFmtId="0" fontId="86" fillId="11" borderId="59" xfId="2" applyFont="1" applyFill="1" applyBorder="1" applyAlignment="1">
      <alignment horizontal="center" vertical="center" wrapText="1"/>
    </xf>
    <xf numFmtId="1" fontId="85" fillId="10" borderId="60" xfId="2" applyNumberFormat="1" applyFont="1" applyFill="1" applyBorder="1" applyAlignment="1">
      <alignment horizontal="center" vertical="center"/>
    </xf>
    <xf numFmtId="1" fontId="85" fillId="10" borderId="61" xfId="2" applyNumberFormat="1" applyFont="1" applyFill="1" applyBorder="1" applyAlignment="1">
      <alignment horizontal="center" vertical="center"/>
    </xf>
    <xf numFmtId="1" fontId="85" fillId="10" borderId="62" xfId="2" applyNumberFormat="1" applyFont="1" applyFill="1" applyBorder="1" applyAlignment="1">
      <alignment horizontal="center" vertical="center"/>
    </xf>
    <xf numFmtId="0" fontId="86" fillId="11" borderId="63" xfId="2" applyFont="1" applyFill="1" applyBorder="1" applyAlignment="1">
      <alignment horizontal="center" vertical="center" wrapText="1"/>
    </xf>
    <xf numFmtId="0" fontId="85" fillId="8" borderId="64" xfId="2" applyFont="1" applyFill="1" applyBorder="1"/>
    <xf numFmtId="1" fontId="85" fillId="10" borderId="65" xfId="2" applyNumberFormat="1" applyFont="1" applyFill="1" applyBorder="1" applyAlignment="1">
      <alignment horizontal="center" vertical="center"/>
    </xf>
    <xf numFmtId="1" fontId="85" fillId="10" borderId="66" xfId="2" applyNumberFormat="1" applyFont="1" applyFill="1" applyBorder="1" applyAlignment="1">
      <alignment horizontal="center" vertical="center"/>
    </xf>
    <xf numFmtId="2" fontId="86" fillId="11" borderId="67" xfId="2" applyNumberFormat="1" applyFont="1" applyFill="1" applyBorder="1" applyAlignment="1">
      <alignment horizontal="center" vertical="center" wrapText="1"/>
    </xf>
    <xf numFmtId="0" fontId="85" fillId="11" borderId="68" xfId="2" applyFont="1" applyFill="1" applyBorder="1" applyAlignment="1">
      <alignment horizontal="center" vertical="center" wrapText="1"/>
    </xf>
    <xf numFmtId="0" fontId="85" fillId="11" borderId="69" xfId="2" applyFont="1" applyFill="1" applyBorder="1" applyAlignment="1">
      <alignment horizontal="center" vertical="center"/>
    </xf>
    <xf numFmtId="0" fontId="85" fillId="11" borderId="68" xfId="2" applyFont="1" applyFill="1" applyBorder="1" applyAlignment="1">
      <alignment horizontal="center" vertical="center"/>
    </xf>
    <xf numFmtId="0" fontId="86" fillId="11" borderId="70" xfId="2" applyFont="1" applyFill="1" applyBorder="1" applyAlignment="1">
      <alignment horizontal="center" vertical="center" wrapText="1"/>
    </xf>
    <xf numFmtId="0" fontId="85" fillId="11" borderId="61" xfId="2" applyFont="1" applyFill="1" applyBorder="1" applyAlignment="1">
      <alignment horizontal="center" vertical="center"/>
    </xf>
    <xf numFmtId="1" fontId="85" fillId="10" borderId="71" xfId="2" applyNumberFormat="1" applyFont="1" applyFill="1" applyBorder="1" applyAlignment="1">
      <alignment horizontal="center" vertical="center"/>
    </xf>
    <xf numFmtId="1" fontId="85" fillId="10" borderId="72" xfId="2" applyNumberFormat="1" applyFont="1" applyFill="1" applyBorder="1" applyAlignment="1">
      <alignment horizontal="center" vertical="center"/>
    </xf>
    <xf numFmtId="0" fontId="85" fillId="11" borderId="61" xfId="2" applyFont="1" applyFill="1" applyBorder="1" applyAlignment="1">
      <alignment horizontal="center" vertical="center" wrapText="1"/>
    </xf>
    <xf numFmtId="0" fontId="86" fillId="11" borderId="73" xfId="2" applyFont="1" applyFill="1" applyBorder="1" applyAlignment="1">
      <alignment horizontal="center" vertical="center" wrapText="1"/>
    </xf>
    <xf numFmtId="0" fontId="85" fillId="8" borderId="0" xfId="2" applyFont="1" applyFill="1" applyBorder="1" applyAlignment="1">
      <alignment vertical="center"/>
    </xf>
    <xf numFmtId="0" fontId="85" fillId="11" borderId="60" xfId="2" applyFont="1" applyFill="1" applyBorder="1" applyAlignment="1">
      <alignment horizontal="center" vertical="center"/>
    </xf>
    <xf numFmtId="0" fontId="85" fillId="11" borderId="74" xfId="2" applyFont="1" applyFill="1" applyBorder="1" applyAlignment="1">
      <alignment horizontal="center" vertical="center"/>
    </xf>
    <xf numFmtId="0" fontId="87" fillId="8" borderId="0" xfId="2" applyFont="1" applyFill="1" applyBorder="1"/>
    <xf numFmtId="0" fontId="85" fillId="8" borderId="75" xfId="2" applyFont="1" applyFill="1" applyBorder="1"/>
    <xf numFmtId="0" fontId="85" fillId="0" borderId="75" xfId="2" applyFont="1" applyBorder="1"/>
    <xf numFmtId="1" fontId="85" fillId="0" borderId="0" xfId="2" applyNumberFormat="1" applyFont="1" applyBorder="1"/>
    <xf numFmtId="0" fontId="88" fillId="0" borderId="0" xfId="2" applyFont="1"/>
    <xf numFmtId="0" fontId="89" fillId="0" borderId="0" xfId="2" applyFont="1"/>
    <xf numFmtId="166" fontId="85" fillId="10" borderId="57" xfId="2" applyNumberFormat="1" applyFont="1" applyFill="1" applyBorder="1" applyAlignment="1">
      <alignment horizontal="center" vertical="center"/>
    </xf>
    <xf numFmtId="166" fontId="85" fillId="10" borderId="76" xfId="2" applyNumberFormat="1" applyFont="1" applyFill="1" applyBorder="1" applyAlignment="1">
      <alignment horizontal="center" vertical="center" wrapText="1"/>
    </xf>
    <xf numFmtId="0" fontId="85" fillId="10" borderId="68" xfId="2" applyFont="1" applyFill="1" applyBorder="1" applyAlignment="1">
      <alignment horizontal="center" vertical="center" wrapText="1"/>
    </xf>
    <xf numFmtId="0" fontId="85" fillId="11" borderId="60" xfId="2" applyFont="1" applyFill="1" applyBorder="1" applyAlignment="1">
      <alignment horizontal="center" vertical="center" wrapText="1"/>
    </xf>
    <xf numFmtId="0" fontId="85" fillId="8" borderId="77" xfId="2" applyFont="1" applyFill="1" applyBorder="1"/>
    <xf numFmtId="0" fontId="86" fillId="11" borderId="65" xfId="2" applyFont="1" applyFill="1" applyBorder="1" applyAlignment="1">
      <alignment horizontal="center" vertical="center" wrapText="1"/>
    </xf>
    <xf numFmtId="0" fontId="86" fillId="11" borderId="66" xfId="2" applyFont="1" applyFill="1" applyBorder="1" applyAlignment="1">
      <alignment horizontal="center" vertical="center" wrapText="1"/>
    </xf>
    <xf numFmtId="0" fontId="86" fillId="11" borderId="78" xfId="2" applyFont="1" applyFill="1" applyBorder="1" applyAlignment="1">
      <alignment horizontal="center" vertical="center" wrapText="1"/>
    </xf>
    <xf numFmtId="0" fontId="85" fillId="8" borderId="79" xfId="2" applyFont="1" applyFill="1" applyBorder="1"/>
    <xf numFmtId="0" fontId="85" fillId="8" borderId="80" xfId="2" applyFont="1" applyFill="1" applyBorder="1"/>
    <xf numFmtId="0" fontId="43" fillId="0" borderId="0" xfId="0" applyFont="1" applyFill="1" applyBorder="1" applyAlignment="1">
      <alignment horizontal="left"/>
    </xf>
    <xf numFmtId="0" fontId="85" fillId="24" borderId="0" xfId="2" applyFont="1" applyFill="1"/>
    <xf numFmtId="0" fontId="85" fillId="24" borderId="3" xfId="2" applyFont="1" applyFill="1" applyBorder="1"/>
    <xf numFmtId="0" fontId="85" fillId="25" borderId="3" xfId="2" applyFont="1" applyFill="1" applyBorder="1"/>
    <xf numFmtId="0" fontId="85" fillId="25" borderId="0" xfId="2" applyFont="1" applyFill="1"/>
    <xf numFmtId="0" fontId="41" fillId="0" borderId="81" xfId="0" applyFont="1" applyBorder="1"/>
    <xf numFmtId="0" fontId="41" fillId="0" borderId="82" xfId="0" applyFont="1" applyFill="1" applyBorder="1"/>
    <xf numFmtId="2" fontId="41" fillId="0" borderId="82" xfId="0" applyNumberFormat="1" applyFont="1" applyFill="1" applyBorder="1" applyAlignment="1">
      <alignment horizontal="center"/>
    </xf>
    <xf numFmtId="0" fontId="41" fillId="0" borderId="82" xfId="0" applyFont="1" applyBorder="1"/>
    <xf numFmtId="0" fontId="43" fillId="0" borderId="82" xfId="0" applyFont="1" applyFill="1" applyBorder="1" applyAlignment="1">
      <alignment horizontal="left"/>
    </xf>
    <xf numFmtId="0" fontId="44" fillId="0" borderId="82" xfId="1" applyFont="1" applyFill="1" applyBorder="1" applyAlignment="1" applyProtection="1"/>
    <xf numFmtId="0" fontId="41" fillId="0" borderId="82" xfId="0" applyFont="1" applyFill="1" applyBorder="1" applyAlignment="1">
      <alignment horizontal="center"/>
    </xf>
    <xf numFmtId="0" fontId="41" fillId="0" borderId="83" xfId="0" applyFont="1" applyBorder="1"/>
    <xf numFmtId="0" fontId="41" fillId="0" borderId="84" xfId="0" applyFont="1" applyBorder="1"/>
    <xf numFmtId="0" fontId="41" fillId="0" borderId="85" xfId="0" applyFont="1" applyBorder="1"/>
    <xf numFmtId="0" fontId="0" fillId="0" borderId="85" xfId="0" applyBorder="1"/>
    <xf numFmtId="0" fontId="41" fillId="0" borderId="84" xfId="0" applyFont="1" applyFill="1" applyBorder="1"/>
    <xf numFmtId="0" fontId="41" fillId="0" borderId="86" xfId="0" applyFont="1" applyFill="1" applyBorder="1"/>
    <xf numFmtId="0" fontId="0" fillId="0" borderId="33" xfId="0" applyBorder="1"/>
    <xf numFmtId="0" fontId="37" fillId="0" borderId="33" xfId="1" applyFont="1" applyBorder="1" applyAlignment="1" applyProtection="1"/>
    <xf numFmtId="0" fontId="0" fillId="0" borderId="87" xfId="0" applyBorder="1"/>
    <xf numFmtId="0" fontId="50" fillId="0" borderId="33" xfId="0" applyFont="1" applyFill="1" applyBorder="1"/>
    <xf numFmtId="0" fontId="0" fillId="12" borderId="2" xfId="0" applyFill="1" applyBorder="1" applyAlignment="1"/>
    <xf numFmtId="0" fontId="0" fillId="12" borderId="10" xfId="0" applyFill="1" applyBorder="1" applyAlignment="1"/>
    <xf numFmtId="0" fontId="0" fillId="12" borderId="11" xfId="0" applyFill="1" applyBorder="1"/>
    <xf numFmtId="0" fontId="0" fillId="0" borderId="12" xfId="0" applyBorder="1" applyAlignment="1">
      <alignment horizontal="center"/>
    </xf>
    <xf numFmtId="0" fontId="0" fillId="0" borderId="36" xfId="0" applyBorder="1" applyAlignment="1">
      <alignment horizontal="center" vertical="center" wrapText="1"/>
    </xf>
    <xf numFmtId="0" fontId="0" fillId="0" borderId="34" xfId="0" applyBorder="1" applyAlignment="1">
      <alignment horizontal="center" vertical="center" wrapText="1"/>
    </xf>
    <xf numFmtId="0" fontId="101" fillId="0" borderId="0" xfId="0" applyFont="1" applyBorder="1"/>
    <xf numFmtId="1" fontId="41" fillId="5" borderId="5" xfId="0" applyNumberFormat="1" applyFont="1" applyFill="1" applyBorder="1" applyAlignment="1">
      <alignment horizontal="center"/>
    </xf>
    <xf numFmtId="3" fontId="41" fillId="5" borderId="36" xfId="0" applyNumberFormat="1" applyFont="1" applyFill="1" applyBorder="1"/>
    <xf numFmtId="3" fontId="41" fillId="0" borderId="34" xfId="0" applyNumberFormat="1" applyFont="1" applyBorder="1" applyAlignment="1" applyProtection="1">
      <alignment horizontal="center"/>
      <protection locked="0"/>
    </xf>
    <xf numFmtId="0" fontId="41" fillId="0" borderId="39" xfId="0" applyFont="1" applyBorder="1" applyAlignment="1" applyProtection="1">
      <alignment horizontal="center"/>
      <protection locked="0"/>
    </xf>
    <xf numFmtId="0" fontId="41" fillId="3" borderId="34" xfId="0" applyFont="1" applyFill="1" applyBorder="1" applyAlignment="1" applyProtection="1">
      <alignment horizontal="center"/>
      <protection locked="0"/>
    </xf>
    <xf numFmtId="0" fontId="39" fillId="0" borderId="36" xfId="0" applyFont="1" applyBorder="1" applyAlignment="1" applyProtection="1">
      <alignment horizontal="center"/>
      <protection locked="0"/>
    </xf>
    <xf numFmtId="0" fontId="41" fillId="5" borderId="3" xfId="0" applyFont="1" applyFill="1" applyBorder="1" applyAlignment="1">
      <alignment vertical="center"/>
    </xf>
    <xf numFmtId="0" fontId="41" fillId="5" borderId="7" xfId="0" applyFont="1" applyFill="1" applyBorder="1" applyAlignment="1">
      <alignment vertical="center"/>
    </xf>
    <xf numFmtId="0" fontId="41" fillId="5" borderId="8" xfId="0" applyFont="1" applyFill="1" applyBorder="1" applyAlignment="1">
      <alignment vertical="center"/>
    </xf>
    <xf numFmtId="0" fontId="41" fillId="5" borderId="0" xfId="0" applyFont="1" applyFill="1" applyBorder="1" applyAlignment="1">
      <alignment vertical="center"/>
    </xf>
    <xf numFmtId="0" fontId="41" fillId="22" borderId="7" xfId="0" applyFont="1" applyFill="1" applyBorder="1" applyAlignment="1">
      <alignment vertical="center"/>
    </xf>
    <xf numFmtId="0" fontId="0" fillId="23" borderId="34" xfId="0" applyFill="1" applyBorder="1"/>
    <xf numFmtId="0" fontId="0" fillId="23" borderId="36" xfId="0" applyFill="1" applyBorder="1"/>
    <xf numFmtId="0" fontId="0" fillId="23" borderId="12" xfId="0" applyFill="1" applyBorder="1"/>
    <xf numFmtId="0" fontId="0" fillId="23" borderId="39" xfId="0" applyFill="1" applyBorder="1"/>
    <xf numFmtId="0" fontId="0" fillId="0" borderId="3" xfId="0" applyFill="1" applyBorder="1"/>
    <xf numFmtId="0" fontId="0" fillId="0" borderId="10" xfId="0" applyFill="1" applyBorder="1"/>
    <xf numFmtId="0" fontId="97" fillId="22" borderId="9" xfId="0" applyFont="1" applyFill="1" applyBorder="1" applyAlignment="1">
      <alignment horizontal="center"/>
    </xf>
    <xf numFmtId="0" fontId="41" fillId="7" borderId="0" xfId="0" applyFont="1" applyFill="1" applyProtection="1">
      <protection hidden="1"/>
    </xf>
    <xf numFmtId="0" fontId="65" fillId="7" borderId="0" xfId="0" applyFont="1" applyFill="1" applyProtection="1">
      <protection hidden="1"/>
    </xf>
    <xf numFmtId="0" fontId="41" fillId="17" borderId="0" xfId="0" applyFont="1" applyFill="1" applyProtection="1">
      <protection hidden="1"/>
    </xf>
    <xf numFmtId="0" fontId="41" fillId="0" borderId="0" xfId="0" applyFont="1" applyProtection="1">
      <protection hidden="1"/>
    </xf>
    <xf numFmtId="0" fontId="58" fillId="0" borderId="0" xfId="0" applyFont="1" applyProtection="1">
      <protection hidden="1"/>
    </xf>
    <xf numFmtId="0" fontId="41" fillId="0" borderId="7" xfId="0" applyFont="1" applyBorder="1" applyProtection="1">
      <protection hidden="1"/>
    </xf>
    <xf numFmtId="0" fontId="41" fillId="0" borderId="8" xfId="0" applyFont="1" applyBorder="1" applyProtection="1">
      <protection hidden="1"/>
    </xf>
    <xf numFmtId="0" fontId="41" fillId="0" borderId="12" xfId="0" applyFont="1" applyBorder="1" applyProtection="1">
      <protection hidden="1"/>
    </xf>
    <xf numFmtId="0" fontId="58" fillId="0" borderId="7" xfId="0" applyFont="1" applyBorder="1" applyProtection="1">
      <protection hidden="1"/>
    </xf>
    <xf numFmtId="0" fontId="41" fillId="0" borderId="3" xfId="0" applyFont="1" applyBorder="1" applyProtection="1">
      <protection hidden="1"/>
    </xf>
    <xf numFmtId="0" fontId="41" fillId="0" borderId="0" xfId="0" applyFont="1" applyBorder="1" applyProtection="1">
      <protection hidden="1"/>
    </xf>
    <xf numFmtId="0" fontId="41" fillId="0" borderId="9" xfId="0" applyFont="1" applyBorder="1" applyProtection="1">
      <protection hidden="1"/>
    </xf>
    <xf numFmtId="0" fontId="41" fillId="4" borderId="34" xfId="0" applyFont="1" applyFill="1" applyBorder="1" applyProtection="1">
      <protection hidden="1"/>
    </xf>
    <xf numFmtId="0" fontId="41" fillId="4" borderId="13" xfId="0" applyFont="1" applyFill="1" applyBorder="1" applyProtection="1">
      <protection hidden="1"/>
    </xf>
    <xf numFmtId="0" fontId="41" fillId="4" borderId="36" xfId="0" applyFont="1" applyFill="1" applyBorder="1" applyProtection="1">
      <protection hidden="1"/>
    </xf>
    <xf numFmtId="0" fontId="41" fillId="0" borderId="0" xfId="0" applyFont="1" applyFill="1" applyBorder="1" applyProtection="1">
      <protection hidden="1"/>
    </xf>
    <xf numFmtId="0" fontId="41" fillId="0" borderId="3" xfId="0" applyFont="1" applyFill="1" applyBorder="1" applyProtection="1">
      <protection hidden="1"/>
    </xf>
    <xf numFmtId="0" fontId="41" fillId="4" borderId="39" xfId="0" applyFont="1" applyFill="1" applyBorder="1" applyProtection="1">
      <protection hidden="1"/>
    </xf>
    <xf numFmtId="2" fontId="41" fillId="4" borderId="4" xfId="0" applyNumberFormat="1" applyFont="1" applyFill="1" applyBorder="1" applyAlignment="1" applyProtection="1">
      <alignment horizontal="center"/>
      <protection hidden="1"/>
    </xf>
    <xf numFmtId="2" fontId="41" fillId="4" borderId="4" xfId="0" applyNumberFormat="1" applyFont="1" applyFill="1" applyBorder="1" applyProtection="1">
      <protection hidden="1"/>
    </xf>
    <xf numFmtId="0" fontId="41" fillId="4" borderId="34" xfId="0" applyFont="1" applyFill="1" applyBorder="1" applyAlignment="1" applyProtection="1">
      <protection hidden="1"/>
    </xf>
    <xf numFmtId="0" fontId="41" fillId="4" borderId="36" xfId="0" applyFont="1" applyFill="1" applyBorder="1" applyAlignment="1" applyProtection="1">
      <protection hidden="1"/>
    </xf>
    <xf numFmtId="0" fontId="41" fillId="0" borderId="34" xfId="0" applyFont="1" applyBorder="1" applyProtection="1">
      <protection hidden="1"/>
    </xf>
    <xf numFmtId="0" fontId="41" fillId="0" borderId="13" xfId="0" applyFont="1" applyBorder="1" applyProtection="1">
      <protection hidden="1"/>
    </xf>
    <xf numFmtId="2" fontId="41" fillId="4" borderId="39" xfId="0" applyNumberFormat="1" applyFont="1" applyFill="1" applyBorder="1" applyProtection="1">
      <protection hidden="1"/>
    </xf>
    <xf numFmtId="0" fontId="41" fillId="0" borderId="10" xfId="0" applyFont="1" applyBorder="1" applyProtection="1">
      <protection hidden="1"/>
    </xf>
    <xf numFmtId="0" fontId="41" fillId="0" borderId="2" xfId="0" applyFont="1" applyBorder="1" applyProtection="1">
      <protection hidden="1"/>
    </xf>
    <xf numFmtId="0" fontId="41" fillId="0" borderId="11" xfId="0" applyFont="1" applyBorder="1" applyProtection="1">
      <protection hidden="1"/>
    </xf>
    <xf numFmtId="2" fontId="41" fillId="4" borderId="6" xfId="0" applyNumberFormat="1" applyFont="1" applyFill="1" applyBorder="1" applyProtection="1">
      <protection hidden="1"/>
    </xf>
    <xf numFmtId="0" fontId="58" fillId="0" borderId="2" xfId="0" applyFont="1" applyBorder="1" applyProtection="1">
      <protection hidden="1"/>
    </xf>
    <xf numFmtId="0" fontId="41" fillId="0" borderId="4" xfId="0" applyFont="1" applyBorder="1" applyProtection="1">
      <protection hidden="1"/>
    </xf>
    <xf numFmtId="0" fontId="41" fillId="0" borderId="0" xfId="0" applyFont="1" applyBorder="1" applyAlignment="1" applyProtection="1">
      <alignment horizontal="center"/>
      <protection hidden="1"/>
    </xf>
    <xf numFmtId="2" fontId="41" fillId="4" borderId="0" xfId="0" applyNumberFormat="1" applyFont="1" applyFill="1" applyBorder="1" applyProtection="1">
      <protection hidden="1"/>
    </xf>
    <xf numFmtId="0" fontId="41" fillId="4" borderId="0" xfId="0" applyFont="1" applyFill="1" applyBorder="1" applyProtection="1">
      <protection hidden="1"/>
    </xf>
    <xf numFmtId="0" fontId="41" fillId="0" borderId="8" xfId="0" applyFont="1" applyBorder="1" applyAlignment="1" applyProtection="1">
      <alignment horizontal="center"/>
      <protection hidden="1"/>
    </xf>
    <xf numFmtId="0" fontId="41" fillId="0" borderId="34" xfId="0" applyFont="1" applyBorder="1" applyAlignment="1" applyProtection="1">
      <alignment horizontal="left"/>
      <protection hidden="1"/>
    </xf>
    <xf numFmtId="0" fontId="41" fillId="0" borderId="36" xfId="0" applyFont="1" applyBorder="1" applyAlignment="1" applyProtection="1">
      <alignment horizontal="center"/>
      <protection hidden="1"/>
    </xf>
    <xf numFmtId="0" fontId="41" fillId="0" borderId="3" xfId="0" applyFont="1" applyBorder="1" applyAlignment="1" applyProtection="1">
      <alignment horizontal="left"/>
      <protection hidden="1"/>
    </xf>
    <xf numFmtId="0" fontId="41" fillId="0" borderId="2" xfId="0" applyFont="1" applyBorder="1" applyAlignment="1" applyProtection="1">
      <alignment horizontal="center"/>
      <protection hidden="1"/>
    </xf>
    <xf numFmtId="0" fontId="41" fillId="20" borderId="0" xfId="0" applyFont="1" applyFill="1" applyBorder="1"/>
    <xf numFmtId="0" fontId="41" fillId="20" borderId="0" xfId="0" applyFont="1" applyFill="1" applyBorder="1" applyAlignment="1">
      <alignment horizontal="center"/>
    </xf>
    <xf numFmtId="0" fontId="41" fillId="20" borderId="0" xfId="0" applyFont="1" applyFill="1"/>
    <xf numFmtId="0" fontId="0" fillId="20" borderId="7" xfId="0" applyFill="1" applyBorder="1"/>
    <xf numFmtId="0" fontId="0" fillId="20" borderId="12" xfId="0" applyFill="1" applyBorder="1"/>
    <xf numFmtId="49" fontId="0" fillId="20" borderId="3" xfId="0" applyNumberFormat="1" applyFill="1" applyBorder="1"/>
    <xf numFmtId="0" fontId="41" fillId="20" borderId="10" xfId="0" applyFont="1" applyFill="1" applyBorder="1"/>
    <xf numFmtId="0" fontId="0" fillId="20" borderId="2" xfId="0" applyFill="1" applyBorder="1"/>
    <xf numFmtId="0" fontId="58" fillId="20" borderId="0" xfId="0" applyFont="1" applyFill="1"/>
    <xf numFmtId="0" fontId="41" fillId="20" borderId="7" xfId="0" applyFont="1" applyFill="1" applyBorder="1"/>
    <xf numFmtId="0" fontId="41" fillId="20" borderId="8" xfId="0" applyFont="1" applyFill="1" applyBorder="1"/>
    <xf numFmtId="0" fontId="41" fillId="20" borderId="12" xfId="0" applyFont="1" applyFill="1" applyBorder="1"/>
    <xf numFmtId="0" fontId="41" fillId="20" borderId="3" xfId="0" applyFont="1" applyFill="1" applyBorder="1"/>
    <xf numFmtId="0" fontId="41" fillId="20" borderId="9" xfId="0" applyFont="1" applyFill="1" applyBorder="1"/>
    <xf numFmtId="0" fontId="41" fillId="20" borderId="2" xfId="0" applyFont="1" applyFill="1" applyBorder="1"/>
    <xf numFmtId="0" fontId="41" fillId="20" borderId="11" xfId="0" applyFont="1" applyFill="1" applyBorder="1"/>
    <xf numFmtId="2" fontId="41" fillId="20" borderId="3" xfId="0" applyNumberFormat="1" applyFont="1" applyFill="1" applyBorder="1"/>
    <xf numFmtId="2" fontId="41" fillId="20" borderId="10" xfId="0" applyNumberFormat="1" applyFont="1" applyFill="1" applyBorder="1"/>
    <xf numFmtId="2" fontId="41" fillId="20" borderId="0" xfId="0" applyNumberFormat="1" applyFont="1" applyFill="1"/>
    <xf numFmtId="0" fontId="97" fillId="22" borderId="3" xfId="0" applyFont="1" applyFill="1" applyBorder="1" applyAlignment="1">
      <alignment horizontal="center"/>
    </xf>
    <xf numFmtId="0" fontId="97" fillId="22" borderId="7" xfId="0" applyFont="1" applyFill="1" applyBorder="1" applyAlignment="1">
      <alignment horizontal="center"/>
    </xf>
    <xf numFmtId="1" fontId="0" fillId="0" borderId="38" xfId="0" applyNumberFormat="1" applyFill="1" applyBorder="1" applyAlignment="1" applyProtection="1">
      <alignment horizontal="center"/>
      <protection locked="0"/>
    </xf>
    <xf numFmtId="1" fontId="0" fillId="0" borderId="15" xfId="0" applyNumberFormat="1" applyFill="1" applyBorder="1" applyAlignment="1" applyProtection="1">
      <alignment horizontal="center"/>
      <protection locked="0"/>
    </xf>
    <xf numFmtId="1" fontId="0" fillId="0" borderId="88" xfId="0" applyNumberFormat="1" applyFill="1" applyBorder="1" applyAlignment="1" applyProtection="1">
      <alignment horizontal="center"/>
      <protection locked="0"/>
    </xf>
    <xf numFmtId="1" fontId="0" fillId="0" borderId="89" xfId="0" applyNumberFormat="1" applyFill="1" applyBorder="1" applyAlignment="1" applyProtection="1">
      <alignment horizontal="center"/>
      <protection locked="0"/>
    </xf>
    <xf numFmtId="0" fontId="0" fillId="22" borderId="39" xfId="0" applyFill="1" applyBorder="1" applyAlignment="1">
      <alignment horizontal="center"/>
    </xf>
    <xf numFmtId="0" fontId="97" fillId="22" borderId="0" xfId="0" applyFont="1" applyFill="1" applyBorder="1" applyAlignment="1">
      <alignment horizontal="center"/>
    </xf>
    <xf numFmtId="0" fontId="102" fillId="0" borderId="0" xfId="0" applyFont="1" applyBorder="1"/>
    <xf numFmtId="0" fontId="103" fillId="0" borderId="0" xfId="0" applyFont="1" applyBorder="1"/>
    <xf numFmtId="0" fontId="104" fillId="0" borderId="0" xfId="0" applyFont="1" applyBorder="1"/>
    <xf numFmtId="0" fontId="0" fillId="23" borderId="90" xfId="0" applyFill="1" applyBorder="1"/>
    <xf numFmtId="0" fontId="99" fillId="3" borderId="4" xfId="0" applyFont="1" applyFill="1" applyBorder="1" applyProtection="1">
      <protection locked="0"/>
    </xf>
    <xf numFmtId="0" fontId="99" fillId="3" borderId="5" xfId="0" applyFont="1" applyFill="1" applyBorder="1" applyProtection="1">
      <protection locked="0"/>
    </xf>
    <xf numFmtId="0" fontId="99" fillId="3" borderId="6" xfId="0" applyFont="1" applyFill="1" applyBorder="1" applyProtection="1">
      <protection locked="0"/>
    </xf>
    <xf numFmtId="0" fontId="60" fillId="20" borderId="51" xfId="0" applyFont="1" applyFill="1" applyBorder="1" applyAlignment="1" applyProtection="1">
      <alignment horizontal="center" vertical="center"/>
      <protection locked="0"/>
    </xf>
    <xf numFmtId="0" fontId="60" fillId="20" borderId="91" xfId="0" applyFont="1" applyFill="1" applyBorder="1" applyAlignment="1" applyProtection="1">
      <alignment horizontal="center" vertical="center"/>
      <protection locked="0"/>
    </xf>
    <xf numFmtId="0" fontId="41" fillId="20" borderId="0" xfId="0" applyFont="1" applyFill="1" applyBorder="1" applyAlignment="1">
      <alignment horizontal="center"/>
    </xf>
    <xf numFmtId="0" fontId="41" fillId="0" borderId="0" xfId="0" applyFont="1" applyFill="1"/>
    <xf numFmtId="0" fontId="41" fillId="0" borderId="7" xfId="0" applyFont="1" applyFill="1" applyBorder="1"/>
    <xf numFmtId="0" fontId="41" fillId="0" borderId="3" xfId="0" applyFont="1" applyFill="1" applyBorder="1"/>
    <xf numFmtId="0" fontId="41" fillId="0" borderId="10" xfId="0" applyFont="1" applyFill="1" applyBorder="1"/>
    <xf numFmtId="49" fontId="41" fillId="0" borderId="0" xfId="0" applyNumberFormat="1" applyFont="1"/>
    <xf numFmtId="49" fontId="41" fillId="0" borderId="3" xfId="0" applyNumberFormat="1" applyFont="1" applyBorder="1"/>
    <xf numFmtId="49" fontId="41" fillId="0" borderId="10" xfId="0" applyNumberFormat="1" applyFont="1" applyBorder="1"/>
    <xf numFmtId="1" fontId="41" fillId="0" borderId="8" xfId="0" applyNumberFormat="1" applyFont="1" applyFill="1" applyBorder="1"/>
    <xf numFmtId="0" fontId="41" fillId="20" borderId="0" xfId="0" applyFont="1" applyFill="1" applyBorder="1" applyAlignment="1">
      <alignment horizontal="center"/>
    </xf>
    <xf numFmtId="0" fontId="41" fillId="26" borderId="39" xfId="0" applyFont="1" applyFill="1" applyBorder="1"/>
    <xf numFmtId="0" fontId="41" fillId="20" borderId="0" xfId="0" applyFont="1" applyFill="1" applyBorder="1" applyAlignment="1">
      <alignment horizontal="left"/>
    </xf>
    <xf numFmtId="0" fontId="41" fillId="20" borderId="0" xfId="0" applyFont="1" applyFill="1" applyBorder="1" applyAlignment="1"/>
    <xf numFmtId="0" fontId="60" fillId="20" borderId="0" xfId="0" applyFont="1" applyFill="1" applyBorder="1"/>
    <xf numFmtId="0" fontId="0" fillId="0" borderId="0" xfId="0" applyBorder="1" applyAlignment="1">
      <alignment vertical="center"/>
    </xf>
    <xf numFmtId="0" fontId="41" fillId="3" borderId="0" xfId="0" applyFont="1" applyFill="1" applyBorder="1" applyAlignment="1">
      <alignment horizontal="center" vertical="top" wrapText="1"/>
    </xf>
    <xf numFmtId="0" fontId="41" fillId="20" borderId="39" xfId="0" applyFont="1" applyFill="1" applyBorder="1" applyAlignment="1">
      <alignment horizontal="center"/>
    </xf>
    <xf numFmtId="2" fontId="41" fillId="20" borderId="0" xfId="0" applyNumberFormat="1" applyFont="1" applyFill="1" applyBorder="1" applyAlignment="1">
      <alignment vertical="center"/>
    </xf>
    <xf numFmtId="0" fontId="41" fillId="20" borderId="0" xfId="0" applyFont="1" applyFill="1" applyBorder="1" applyAlignment="1">
      <alignment wrapText="1"/>
    </xf>
    <xf numFmtId="166" fontId="41" fillId="5" borderId="8" xfId="0" applyNumberFormat="1" applyFont="1" applyFill="1" applyBorder="1"/>
    <xf numFmtId="166" fontId="41" fillId="5" borderId="92" xfId="0" applyNumberFormat="1" applyFont="1" applyFill="1" applyBorder="1"/>
    <xf numFmtId="0" fontId="41" fillId="22" borderId="7" xfId="0" applyFont="1" applyFill="1" applyBorder="1"/>
    <xf numFmtId="0" fontId="41" fillId="22" borderId="8" xfId="0" applyFont="1" applyFill="1" applyBorder="1" applyAlignment="1">
      <alignment wrapText="1"/>
    </xf>
    <xf numFmtId="0" fontId="41" fillId="22" borderId="12" xfId="0" applyFont="1" applyFill="1" applyBorder="1"/>
    <xf numFmtId="0" fontId="41" fillId="22" borderId="10" xfId="0" applyFont="1" applyFill="1" applyBorder="1"/>
    <xf numFmtId="0" fontId="41" fillId="22" borderId="2" xfId="0" applyFont="1" applyFill="1" applyBorder="1" applyAlignment="1">
      <alignment wrapText="1"/>
    </xf>
    <xf numFmtId="0" fontId="41" fillId="22" borderId="34" xfId="0" applyFont="1" applyFill="1" applyBorder="1" applyAlignment="1">
      <alignment horizontal="left"/>
    </xf>
    <xf numFmtId="0" fontId="41" fillId="22" borderId="36" xfId="0" applyFont="1" applyFill="1" applyBorder="1" applyAlignment="1">
      <alignment horizontal="left"/>
    </xf>
    <xf numFmtId="0" fontId="58" fillId="0" borderId="8" xfId="0" applyFont="1" applyBorder="1"/>
    <xf numFmtId="0" fontId="58" fillId="0" borderId="0" xfId="0" applyFont="1"/>
    <xf numFmtId="0" fontId="69" fillId="0" borderId="0" xfId="0" applyFont="1" applyFill="1" applyBorder="1" applyAlignment="1">
      <alignment horizontal="left" vertical="top" wrapText="1"/>
    </xf>
    <xf numFmtId="2" fontId="47" fillId="0" borderId="0" xfId="0" applyNumberFormat="1" applyFont="1" applyFill="1" applyBorder="1" applyAlignment="1">
      <alignment vertical="center"/>
    </xf>
    <xf numFmtId="0" fontId="47" fillId="0" borderId="0" xfId="0" applyFont="1" applyFill="1" applyBorder="1" applyAlignment="1">
      <alignment vertical="center"/>
    </xf>
    <xf numFmtId="0" fontId="41" fillId="5" borderId="10" xfId="0" applyFont="1" applyFill="1" applyBorder="1" applyAlignment="1">
      <alignment vertical="center"/>
    </xf>
    <xf numFmtId="0" fontId="41" fillId="5" borderId="2" xfId="0" applyFont="1" applyFill="1" applyBorder="1" applyAlignment="1">
      <alignment vertical="center"/>
    </xf>
    <xf numFmtId="0" fontId="41" fillId="5" borderId="11" xfId="0" applyFont="1" applyFill="1" applyBorder="1"/>
    <xf numFmtId="0" fontId="67" fillId="0" borderId="0" xfId="0" applyFont="1" applyFill="1" applyBorder="1" applyAlignment="1">
      <alignment vertical="center" wrapText="1"/>
    </xf>
    <xf numFmtId="0" fontId="41" fillId="22" borderId="3" xfId="0" applyFont="1" applyFill="1" applyBorder="1" applyAlignment="1">
      <alignment vertical="center"/>
    </xf>
    <xf numFmtId="0" fontId="67" fillId="22" borderId="12" xfId="0" applyFont="1" applyFill="1" applyBorder="1"/>
    <xf numFmtId="0" fontId="90" fillId="22" borderId="10" xfId="0" applyFont="1" applyFill="1" applyBorder="1"/>
    <xf numFmtId="0" fontId="67" fillId="22" borderId="2" xfId="0" applyFont="1" applyFill="1" applyBorder="1"/>
    <xf numFmtId="0" fontId="67" fillId="22" borderId="11" xfId="0" applyFont="1" applyFill="1" applyBorder="1"/>
    <xf numFmtId="0" fontId="90" fillId="22" borderId="8" xfId="0" applyFont="1" applyFill="1" applyBorder="1" applyAlignment="1">
      <alignment vertical="center"/>
    </xf>
    <xf numFmtId="3" fontId="90" fillId="22" borderId="2" xfId="0" applyNumberFormat="1" applyFont="1" applyFill="1" applyBorder="1" applyAlignment="1"/>
    <xf numFmtId="0" fontId="41" fillId="17" borderId="0" xfId="0" applyFont="1" applyFill="1" applyAlignment="1">
      <alignment horizontal="center"/>
    </xf>
    <xf numFmtId="1" fontId="41" fillId="20" borderId="0" xfId="0" applyNumberFormat="1" applyFont="1" applyFill="1" applyBorder="1" applyAlignment="1">
      <alignment vertical="center"/>
    </xf>
    <xf numFmtId="0" fontId="41" fillId="20" borderId="0" xfId="0" applyFont="1" applyFill="1" applyBorder="1" applyAlignment="1">
      <alignment vertical="center"/>
    </xf>
    <xf numFmtId="0" fontId="45" fillId="0" borderId="7" xfId="0" applyFont="1" applyFill="1" applyBorder="1"/>
    <xf numFmtId="0" fontId="50" fillId="0" borderId="8" xfId="0" applyFont="1" applyFill="1" applyBorder="1"/>
    <xf numFmtId="0" fontId="41" fillId="0" borderId="9" xfId="0" applyFont="1" applyFill="1" applyBorder="1" applyAlignment="1"/>
    <xf numFmtId="0" fontId="41" fillId="23" borderId="39" xfId="0" applyFont="1" applyFill="1" applyBorder="1" applyAlignment="1">
      <alignment horizontal="center"/>
    </xf>
    <xf numFmtId="0" fontId="0" fillId="22" borderId="11" xfId="0" applyFill="1" applyBorder="1" applyAlignment="1">
      <alignment horizontal="center" vertical="center"/>
    </xf>
    <xf numFmtId="0" fontId="105" fillId="3" borderId="3" xfId="0" applyFont="1" applyFill="1" applyBorder="1" applyAlignment="1"/>
    <xf numFmtId="166" fontId="78" fillId="22" borderId="0" xfId="0" applyNumberFormat="1" applyFont="1" applyFill="1" applyBorder="1" applyAlignment="1">
      <alignment horizontal="center"/>
    </xf>
    <xf numFmtId="166" fontId="99" fillId="22" borderId="0" xfId="0" applyNumberFormat="1" applyFont="1" applyFill="1" applyBorder="1" applyAlignment="1">
      <alignment horizontal="center"/>
    </xf>
    <xf numFmtId="166" fontId="47" fillId="22" borderId="0" xfId="0" applyNumberFormat="1" applyFont="1" applyFill="1" applyBorder="1" applyAlignment="1">
      <alignment horizontal="center"/>
    </xf>
    <xf numFmtId="166" fontId="48" fillId="22" borderId="0" xfId="0" applyNumberFormat="1" applyFont="1" applyFill="1" applyBorder="1" applyAlignment="1">
      <alignment horizontal="center"/>
    </xf>
    <xf numFmtId="166" fontId="46" fillId="22" borderId="40" xfId="0" applyNumberFormat="1" applyFont="1" applyFill="1" applyBorder="1" applyAlignment="1">
      <alignment horizontal="center" vertical="center"/>
    </xf>
    <xf numFmtId="166" fontId="99" fillId="22" borderId="41" xfId="0" applyNumberFormat="1" applyFont="1" applyFill="1" applyBorder="1" applyAlignment="1">
      <alignment horizontal="center" vertical="center"/>
    </xf>
    <xf numFmtId="166" fontId="47" fillId="22" borderId="41" xfId="0" applyNumberFormat="1" applyFont="1" applyFill="1" applyBorder="1" applyAlignment="1">
      <alignment horizontal="center" vertical="center"/>
    </xf>
    <xf numFmtId="166" fontId="48" fillId="22" borderId="41" xfId="0" applyNumberFormat="1" applyFont="1" applyFill="1" applyBorder="1" applyAlignment="1">
      <alignment horizontal="center" vertical="center"/>
    </xf>
    <xf numFmtId="0" fontId="106" fillId="0" borderId="2" xfId="0" applyFont="1" applyBorder="1"/>
    <xf numFmtId="0" fontId="106" fillId="0" borderId="0" xfId="0" applyFont="1" applyBorder="1"/>
    <xf numFmtId="0" fontId="99" fillId="22" borderId="0" xfId="0" applyFont="1" applyFill="1" applyBorder="1" applyAlignment="1">
      <alignment horizontal="center"/>
    </xf>
    <xf numFmtId="0" fontId="99" fillId="22" borderId="2" xfId="0" applyFont="1" applyFill="1" applyBorder="1" applyAlignment="1">
      <alignment horizontal="center"/>
    </xf>
    <xf numFmtId="0" fontId="99" fillId="22" borderId="9" xfId="0" applyFont="1" applyFill="1" applyBorder="1" applyAlignment="1">
      <alignment horizontal="center"/>
    </xf>
    <xf numFmtId="0" fontId="99" fillId="22" borderId="3" xfId="0" applyFont="1" applyFill="1" applyBorder="1" applyAlignment="1">
      <alignment horizontal="center"/>
    </xf>
    <xf numFmtId="0" fontId="99" fillId="22" borderId="11" xfId="0" applyFont="1" applyFill="1" applyBorder="1" applyAlignment="1">
      <alignment horizontal="center"/>
    </xf>
    <xf numFmtId="0" fontId="99" fillId="22" borderId="8" xfId="0" applyFont="1" applyFill="1" applyBorder="1" applyAlignment="1">
      <alignment horizontal="center"/>
    </xf>
    <xf numFmtId="0" fontId="99" fillId="22" borderId="12" xfId="0" applyFont="1" applyFill="1" applyBorder="1" applyAlignment="1">
      <alignment horizontal="center"/>
    </xf>
    <xf numFmtId="0" fontId="99" fillId="22" borderId="3" xfId="0" applyFont="1" applyFill="1" applyBorder="1"/>
    <xf numFmtId="0" fontId="99" fillId="22" borderId="0" xfId="0" applyFont="1" applyFill="1" applyBorder="1"/>
    <xf numFmtId="0" fontId="99" fillId="22" borderId="9" xfId="0" applyFont="1" applyFill="1" applyBorder="1"/>
    <xf numFmtId="1" fontId="41" fillId="22" borderId="39" xfId="0" applyNumberFormat="1" applyFont="1" applyFill="1" applyBorder="1" applyAlignment="1">
      <alignment horizontal="center"/>
    </xf>
    <xf numFmtId="1" fontId="41" fillId="22" borderId="11" xfId="0" applyNumberFormat="1" applyFont="1" applyFill="1" applyBorder="1" applyAlignment="1">
      <alignment vertical="center"/>
    </xf>
    <xf numFmtId="0" fontId="99" fillId="0" borderId="0" xfId="0" applyFont="1" applyFill="1"/>
    <xf numFmtId="0" fontId="107" fillId="0" borderId="0" xfId="0" applyFont="1" applyFill="1" applyBorder="1"/>
    <xf numFmtId="0" fontId="99" fillId="0" borderId="0" xfId="0" applyFont="1" applyFill="1" applyAlignment="1">
      <alignment horizontal="right"/>
    </xf>
    <xf numFmtId="0" fontId="108" fillId="0" borderId="0" xfId="0" applyFont="1" applyFill="1"/>
    <xf numFmtId="0" fontId="108" fillId="0" borderId="0" xfId="0" applyFont="1" applyFill="1" applyAlignment="1"/>
    <xf numFmtId="0" fontId="109" fillId="0" borderId="0" xfId="0" applyFont="1" applyFill="1" applyAlignment="1">
      <alignment horizontal="right"/>
    </xf>
    <xf numFmtId="0" fontId="109" fillId="0" borderId="0" xfId="0" applyFont="1" applyFill="1" applyAlignment="1"/>
    <xf numFmtId="0" fontId="109" fillId="0" borderId="0" xfId="0" applyFont="1" applyFill="1"/>
    <xf numFmtId="0" fontId="110" fillId="0" borderId="0" xfId="0" applyFont="1" applyFill="1"/>
    <xf numFmtId="0" fontId="110" fillId="0" borderId="0" xfId="0" applyFont="1" applyFill="1" applyAlignment="1">
      <alignment horizontal="right"/>
    </xf>
    <xf numFmtId="0" fontId="111" fillId="0" borderId="0" xfId="1" applyFont="1" applyFill="1" applyAlignment="1" applyProtection="1">
      <alignment horizontal="center" vertical="center"/>
    </xf>
    <xf numFmtId="0" fontId="99" fillId="0" borderId="7" xfId="0" applyFont="1" applyBorder="1"/>
    <xf numFmtId="0" fontId="99" fillId="0" borderId="8" xfId="0" applyFont="1" applyBorder="1"/>
    <xf numFmtId="0" fontId="99" fillId="0" borderId="12" xfId="0" applyFont="1" applyBorder="1"/>
    <xf numFmtId="0" fontId="99" fillId="0" borderId="3" xfId="0" applyFont="1" applyBorder="1"/>
    <xf numFmtId="0" fontId="99" fillId="0" borderId="0" xfId="0" applyFont="1" applyBorder="1"/>
    <xf numFmtId="0" fontId="99" fillId="0" borderId="9" xfId="0" applyFont="1" applyBorder="1"/>
    <xf numFmtId="0" fontId="112" fillId="0" borderId="0" xfId="0" applyFont="1" applyBorder="1"/>
    <xf numFmtId="0" fontId="106" fillId="23" borderId="3" xfId="0" applyFont="1" applyFill="1" applyBorder="1" applyAlignment="1">
      <alignment horizontal="center"/>
    </xf>
    <xf numFmtId="0" fontId="106" fillId="22" borderId="4" xfId="0" applyFont="1" applyFill="1" applyBorder="1" applyAlignment="1">
      <alignment horizontal="center"/>
    </xf>
    <xf numFmtId="0" fontId="106" fillId="23" borderId="4" xfId="0" applyFont="1" applyFill="1" applyBorder="1" applyAlignment="1">
      <alignment horizontal="center"/>
    </xf>
    <xf numFmtId="0" fontId="106" fillId="22" borderId="9" xfId="0" applyFont="1" applyFill="1" applyBorder="1" applyAlignment="1">
      <alignment horizontal="center"/>
    </xf>
    <xf numFmtId="0" fontId="99" fillId="23" borderId="3" xfId="0" applyFont="1" applyFill="1" applyBorder="1"/>
    <xf numFmtId="0" fontId="99" fillId="22" borderId="5" xfId="0" applyFont="1" applyFill="1" applyBorder="1" applyAlignment="1">
      <alignment horizontal="center"/>
    </xf>
    <xf numFmtId="0" fontId="99" fillId="23" borderId="5" xfId="0" applyFont="1" applyFill="1" applyBorder="1" applyAlignment="1">
      <alignment horizontal="center"/>
    </xf>
    <xf numFmtId="0" fontId="99" fillId="23" borderId="10" xfId="0" applyFont="1" applyFill="1" applyBorder="1"/>
    <xf numFmtId="0" fontId="99" fillId="22" borderId="6" xfId="0" applyFont="1" applyFill="1" applyBorder="1" applyAlignment="1">
      <alignment horizontal="center"/>
    </xf>
    <xf numFmtId="0" fontId="99" fillId="23" borderId="6" xfId="0" applyFont="1" applyFill="1" applyBorder="1" applyAlignment="1">
      <alignment horizontal="center"/>
    </xf>
    <xf numFmtId="0" fontId="99" fillId="23" borderId="5" xfId="0" applyFont="1" applyFill="1" applyBorder="1"/>
    <xf numFmtId="0" fontId="99" fillId="23" borderId="6" xfId="0" applyFont="1" applyFill="1" applyBorder="1"/>
    <xf numFmtId="0" fontId="106" fillId="22" borderId="34" xfId="0" applyFont="1" applyFill="1" applyBorder="1" applyAlignment="1">
      <alignment horizontal="left"/>
    </xf>
    <xf numFmtId="0" fontId="99" fillId="0" borderId="10" xfId="0" applyFont="1" applyBorder="1"/>
    <xf numFmtId="0" fontId="99" fillId="0" borderId="2" xfId="0" applyFont="1" applyBorder="1"/>
    <xf numFmtId="0" fontId="99" fillId="0" borderId="11" xfId="0" applyFont="1" applyBorder="1"/>
    <xf numFmtId="0" fontId="99" fillId="0" borderId="0" xfId="0" applyFont="1" applyAlignment="1">
      <alignment horizontal="center"/>
    </xf>
    <xf numFmtId="0" fontId="99" fillId="0" borderId="8" xfId="0" applyFont="1" applyBorder="1" applyAlignment="1"/>
    <xf numFmtId="0" fontId="113" fillId="0" borderId="7" xfId="0" applyFont="1" applyFill="1" applyBorder="1"/>
    <xf numFmtId="0" fontId="108" fillId="26" borderId="7" xfId="0" applyFont="1" applyFill="1" applyBorder="1" applyAlignment="1"/>
    <xf numFmtId="0" fontId="108" fillId="26" borderId="8" xfId="0" applyFont="1" applyFill="1" applyBorder="1" applyAlignment="1"/>
    <xf numFmtId="0" fontId="108" fillId="26" borderId="12" xfId="0" applyFont="1" applyFill="1" applyBorder="1" applyAlignment="1"/>
    <xf numFmtId="0" fontId="106" fillId="21" borderId="3" xfId="0" applyFont="1" applyFill="1" applyBorder="1" applyAlignment="1">
      <alignment horizontal="center"/>
    </xf>
    <xf numFmtId="0" fontId="106" fillId="21" borderId="7" xfId="0" applyFont="1" applyFill="1" applyBorder="1" applyAlignment="1">
      <alignment horizontal="center"/>
    </xf>
    <xf numFmtId="0" fontId="106" fillId="21" borderId="8" xfId="0" applyFont="1" applyFill="1" applyBorder="1" applyAlignment="1">
      <alignment horizontal="center"/>
    </xf>
    <xf numFmtId="0" fontId="106" fillId="21" borderId="12" xfId="0" applyFont="1" applyFill="1" applyBorder="1" applyAlignment="1">
      <alignment horizontal="center"/>
    </xf>
    <xf numFmtId="0" fontId="106" fillId="0" borderId="0" xfId="0" applyFont="1" applyFill="1" applyBorder="1" applyAlignment="1">
      <alignment horizontal="center"/>
    </xf>
    <xf numFmtId="0" fontId="106" fillId="21" borderId="0" xfId="0" applyFont="1" applyFill="1" applyBorder="1" applyAlignment="1">
      <alignment horizontal="center"/>
    </xf>
    <xf numFmtId="0" fontId="106" fillId="21" borderId="9" xfId="0" applyFont="1" applyFill="1" applyBorder="1" applyAlignment="1">
      <alignment horizontal="center"/>
    </xf>
    <xf numFmtId="0" fontId="114" fillId="0" borderId="0" xfId="0" applyFont="1" applyFill="1" applyBorder="1"/>
    <xf numFmtId="0" fontId="99" fillId="19" borderId="3" xfId="0" applyFont="1" applyFill="1" applyBorder="1"/>
    <xf numFmtId="0" fontId="99" fillId="19" borderId="3" xfId="0" applyFont="1" applyFill="1" applyBorder="1" applyAlignment="1">
      <alignment horizontal="center"/>
    </xf>
    <xf numFmtId="0" fontId="99" fillId="19" borderId="0" xfId="0" applyFont="1" applyFill="1" applyBorder="1" applyAlignment="1">
      <alignment horizontal="center"/>
    </xf>
    <xf numFmtId="0" fontId="99" fillId="19" borderId="9" xfId="0" applyFont="1" applyFill="1" applyBorder="1" applyAlignment="1">
      <alignment horizontal="center"/>
    </xf>
    <xf numFmtId="0" fontId="99" fillId="19" borderId="7" xfId="0" applyFont="1" applyFill="1" applyBorder="1" applyAlignment="1">
      <alignment horizontal="center"/>
    </xf>
    <xf numFmtId="0" fontId="99" fillId="19" borderId="8" xfId="0" applyFont="1" applyFill="1" applyBorder="1" applyAlignment="1">
      <alignment horizontal="center"/>
    </xf>
    <xf numFmtId="0" fontId="99" fillId="19" borderId="12" xfId="0" applyFont="1" applyFill="1" applyBorder="1" applyAlignment="1">
      <alignment horizontal="center"/>
    </xf>
    <xf numFmtId="0" fontId="99" fillId="23" borderId="34" xfId="0" applyFont="1" applyFill="1" applyBorder="1"/>
    <xf numFmtId="0" fontId="99" fillId="23" borderId="13" xfId="0" applyFont="1" applyFill="1" applyBorder="1"/>
    <xf numFmtId="0" fontId="99" fillId="23" borderId="13" xfId="0" applyFont="1" applyFill="1" applyBorder="1" applyAlignment="1">
      <alignment horizontal="center"/>
    </xf>
    <xf numFmtId="0" fontId="99" fillId="23" borderId="36" xfId="0" applyFont="1" applyFill="1" applyBorder="1"/>
    <xf numFmtId="0" fontId="99" fillId="23" borderId="7" xfId="0" applyFont="1" applyFill="1" applyBorder="1"/>
    <xf numFmtId="0" fontId="99" fillId="23" borderId="12" xfId="0" applyFont="1" applyFill="1" applyBorder="1" applyAlignment="1">
      <alignment horizontal="center"/>
    </xf>
    <xf numFmtId="0" fontId="99" fillId="23" borderId="39" xfId="0" applyFont="1" applyFill="1" applyBorder="1"/>
    <xf numFmtId="0" fontId="99" fillId="23" borderId="39" xfId="0" applyFont="1" applyFill="1" applyBorder="1" applyAlignment="1">
      <alignment horizontal="center"/>
    </xf>
    <xf numFmtId="0" fontId="99" fillId="21" borderId="3" xfId="0" applyFont="1" applyFill="1" applyBorder="1"/>
    <xf numFmtId="0" fontId="99" fillId="22" borderId="7" xfId="0" applyFont="1" applyFill="1" applyBorder="1"/>
    <xf numFmtId="0" fontId="99" fillId="20" borderId="93" xfId="0" applyFont="1" applyFill="1" applyBorder="1" applyAlignment="1" applyProtection="1">
      <alignment horizontal="center"/>
      <protection locked="0"/>
    </xf>
    <xf numFmtId="0" fontId="99" fillId="0" borderId="12" xfId="0" applyFont="1" applyFill="1" applyBorder="1" applyAlignment="1" applyProtection="1">
      <alignment horizontal="center"/>
      <protection locked="0"/>
    </xf>
    <xf numFmtId="0" fontId="99" fillId="22" borderId="4" xfId="0" applyFont="1" applyFill="1" applyBorder="1"/>
    <xf numFmtId="0" fontId="99" fillId="20" borderId="4" xfId="0" applyFont="1" applyFill="1" applyBorder="1" applyAlignment="1" applyProtection="1">
      <alignment horizontal="center"/>
      <protection locked="0"/>
    </xf>
    <xf numFmtId="164" fontId="115" fillId="22" borderId="39" xfId="0" applyNumberFormat="1" applyFont="1" applyFill="1" applyBorder="1" applyAlignment="1">
      <alignment horizontal="center"/>
    </xf>
    <xf numFmtId="1" fontId="115" fillId="22" borderId="39" xfId="0" applyNumberFormat="1" applyFont="1" applyFill="1" applyBorder="1" applyAlignment="1">
      <alignment horizontal="center"/>
    </xf>
    <xf numFmtId="0" fontId="99" fillId="20" borderId="48" xfId="0" applyFont="1" applyFill="1" applyBorder="1" applyAlignment="1" applyProtection="1">
      <alignment horizontal="center"/>
      <protection locked="0"/>
    </xf>
    <xf numFmtId="0" fontId="99" fillId="0" borderId="25" xfId="0" applyFont="1" applyBorder="1" applyAlignment="1" applyProtection="1">
      <alignment horizontal="center"/>
      <protection locked="0"/>
    </xf>
    <xf numFmtId="0" fontId="99" fillId="20" borderId="38" xfId="0" applyFont="1" applyFill="1" applyBorder="1" applyAlignment="1" applyProtection="1">
      <alignment horizontal="center"/>
      <protection locked="0"/>
    </xf>
    <xf numFmtId="0" fontId="99" fillId="22" borderId="6" xfId="0" applyFont="1" applyFill="1" applyBorder="1"/>
    <xf numFmtId="0" fontId="99" fillId="0" borderId="6" xfId="0" applyFont="1" applyBorder="1" applyAlignment="1" applyProtection="1">
      <alignment horizontal="center"/>
      <protection locked="0"/>
    </xf>
    <xf numFmtId="0" fontId="99" fillId="20" borderId="94" xfId="0" applyFont="1" applyFill="1" applyBorder="1" applyAlignment="1" applyProtection="1">
      <alignment horizontal="center"/>
      <protection locked="0"/>
    </xf>
    <xf numFmtId="0" fontId="99" fillId="20" borderId="0" xfId="0" applyFont="1" applyFill="1" applyBorder="1"/>
    <xf numFmtId="0" fontId="99" fillId="20" borderId="0" xfId="0" applyFont="1" applyFill="1" applyBorder="1" applyAlignment="1">
      <alignment horizontal="center"/>
    </xf>
    <xf numFmtId="0" fontId="113" fillId="20" borderId="2" xfId="0" applyFont="1" applyFill="1" applyBorder="1"/>
    <xf numFmtId="0" fontId="99" fillId="20" borderId="31" xfId="0" applyFont="1" applyFill="1" applyBorder="1" applyAlignment="1" applyProtection="1">
      <alignment horizontal="center"/>
      <protection locked="0"/>
    </xf>
    <xf numFmtId="0" fontId="99" fillId="22" borderId="4" xfId="0" applyFont="1" applyFill="1" applyBorder="1" applyAlignment="1">
      <alignment horizontal="center"/>
    </xf>
    <xf numFmtId="0" fontId="99" fillId="20" borderId="29" xfId="0" applyFont="1" applyFill="1" applyBorder="1" applyAlignment="1" applyProtection="1">
      <alignment horizontal="center"/>
      <protection locked="0"/>
    </xf>
    <xf numFmtId="0" fontId="108" fillId="20" borderId="8" xfId="0" applyFont="1" applyFill="1" applyBorder="1"/>
    <xf numFmtId="0" fontId="99" fillId="20" borderId="8" xfId="0" applyFont="1" applyFill="1" applyBorder="1"/>
    <xf numFmtId="0" fontId="108" fillId="20" borderId="8" xfId="0" applyFont="1" applyFill="1" applyBorder="1" applyAlignment="1">
      <alignment horizontal="center"/>
    </xf>
    <xf numFmtId="0" fontId="108" fillId="20" borderId="12" xfId="0" applyFont="1" applyFill="1" applyBorder="1" applyAlignment="1">
      <alignment horizontal="center"/>
    </xf>
    <xf numFmtId="0" fontId="99" fillId="20" borderId="25" xfId="0" applyFont="1" applyFill="1" applyBorder="1" applyAlignment="1" applyProtection="1">
      <alignment horizontal="center"/>
      <protection locked="0"/>
    </xf>
    <xf numFmtId="0" fontId="99" fillId="20" borderId="26" xfId="0" applyFont="1" applyFill="1" applyBorder="1" applyAlignment="1" applyProtection="1">
      <alignment horizontal="center"/>
      <protection locked="0"/>
    </xf>
    <xf numFmtId="0" fontId="67" fillId="23" borderId="7" xfId="0" applyFont="1" applyFill="1" applyBorder="1"/>
    <xf numFmtId="0" fontId="99" fillId="23" borderId="8" xfId="0" applyFont="1" applyFill="1" applyBorder="1"/>
    <xf numFmtId="0" fontId="99" fillId="23" borderId="12" xfId="0" applyFont="1" applyFill="1" applyBorder="1"/>
    <xf numFmtId="0" fontId="99" fillId="20" borderId="9" xfId="0" applyFont="1" applyFill="1" applyBorder="1"/>
    <xf numFmtId="0" fontId="99" fillId="20" borderId="21" xfId="0" applyFont="1" applyFill="1" applyBorder="1" applyAlignment="1" applyProtection="1">
      <alignment horizontal="center"/>
      <protection locked="0"/>
    </xf>
    <xf numFmtId="0" fontId="99" fillId="20" borderId="23" xfId="0" applyFont="1" applyFill="1" applyBorder="1" applyAlignment="1" applyProtection="1">
      <alignment horizontal="center"/>
      <protection locked="0"/>
    </xf>
    <xf numFmtId="0" fontId="99" fillId="20" borderId="6" xfId="0" applyFont="1" applyFill="1" applyBorder="1" applyAlignment="1" applyProtection="1">
      <alignment horizontal="center"/>
      <protection locked="0"/>
    </xf>
    <xf numFmtId="0" fontId="106" fillId="22" borderId="9" xfId="0" applyFont="1" applyFill="1" applyBorder="1"/>
    <xf numFmtId="0" fontId="106" fillId="20" borderId="9" xfId="0" applyFont="1" applyFill="1" applyBorder="1"/>
    <xf numFmtId="0" fontId="99" fillId="23" borderId="2" xfId="0" applyFont="1" applyFill="1" applyBorder="1"/>
    <xf numFmtId="0" fontId="99" fillId="23" borderId="2" xfId="0" applyFont="1" applyFill="1" applyBorder="1" applyAlignment="1">
      <alignment horizontal="center"/>
    </xf>
    <xf numFmtId="0" fontId="106" fillId="23" borderId="11" xfId="0" applyFont="1" applyFill="1" applyBorder="1" applyAlignment="1">
      <alignment horizontal="center"/>
    </xf>
    <xf numFmtId="0" fontId="106" fillId="20" borderId="9" xfId="0" applyFont="1" applyFill="1" applyBorder="1" applyAlignment="1">
      <alignment horizontal="center"/>
    </xf>
    <xf numFmtId="0" fontId="99" fillId="23" borderId="8" xfId="0" applyFont="1" applyFill="1" applyBorder="1" applyAlignment="1">
      <alignment horizontal="center"/>
    </xf>
    <xf numFmtId="0" fontId="99" fillId="21" borderId="10" xfId="0" applyFont="1" applyFill="1" applyBorder="1"/>
    <xf numFmtId="0" fontId="99" fillId="19" borderId="10" xfId="0" applyFont="1" applyFill="1" applyBorder="1" applyAlignment="1">
      <alignment horizontal="center"/>
    </xf>
    <xf numFmtId="0" fontId="99" fillId="19" borderId="2" xfId="0" applyFont="1" applyFill="1" applyBorder="1" applyAlignment="1">
      <alignment horizontal="center"/>
    </xf>
    <xf numFmtId="0" fontId="99" fillId="19" borderId="11" xfId="0" applyFont="1" applyFill="1" applyBorder="1" applyAlignment="1">
      <alignment horizontal="center"/>
    </xf>
    <xf numFmtId="0" fontId="106" fillId="20" borderId="0" xfId="0" applyFont="1" applyFill="1" applyBorder="1"/>
    <xf numFmtId="0" fontId="108" fillId="20" borderId="2" xfId="0" applyFont="1" applyFill="1" applyBorder="1" applyAlignment="1">
      <alignment horizontal="center"/>
    </xf>
    <xf numFmtId="0" fontId="106" fillId="23" borderId="12" xfId="0" applyFont="1" applyFill="1" applyBorder="1"/>
    <xf numFmtId="0" fontId="67" fillId="23" borderId="3" xfId="0" applyFont="1" applyFill="1" applyBorder="1"/>
    <xf numFmtId="0" fontId="99" fillId="23" borderId="0" xfId="0" applyFont="1" applyFill="1" applyBorder="1"/>
    <xf numFmtId="0" fontId="106" fillId="23" borderId="9" xfId="0" applyFont="1" applyFill="1" applyBorder="1"/>
    <xf numFmtId="0" fontId="99" fillId="0" borderId="0" xfId="0" applyFont="1" applyFill="1" applyBorder="1" applyAlignment="1">
      <alignment horizontal="center"/>
    </xf>
    <xf numFmtId="0" fontId="115" fillId="23" borderId="6" xfId="0" applyFont="1" applyFill="1" applyBorder="1" applyAlignment="1">
      <alignment horizontal="center"/>
    </xf>
    <xf numFmtId="0" fontId="99" fillId="22" borderId="95" xfId="0" applyFont="1" applyFill="1" applyBorder="1" applyAlignment="1">
      <alignment horizontal="center"/>
    </xf>
    <xf numFmtId="0" fontId="90" fillId="26" borderId="7" xfId="0" applyFont="1" applyFill="1" applyBorder="1" applyAlignment="1"/>
    <xf numFmtId="0" fontId="90" fillId="26" borderId="8" xfId="0" applyFont="1" applyFill="1" applyBorder="1" applyAlignment="1"/>
    <xf numFmtId="0" fontId="90" fillId="26" borderId="12" xfId="0" applyFont="1" applyFill="1" applyBorder="1" applyAlignment="1"/>
    <xf numFmtId="0" fontId="90" fillId="0" borderId="0" xfId="0" applyFont="1" applyFill="1" applyBorder="1" applyAlignment="1">
      <alignment horizontal="center"/>
    </xf>
    <xf numFmtId="164" fontId="99" fillId="0" borderId="0" xfId="0" applyNumberFormat="1" applyFont="1" applyFill="1" applyBorder="1" applyAlignment="1">
      <alignment horizontal="center"/>
    </xf>
    <xf numFmtId="0" fontId="113" fillId="0" borderId="0" xfId="0" applyFont="1"/>
    <xf numFmtId="0" fontId="116" fillId="0" borderId="2" xfId="0" applyFont="1" applyBorder="1"/>
    <xf numFmtId="4" fontId="99" fillId="19" borderId="7" xfId="0" applyNumberFormat="1" applyFont="1" applyFill="1" applyBorder="1" applyAlignment="1">
      <alignment horizontal="center"/>
    </xf>
    <xf numFmtId="4" fontId="99" fillId="19" borderId="8" xfId="0" applyNumberFormat="1" applyFont="1" applyFill="1" applyBorder="1" applyAlignment="1">
      <alignment horizontal="center"/>
    </xf>
    <xf numFmtId="4" fontId="99" fillId="19" borderId="12" xfId="0" applyNumberFormat="1" applyFont="1" applyFill="1" applyBorder="1" applyAlignment="1">
      <alignment horizontal="center"/>
    </xf>
    <xf numFmtId="0" fontId="99" fillId="21" borderId="3" xfId="0" applyFont="1" applyFill="1" applyBorder="1" applyAlignment="1">
      <alignment horizontal="center"/>
    </xf>
    <xf numFmtId="0" fontId="99" fillId="21" borderId="0" xfId="0" applyFont="1" applyFill="1" applyBorder="1" applyAlignment="1">
      <alignment horizontal="center"/>
    </xf>
    <xf numFmtId="0" fontId="99" fillId="21" borderId="9" xfId="0" applyFont="1" applyFill="1" applyBorder="1" applyAlignment="1">
      <alignment horizontal="center"/>
    </xf>
    <xf numFmtId="4" fontId="99" fillId="19" borderId="3" xfId="0" applyNumberFormat="1" applyFont="1" applyFill="1" applyBorder="1" applyAlignment="1">
      <alignment horizontal="center"/>
    </xf>
    <xf numFmtId="4" fontId="99" fillId="19" borderId="0" xfId="0" applyNumberFormat="1" applyFont="1" applyFill="1" applyBorder="1" applyAlignment="1">
      <alignment horizontal="center"/>
    </xf>
    <xf numFmtId="4" fontId="99" fillId="19" borderId="9" xfId="0" applyNumberFormat="1" applyFont="1" applyFill="1" applyBorder="1" applyAlignment="1">
      <alignment horizontal="center"/>
    </xf>
    <xf numFmtId="0" fontId="67" fillId="23" borderId="7" xfId="0" applyFont="1" applyFill="1" applyBorder="1" applyAlignment="1">
      <alignment vertical="top"/>
    </xf>
    <xf numFmtId="0" fontId="108" fillId="23" borderId="13" xfId="0" applyFont="1" applyFill="1" applyBorder="1" applyAlignment="1">
      <alignment horizontal="center" vertical="center" wrapText="1"/>
    </xf>
    <xf numFmtId="3" fontId="108" fillId="22" borderId="5" xfId="0" applyNumberFormat="1" applyFont="1" applyFill="1" applyBorder="1" applyAlignment="1">
      <alignment horizontal="center"/>
    </xf>
    <xf numFmtId="0" fontId="99" fillId="21" borderId="10" xfId="0" applyFont="1" applyFill="1" applyBorder="1" applyAlignment="1">
      <alignment horizontal="center"/>
    </xf>
    <xf numFmtId="0" fontId="99" fillId="21" borderId="2" xfId="0" applyFont="1" applyFill="1" applyBorder="1" applyAlignment="1">
      <alignment horizontal="center"/>
    </xf>
    <xf numFmtId="0" fontId="99" fillId="21" borderId="11" xfId="0" applyFont="1" applyFill="1" applyBorder="1" applyAlignment="1">
      <alignment horizontal="center"/>
    </xf>
    <xf numFmtId="4" fontId="99" fillId="19" borderId="10" xfId="0" applyNumberFormat="1" applyFont="1" applyFill="1" applyBorder="1" applyAlignment="1">
      <alignment horizontal="center"/>
    </xf>
    <xf numFmtId="4" fontId="99" fillId="19" borderId="2" xfId="0" applyNumberFormat="1" applyFont="1" applyFill="1" applyBorder="1" applyAlignment="1">
      <alignment horizontal="center"/>
    </xf>
    <xf numFmtId="4" fontId="99" fillId="19" borderId="11" xfId="0" applyNumberFormat="1" applyFont="1" applyFill="1" applyBorder="1" applyAlignment="1">
      <alignment horizontal="center"/>
    </xf>
    <xf numFmtId="0" fontId="108" fillId="22" borderId="10" xfId="0" applyFont="1" applyFill="1" applyBorder="1"/>
    <xf numFmtId="0" fontId="108" fillId="22" borderId="2" xfId="0" applyFont="1" applyFill="1" applyBorder="1"/>
    <xf numFmtId="0" fontId="108" fillId="22" borderId="2" xfId="0" applyFont="1" applyFill="1" applyBorder="1" applyAlignment="1">
      <alignment horizontal="center"/>
    </xf>
    <xf numFmtId="0" fontId="115" fillId="22" borderId="11" xfId="0" applyFont="1" applyFill="1" applyBorder="1" applyAlignment="1">
      <alignment horizontal="center"/>
    </xf>
    <xf numFmtId="3" fontId="108" fillId="22" borderId="6" xfId="0" applyNumberFormat="1" applyFont="1" applyFill="1" applyBorder="1" applyAlignment="1">
      <alignment horizontal="center"/>
    </xf>
    <xf numFmtId="0" fontId="99" fillId="20" borderId="38" xfId="0" applyFont="1" applyFill="1" applyBorder="1" applyProtection="1">
      <protection locked="0"/>
    </xf>
    <xf numFmtId="0" fontId="99" fillId="20" borderId="11" xfId="0" applyFont="1" applyFill="1" applyBorder="1"/>
    <xf numFmtId="0" fontId="114" fillId="0" borderId="0" xfId="0" applyFont="1" applyBorder="1"/>
    <xf numFmtId="0" fontId="99" fillId="0" borderId="13" xfId="0" applyFont="1" applyBorder="1"/>
    <xf numFmtId="0" fontId="99" fillId="0" borderId="5" xfId="0" applyFont="1" applyBorder="1"/>
    <xf numFmtId="0" fontId="99" fillId="23" borderId="12" xfId="0" applyFont="1" applyFill="1" applyBorder="1" applyAlignment="1">
      <alignment horizontal="right"/>
    </xf>
    <xf numFmtId="0" fontId="99" fillId="0" borderId="48" xfId="0" applyFont="1" applyBorder="1" applyAlignment="1" applyProtection="1">
      <alignment horizontal="center"/>
      <protection locked="0"/>
    </xf>
    <xf numFmtId="0" fontId="99" fillId="0" borderId="38" xfId="0" applyFont="1" applyBorder="1" applyAlignment="1" applyProtection="1">
      <alignment horizontal="center"/>
      <protection locked="0"/>
    </xf>
    <xf numFmtId="0" fontId="117" fillId="22" borderId="0" xfId="0" applyFont="1" applyFill="1" applyBorder="1" applyAlignment="1">
      <alignment horizontal="center"/>
    </xf>
    <xf numFmtId="0" fontId="106" fillId="22" borderId="2" xfId="0" applyFont="1" applyFill="1" applyBorder="1" applyAlignment="1">
      <alignment horizontal="center"/>
    </xf>
    <xf numFmtId="0" fontId="106" fillId="22" borderId="11" xfId="0" applyFont="1" applyFill="1" applyBorder="1"/>
    <xf numFmtId="0" fontId="108" fillId="0" borderId="12" xfId="0" applyFont="1" applyFill="1" applyBorder="1"/>
    <xf numFmtId="0" fontId="108" fillId="23" borderId="34" xfId="0" applyFont="1" applyFill="1" applyBorder="1"/>
    <xf numFmtId="0" fontId="108" fillId="23" borderId="34" xfId="0" applyFont="1" applyFill="1" applyBorder="1" applyAlignment="1">
      <alignment horizontal="left" wrapText="1"/>
    </xf>
    <xf numFmtId="1" fontId="106" fillId="0" borderId="2" xfId="0" applyNumberFormat="1" applyFont="1" applyFill="1" applyBorder="1"/>
    <xf numFmtId="0" fontId="99" fillId="0" borderId="2" xfId="0" applyFont="1" applyBorder="1" applyAlignment="1">
      <alignment horizontal="center" wrapText="1"/>
    </xf>
    <xf numFmtId="1" fontId="99" fillId="0" borderId="2" xfId="0" applyNumberFormat="1" applyFont="1" applyBorder="1"/>
    <xf numFmtId="0" fontId="99" fillId="17" borderId="0" xfId="0" applyFont="1" applyFill="1" applyAlignment="1"/>
    <xf numFmtId="0" fontId="90" fillId="17" borderId="0" xfId="0" applyFont="1" applyFill="1" applyBorder="1" applyAlignment="1"/>
    <xf numFmtId="0" fontId="99" fillId="17" borderId="0" xfId="0" applyFont="1" applyFill="1" applyBorder="1"/>
    <xf numFmtId="2" fontId="99" fillId="17" borderId="0" xfId="0" applyNumberFormat="1" applyFont="1" applyFill="1" applyAlignment="1">
      <alignment horizontal="center"/>
    </xf>
    <xf numFmtId="0" fontId="99" fillId="17" borderId="0" xfId="0" applyFont="1" applyFill="1" applyBorder="1" applyAlignment="1">
      <alignment horizontal="center"/>
    </xf>
    <xf numFmtId="0" fontId="99" fillId="17" borderId="0" xfId="0" applyFont="1" applyFill="1" applyAlignment="1">
      <alignment horizontal="center"/>
    </xf>
    <xf numFmtId="0" fontId="99" fillId="23" borderId="36" xfId="0" applyFont="1" applyFill="1" applyBorder="1" applyAlignment="1">
      <alignment horizontal="center"/>
    </xf>
    <xf numFmtId="0" fontId="118" fillId="0" borderId="0" xfId="0" applyFont="1" applyFill="1" applyBorder="1"/>
    <xf numFmtId="0" fontId="100" fillId="0" borderId="0" xfId="1" applyFont="1" applyBorder="1" applyAlignment="1" applyProtection="1"/>
    <xf numFmtId="0" fontId="99" fillId="0" borderId="10" xfId="0" applyFont="1" applyFill="1" applyBorder="1" applyAlignment="1">
      <alignment horizontal="left" wrapText="1"/>
    </xf>
    <xf numFmtId="1" fontId="41" fillId="20" borderId="4" xfId="0" applyNumberFormat="1" applyFont="1" applyFill="1" applyBorder="1" applyAlignment="1">
      <alignment horizontal="center" vertical="center"/>
    </xf>
    <xf numFmtId="166" fontId="58" fillId="0" borderId="39" xfId="0" applyNumberFormat="1" applyFont="1" applyFill="1" applyBorder="1" applyAlignment="1">
      <alignment horizontal="center"/>
    </xf>
    <xf numFmtId="0" fontId="98" fillId="0" borderId="0" xfId="0" applyFont="1" applyBorder="1"/>
    <xf numFmtId="0" fontId="99" fillId="22" borderId="8" xfId="0" applyFont="1" applyFill="1" applyBorder="1"/>
    <xf numFmtId="0" fontId="99" fillId="22" borderId="12" xfId="0" applyFont="1" applyFill="1" applyBorder="1"/>
    <xf numFmtId="0" fontId="99" fillId="22" borderId="3" xfId="0" applyFont="1" applyFill="1" applyBorder="1"/>
    <xf numFmtId="0" fontId="99" fillId="22" borderId="0" xfId="0" applyFont="1" applyFill="1" applyBorder="1"/>
    <xf numFmtId="0" fontId="99" fillId="22" borderId="9" xfId="0" applyFont="1" applyFill="1" applyBorder="1"/>
    <xf numFmtId="1" fontId="78" fillId="22" borderId="96" xfId="0" applyNumberFormat="1" applyFont="1" applyFill="1" applyBorder="1" applyAlignment="1">
      <alignment horizontal="center"/>
    </xf>
    <xf numFmtId="1" fontId="99" fillId="22" borderId="97" xfId="0" applyNumberFormat="1" applyFont="1" applyFill="1" applyBorder="1" applyAlignment="1"/>
    <xf numFmtId="1" fontId="47" fillId="22" borderId="97" xfId="0" applyNumberFormat="1" applyFont="1" applyFill="1" applyBorder="1" applyAlignment="1">
      <alignment horizontal="center"/>
    </xf>
    <xf numFmtId="1" fontId="99" fillId="22" borderId="97" xfId="0" applyNumberFormat="1" applyFont="1" applyFill="1" applyBorder="1" applyAlignment="1">
      <alignment horizontal="center"/>
    </xf>
    <xf numFmtId="1" fontId="48" fillId="22" borderId="97" xfId="0" applyNumberFormat="1" applyFont="1" applyFill="1" applyBorder="1" applyAlignment="1">
      <alignment horizontal="center"/>
    </xf>
    <xf numFmtId="1" fontId="99" fillId="22" borderId="44" xfId="0" applyNumberFormat="1" applyFont="1" applyFill="1" applyBorder="1" applyAlignment="1"/>
    <xf numFmtId="0" fontId="119" fillId="0" borderId="0" xfId="0" applyFont="1" applyBorder="1"/>
    <xf numFmtId="1" fontId="120" fillId="22" borderId="8" xfId="0" applyNumberFormat="1" applyFont="1" applyFill="1" applyBorder="1" applyAlignment="1">
      <alignment horizontal="center" vertical="center"/>
    </xf>
    <xf numFmtId="0" fontId="108" fillId="22" borderId="12" xfId="0" applyFont="1" applyFill="1" applyBorder="1"/>
    <xf numFmtId="0" fontId="120" fillId="22" borderId="0" xfId="0" applyFont="1" applyFill="1" applyBorder="1" applyAlignment="1">
      <alignment horizontal="center"/>
    </xf>
    <xf numFmtId="0" fontId="108" fillId="22" borderId="9" xfId="0" applyFont="1" applyFill="1" applyBorder="1"/>
    <xf numFmtId="3" fontId="120" fillId="22" borderId="0" xfId="0" applyNumberFormat="1" applyFont="1" applyFill="1" applyBorder="1" applyAlignment="1">
      <alignment horizontal="center"/>
    </xf>
    <xf numFmtId="1" fontId="120" fillId="22" borderId="0" xfId="0" applyNumberFormat="1" applyFont="1" applyFill="1" applyBorder="1" applyAlignment="1">
      <alignment horizontal="center"/>
    </xf>
    <xf numFmtId="1" fontId="121" fillId="22" borderId="0" xfId="0" applyNumberFormat="1" applyFont="1" applyFill="1" applyBorder="1" applyAlignment="1">
      <alignment horizontal="center"/>
    </xf>
    <xf numFmtId="0" fontId="121" fillId="22" borderId="9" xfId="0" applyFont="1" applyFill="1" applyBorder="1"/>
    <xf numFmtId="0" fontId="120" fillId="22" borderId="0" xfId="0" applyFont="1" applyFill="1" applyBorder="1" applyAlignment="1">
      <alignment horizontal="left"/>
    </xf>
    <xf numFmtId="166" fontId="120" fillId="22" borderId="98" xfId="0" applyNumberFormat="1" applyFont="1" applyFill="1" applyBorder="1" applyAlignment="1">
      <alignment horizontal="center"/>
    </xf>
    <xf numFmtId="1" fontId="120" fillId="22" borderId="99" xfId="0" applyNumberFormat="1" applyFont="1" applyFill="1" applyBorder="1" applyAlignment="1">
      <alignment horizontal="center"/>
    </xf>
    <xf numFmtId="0" fontId="120" fillId="22" borderId="8" xfId="0" applyFont="1" applyFill="1" applyBorder="1" applyAlignment="1">
      <alignment horizontal="center"/>
    </xf>
    <xf numFmtId="2" fontId="120" fillId="22" borderId="0" xfId="0" applyNumberFormat="1" applyFont="1" applyFill="1" applyBorder="1" applyAlignment="1">
      <alignment horizontal="center"/>
    </xf>
    <xf numFmtId="0" fontId="85" fillId="8" borderId="7" xfId="2" applyFont="1" applyFill="1" applyBorder="1"/>
    <xf numFmtId="0" fontId="85" fillId="8" borderId="8" xfId="2" applyFont="1" applyFill="1" applyBorder="1" applyAlignment="1">
      <alignment horizontal="center"/>
    </xf>
    <xf numFmtId="0" fontId="85" fillId="8" borderId="8" xfId="2" applyFont="1" applyFill="1" applyBorder="1"/>
    <xf numFmtId="0" fontId="85" fillId="8" borderId="12" xfId="2" applyFont="1" applyFill="1" applyBorder="1"/>
    <xf numFmtId="0" fontId="85" fillId="8" borderId="3" xfId="2" applyFont="1" applyFill="1" applyBorder="1"/>
    <xf numFmtId="3" fontId="93" fillId="8" borderId="0" xfId="2" applyNumberFormat="1" applyFont="1" applyFill="1" applyBorder="1"/>
    <xf numFmtId="169" fontId="85" fillId="8" borderId="0" xfId="3" applyNumberFormat="1" applyFont="1" applyFill="1" applyBorder="1" applyAlignment="1">
      <alignment horizontal="center"/>
    </xf>
    <xf numFmtId="0" fontId="85" fillId="8" borderId="9" xfId="2" applyFont="1" applyFill="1" applyBorder="1"/>
    <xf numFmtId="3" fontId="85" fillId="8" borderId="0" xfId="2" applyNumberFormat="1" applyFont="1" applyFill="1" applyBorder="1" applyAlignment="1">
      <alignment horizontal="center"/>
    </xf>
    <xf numFmtId="0" fontId="85" fillId="8" borderId="10" xfId="2" applyFont="1" applyFill="1" applyBorder="1"/>
    <xf numFmtId="0" fontId="85" fillId="8" borderId="2" xfId="2" applyFont="1" applyFill="1" applyBorder="1"/>
    <xf numFmtId="0" fontId="85" fillId="8" borderId="11" xfId="2" applyFont="1" applyFill="1" applyBorder="1"/>
    <xf numFmtId="0" fontId="111" fillId="0" borderId="0" xfId="1" applyFont="1" applyFill="1" applyAlignment="1" applyProtection="1">
      <alignment horizontal="center" vertical="center"/>
    </xf>
    <xf numFmtId="0" fontId="96" fillId="0" borderId="0" xfId="1" applyFill="1" applyAlignment="1" applyProtection="1">
      <alignment horizontal="center" vertical="center"/>
    </xf>
    <xf numFmtId="0" fontId="111" fillId="0" borderId="0" xfId="1" applyFont="1" applyFill="1" applyBorder="1" applyAlignment="1" applyProtection="1">
      <alignment horizontal="center" vertical="center"/>
    </xf>
    <xf numFmtId="0" fontId="99" fillId="22" borderId="0" xfId="0" applyFont="1" applyFill="1" applyBorder="1" applyAlignment="1">
      <alignment horizontal="center"/>
    </xf>
    <xf numFmtId="0" fontId="115" fillId="0" borderId="0" xfId="0" applyFont="1" applyFill="1" applyBorder="1" applyAlignment="1">
      <alignment wrapText="1"/>
    </xf>
    <xf numFmtId="1" fontId="78" fillId="22" borderId="40" xfId="0" applyNumberFormat="1" applyFont="1" applyFill="1" applyBorder="1" applyAlignment="1">
      <alignment horizontal="center"/>
    </xf>
    <xf numFmtId="1" fontId="99" fillId="22" borderId="41" xfId="0" applyNumberFormat="1" applyFont="1" applyFill="1" applyBorder="1" applyAlignment="1"/>
    <xf numFmtId="1" fontId="47" fillId="22" borderId="41" xfId="0" applyNumberFormat="1" applyFont="1" applyFill="1" applyBorder="1" applyAlignment="1">
      <alignment horizontal="center"/>
    </xf>
    <xf numFmtId="1" fontId="48" fillId="22" borderId="41" xfId="0" applyNumberFormat="1" applyFont="1" applyFill="1" applyBorder="1" applyAlignment="1">
      <alignment horizontal="center"/>
    </xf>
    <xf numFmtId="3" fontId="108" fillId="22" borderId="3" xfId="0" applyNumberFormat="1" applyFont="1" applyFill="1" applyBorder="1" applyAlignment="1">
      <alignment horizontal="center"/>
    </xf>
    <xf numFmtId="3" fontId="108" fillId="22" borderId="10" xfId="0" applyNumberFormat="1" applyFont="1" applyFill="1" applyBorder="1" applyAlignment="1">
      <alignment horizontal="center"/>
    </xf>
    <xf numFmtId="166" fontId="85" fillId="10" borderId="66" xfId="2" applyNumberFormat="1" applyFont="1" applyFill="1" applyBorder="1" applyAlignment="1">
      <alignment horizontal="center" vertical="center"/>
    </xf>
    <xf numFmtId="166" fontId="85" fillId="10" borderId="58" xfId="2" applyNumberFormat="1" applyFont="1" applyFill="1" applyBorder="1" applyAlignment="1">
      <alignment horizontal="center" vertical="center"/>
    </xf>
    <xf numFmtId="166" fontId="85" fillId="10" borderId="62" xfId="2" applyNumberFormat="1" applyFont="1" applyFill="1" applyBorder="1" applyAlignment="1">
      <alignment horizontal="center" vertical="center"/>
    </xf>
    <xf numFmtId="166" fontId="85" fillId="10" borderId="68" xfId="2" applyNumberFormat="1" applyFont="1" applyFill="1" applyBorder="1" applyAlignment="1">
      <alignment horizontal="center" vertical="center"/>
    </xf>
    <xf numFmtId="166" fontId="85" fillId="10" borderId="76" xfId="2" applyNumberFormat="1" applyFont="1" applyFill="1" applyBorder="1" applyAlignment="1">
      <alignment horizontal="center" vertical="center"/>
    </xf>
    <xf numFmtId="0" fontId="99" fillId="22" borderId="92" xfId="0" applyFont="1" applyFill="1" applyBorder="1" applyAlignment="1">
      <alignment horizontal="center"/>
    </xf>
    <xf numFmtId="1" fontId="59" fillId="0" borderId="0" xfId="0" applyNumberFormat="1" applyFont="1"/>
    <xf numFmtId="0" fontId="122" fillId="20" borderId="0" xfId="0" applyFont="1" applyFill="1" applyBorder="1"/>
    <xf numFmtId="0" fontId="123" fillId="0" borderId="3" xfId="0" applyFont="1" applyBorder="1"/>
    <xf numFmtId="1" fontId="0" fillId="17" borderId="0" xfId="0" applyNumberFormat="1" applyFill="1"/>
    <xf numFmtId="3" fontId="0" fillId="22" borderId="0" xfId="0" applyNumberFormat="1" applyFill="1" applyBorder="1" applyAlignment="1">
      <alignment horizontal="center" vertical="center"/>
    </xf>
    <xf numFmtId="3" fontId="0" fillId="22" borderId="2" xfId="0" applyNumberFormat="1" applyFill="1" applyBorder="1" applyAlignment="1">
      <alignment horizontal="center" vertical="center"/>
    </xf>
    <xf numFmtId="0" fontId="122" fillId="20" borderId="82" xfId="0" applyFont="1" applyFill="1" applyBorder="1"/>
    <xf numFmtId="0" fontId="0" fillId="0" borderId="82" xfId="0" applyBorder="1"/>
    <xf numFmtId="0" fontId="0" fillId="20" borderId="0" xfId="0" applyFill="1"/>
    <xf numFmtId="3" fontId="0" fillId="0" borderId="8" xfId="0" applyNumberFormat="1" applyBorder="1" applyAlignment="1">
      <alignment horizontal="center"/>
    </xf>
    <xf numFmtId="0" fontId="0" fillId="0" borderId="9" xfId="0" applyFill="1" applyBorder="1" applyAlignment="1">
      <alignment horizontal="center"/>
    </xf>
    <xf numFmtId="0" fontId="0" fillId="20" borderId="10" xfId="0" applyFill="1" applyBorder="1"/>
    <xf numFmtId="0" fontId="0" fillId="20" borderId="100" xfId="0" applyFill="1" applyBorder="1"/>
    <xf numFmtId="0" fontId="0" fillId="20" borderId="95" xfId="0" applyFill="1" applyBorder="1"/>
    <xf numFmtId="0" fontId="0" fillId="20" borderId="40" xfId="0" applyFill="1" applyBorder="1"/>
    <xf numFmtId="0" fontId="0" fillId="20" borderId="42" xfId="0" applyFill="1" applyBorder="1"/>
    <xf numFmtId="0" fontId="0" fillId="20" borderId="41" xfId="0" applyFill="1" applyBorder="1"/>
    <xf numFmtId="0" fontId="0" fillId="20" borderId="0" xfId="0" applyFill="1" applyBorder="1" applyAlignment="1">
      <alignment horizontal="center"/>
    </xf>
    <xf numFmtId="0" fontId="0" fillId="17" borderId="41" xfId="0" applyFill="1" applyBorder="1"/>
    <xf numFmtId="0" fontId="0" fillId="0" borderId="42" xfId="0" applyBorder="1"/>
    <xf numFmtId="0" fontId="0" fillId="0" borderId="41" xfId="0" applyBorder="1"/>
    <xf numFmtId="0" fontId="0" fillId="0" borderId="101" xfId="0" applyBorder="1"/>
    <xf numFmtId="0" fontId="0" fillId="0" borderId="1" xfId="0" applyBorder="1"/>
    <xf numFmtId="0" fontId="0" fillId="0" borderId="102" xfId="0" applyBorder="1"/>
    <xf numFmtId="0" fontId="0" fillId="20" borderId="3" xfId="0" applyFill="1" applyBorder="1"/>
    <xf numFmtId="0" fontId="104" fillId="22" borderId="30" xfId="0" applyFont="1" applyFill="1" applyBorder="1"/>
    <xf numFmtId="0" fontId="122" fillId="22" borderId="103" xfId="0" applyFont="1" applyFill="1" applyBorder="1"/>
    <xf numFmtId="0" fontId="104" fillId="22" borderId="47" xfId="0" applyFont="1" applyFill="1" applyBorder="1" applyAlignment="1">
      <alignment horizontal="left" vertical="center"/>
    </xf>
    <xf numFmtId="0" fontId="0" fillId="22" borderId="48" xfId="0" applyFill="1" applyBorder="1"/>
    <xf numFmtId="0" fontId="95" fillId="0" borderId="82" xfId="0" applyFont="1" applyBorder="1"/>
    <xf numFmtId="0" fontId="123" fillId="22" borderId="39" xfId="0" applyFont="1" applyFill="1" applyBorder="1" applyAlignment="1">
      <alignment horizontal="center"/>
    </xf>
    <xf numFmtId="0" fontId="0" fillId="22" borderId="5" xfId="0" applyFill="1" applyBorder="1"/>
    <xf numFmtId="0" fontId="0" fillId="22" borderId="6" xfId="0" applyFill="1" applyBorder="1"/>
    <xf numFmtId="0" fontId="0" fillId="20" borderId="12" xfId="0" applyFill="1" applyBorder="1" applyAlignment="1">
      <alignment horizontal="center"/>
    </xf>
    <xf numFmtId="0" fontId="0" fillId="20" borderId="9" xfId="0" applyFill="1" applyBorder="1" applyAlignment="1">
      <alignment horizontal="center"/>
    </xf>
    <xf numFmtId="0" fontId="0" fillId="20" borderId="11" xfId="0" applyFill="1" applyBorder="1" applyAlignment="1">
      <alignment horizontal="center"/>
    </xf>
    <xf numFmtId="0" fontId="0" fillId="20" borderId="8" xfId="0" applyFill="1" applyBorder="1" applyAlignment="1">
      <alignment horizontal="center"/>
    </xf>
    <xf numFmtId="3" fontId="0" fillId="20" borderId="12" xfId="0" applyNumberFormat="1" applyFill="1" applyBorder="1" applyAlignment="1">
      <alignment horizontal="center"/>
    </xf>
    <xf numFmtId="3" fontId="0" fillId="20" borderId="9" xfId="0" applyNumberFormat="1" applyFill="1" applyBorder="1" applyAlignment="1">
      <alignment horizontal="center"/>
    </xf>
    <xf numFmtId="0" fontId="0" fillId="20" borderId="2" xfId="0" applyFill="1" applyBorder="1" applyAlignment="1">
      <alignment horizontal="center"/>
    </xf>
    <xf numFmtId="3" fontId="0" fillId="20" borderId="11" xfId="0" applyNumberFormat="1" applyFill="1" applyBorder="1" applyAlignment="1">
      <alignment horizontal="center"/>
    </xf>
    <xf numFmtId="3" fontId="0" fillId="0" borderId="13" xfId="0" applyNumberFormat="1" applyBorder="1" applyAlignment="1">
      <alignment horizontal="center"/>
    </xf>
    <xf numFmtId="0" fontId="0" fillId="0" borderId="36" xfId="0" applyBorder="1" applyAlignment="1">
      <alignment horizontal="center"/>
    </xf>
    <xf numFmtId="0" fontId="122" fillId="0" borderId="82" xfId="0" applyFont="1" applyBorder="1"/>
    <xf numFmtId="0" fontId="124" fillId="0" borderId="82" xfId="0" applyFont="1" applyBorder="1" applyAlignment="1">
      <alignment wrapText="1"/>
    </xf>
    <xf numFmtId="0" fontId="0" fillId="22" borderId="34" xfId="0" applyFill="1" applyBorder="1" applyAlignment="1"/>
    <xf numFmtId="1" fontId="0" fillId="22" borderId="14" xfId="0" applyNumberFormat="1" applyFill="1" applyBorder="1" applyAlignment="1">
      <alignment horizontal="center" vertical="center"/>
    </xf>
    <xf numFmtId="0" fontId="0" fillId="22" borderId="28" xfId="0" applyFill="1" applyBorder="1" applyAlignment="1">
      <alignment horizontal="center" wrapText="1"/>
    </xf>
    <xf numFmtId="0" fontId="0" fillId="22" borderId="39" xfId="0" applyFill="1" applyBorder="1" applyAlignment="1"/>
    <xf numFmtId="3" fontId="0" fillId="22" borderId="9" xfId="0" applyNumberFormat="1" applyFill="1" applyBorder="1" applyAlignment="1">
      <alignment horizontal="center" vertical="center"/>
    </xf>
    <xf numFmtId="3" fontId="0" fillId="22" borderId="3" xfId="0" applyNumberFormat="1" applyFill="1" applyBorder="1" applyAlignment="1">
      <alignment horizontal="center" vertical="center"/>
    </xf>
    <xf numFmtId="3" fontId="0" fillId="22" borderId="10" xfId="0" applyNumberFormat="1" applyFill="1" applyBorder="1" applyAlignment="1">
      <alignment horizontal="center" vertical="center"/>
    </xf>
    <xf numFmtId="3" fontId="0" fillId="22" borderId="11" xfId="0" applyNumberFormat="1" applyFill="1" applyBorder="1" applyAlignment="1">
      <alignment horizontal="center" vertical="center"/>
    </xf>
    <xf numFmtId="3" fontId="106" fillId="22" borderId="36" xfId="0" applyNumberFormat="1" applyFont="1" applyFill="1" applyBorder="1" applyAlignment="1">
      <alignment horizontal="center"/>
    </xf>
    <xf numFmtId="166" fontId="106" fillId="22" borderId="13" xfId="0" applyNumberFormat="1" applyFont="1" applyFill="1" applyBorder="1" applyAlignment="1">
      <alignment horizontal="center"/>
    </xf>
    <xf numFmtId="166" fontId="106" fillId="22" borderId="36" xfId="0" applyNumberFormat="1" applyFont="1" applyFill="1" applyBorder="1" applyAlignment="1">
      <alignment horizontal="center"/>
    </xf>
    <xf numFmtId="0" fontId="108" fillId="23" borderId="39" xfId="0" applyFont="1" applyFill="1" applyBorder="1" applyAlignment="1">
      <alignment horizontal="center" vertical="center" wrapText="1"/>
    </xf>
    <xf numFmtId="2" fontId="0" fillId="22" borderId="7" xfId="0" applyNumberFormat="1" applyFill="1" applyBorder="1" applyAlignment="1">
      <alignment horizontal="center" vertical="center"/>
    </xf>
    <xf numFmtId="2" fontId="0" fillId="22" borderId="8" xfId="0" applyNumberFormat="1" applyFill="1" applyBorder="1" applyAlignment="1">
      <alignment horizontal="center" vertical="center"/>
    </xf>
    <xf numFmtId="2" fontId="0" fillId="22" borderId="12" xfId="0" applyNumberFormat="1" applyFill="1" applyBorder="1" applyAlignment="1">
      <alignment horizontal="center" vertical="center"/>
    </xf>
    <xf numFmtId="0" fontId="97" fillId="22" borderId="13" xfId="0" applyFont="1" applyFill="1" applyBorder="1" applyAlignment="1">
      <alignment horizontal="center"/>
    </xf>
    <xf numFmtId="0" fontId="97" fillId="22" borderId="36" xfId="0" applyFont="1" applyFill="1" applyBorder="1" applyAlignment="1">
      <alignment horizontal="center"/>
    </xf>
    <xf numFmtId="0" fontId="99" fillId="22" borderId="11" xfId="0" applyFont="1" applyFill="1" applyBorder="1" applyAlignment="1">
      <alignment horizontal="center"/>
    </xf>
    <xf numFmtId="3" fontId="99" fillId="0" borderId="0" xfId="0" applyNumberFormat="1" applyFont="1" applyBorder="1"/>
    <xf numFmtId="49" fontId="125" fillId="22" borderId="5" xfId="0" applyNumberFormat="1" applyFont="1" applyFill="1" applyBorder="1"/>
    <xf numFmtId="0" fontId="125" fillId="22" borderId="49" xfId="0" applyFont="1" applyFill="1" applyBorder="1" applyAlignment="1">
      <alignment horizontal="center" vertical="center"/>
    </xf>
    <xf numFmtId="0" fontId="125" fillId="22" borderId="50" xfId="0" applyFont="1" applyFill="1" applyBorder="1" applyAlignment="1">
      <alignment horizontal="center" vertical="center"/>
    </xf>
    <xf numFmtId="0" fontId="125" fillId="22" borderId="28" xfId="0" applyFont="1" applyFill="1" applyBorder="1" applyAlignment="1">
      <alignment horizontal="center" vertical="center"/>
    </xf>
    <xf numFmtId="0" fontId="125" fillId="22" borderId="94" xfId="0" applyFont="1" applyFill="1" applyBorder="1" applyAlignment="1">
      <alignment horizontal="center" vertical="center"/>
    </xf>
    <xf numFmtId="2" fontId="0" fillId="22" borderId="3" xfId="0" applyNumberFormat="1" applyFill="1" applyBorder="1" applyAlignment="1">
      <alignment horizontal="center" vertical="center"/>
    </xf>
    <xf numFmtId="2" fontId="0" fillId="22" borderId="0" xfId="0" applyNumberFormat="1" applyFill="1" applyBorder="1" applyAlignment="1">
      <alignment horizontal="center" vertical="center"/>
    </xf>
    <xf numFmtId="2" fontId="0" fillId="22" borderId="9" xfId="0" applyNumberFormat="1" applyFill="1" applyBorder="1" applyAlignment="1">
      <alignment horizontal="center" vertical="center"/>
    </xf>
    <xf numFmtId="2" fontId="0" fillId="22" borderId="10" xfId="0" applyNumberFormat="1" applyFill="1" applyBorder="1" applyAlignment="1">
      <alignment horizontal="center" vertical="center"/>
    </xf>
    <xf numFmtId="2" fontId="0" fillId="22" borderId="2" xfId="0" applyNumberFormat="1" applyFill="1" applyBorder="1" applyAlignment="1">
      <alignment horizontal="center" vertical="center"/>
    </xf>
    <xf numFmtId="2" fontId="0" fillId="22" borderId="11" xfId="0" applyNumberFormat="1" applyFill="1" applyBorder="1" applyAlignment="1">
      <alignment horizontal="center" vertical="center"/>
    </xf>
    <xf numFmtId="1" fontId="0" fillId="0" borderId="30" xfId="0" applyNumberFormat="1" applyFill="1" applyBorder="1" applyAlignment="1" applyProtection="1">
      <alignment horizontal="center"/>
      <protection locked="0"/>
    </xf>
    <xf numFmtId="1" fontId="0" fillId="0" borderId="103" xfId="0" applyNumberFormat="1" applyFill="1" applyBorder="1" applyAlignment="1" applyProtection="1">
      <alignment horizontal="center"/>
      <protection locked="0"/>
    </xf>
    <xf numFmtId="1" fontId="0" fillId="0" borderId="37" xfId="0" applyNumberFormat="1" applyFill="1" applyBorder="1" applyAlignment="1" applyProtection="1">
      <alignment horizontal="center"/>
      <protection locked="0"/>
    </xf>
    <xf numFmtId="1" fontId="0" fillId="0" borderId="27"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protection locked="0"/>
    </xf>
    <xf numFmtId="0" fontId="99" fillId="0" borderId="94" xfId="0" applyFont="1" applyBorder="1" applyAlignment="1" applyProtection="1">
      <alignment horizontal="center"/>
      <protection locked="0"/>
    </xf>
    <xf numFmtId="0" fontId="41" fillId="22" borderId="8" xfId="0" applyFont="1" applyFill="1" applyBorder="1"/>
    <xf numFmtId="0" fontId="41" fillId="22" borderId="9" xfId="0" applyFont="1" applyFill="1" applyBorder="1"/>
    <xf numFmtId="0" fontId="41" fillId="22" borderId="2" xfId="0" applyFont="1" applyFill="1" applyBorder="1"/>
    <xf numFmtId="0" fontId="41" fillId="22" borderId="11" xfId="0" applyFont="1" applyFill="1" applyBorder="1"/>
    <xf numFmtId="166" fontId="41" fillId="22" borderId="39" xfId="0" applyNumberFormat="1" applyFont="1" applyFill="1" applyBorder="1" applyAlignment="1">
      <alignment horizontal="center"/>
    </xf>
    <xf numFmtId="0" fontId="39" fillId="22" borderId="3" xfId="0" applyFont="1" applyFill="1" applyBorder="1"/>
    <xf numFmtId="0" fontId="99" fillId="22" borderId="3" xfId="0" applyFont="1" applyFill="1" applyBorder="1"/>
    <xf numFmtId="0" fontId="86" fillId="11" borderId="104" xfId="2" applyFont="1" applyFill="1" applyBorder="1" applyAlignment="1">
      <alignment horizontal="center" vertical="center" wrapText="1"/>
    </xf>
    <xf numFmtId="0" fontId="85" fillId="8" borderId="39" xfId="2" applyFont="1" applyFill="1" applyBorder="1" applyAlignment="1" applyProtection="1">
      <alignment horizontal="center" vertical="center" wrapText="1"/>
      <protection locked="0"/>
    </xf>
    <xf numFmtId="0" fontId="86" fillId="11" borderId="105" xfId="2" applyFont="1" applyFill="1" applyBorder="1" applyAlignment="1">
      <alignment horizontal="center" vertical="center" wrapText="1"/>
    </xf>
    <xf numFmtId="0" fontId="85" fillId="10" borderId="106" xfId="2" applyFont="1" applyFill="1" applyBorder="1" applyAlignment="1">
      <alignment horizontal="center" vertical="center" wrapText="1"/>
    </xf>
    <xf numFmtId="0" fontId="85" fillId="10" borderId="107" xfId="2" applyFont="1" applyFill="1" applyBorder="1" applyAlignment="1">
      <alignment horizontal="center" vertical="center" wrapText="1"/>
    </xf>
    <xf numFmtId="0" fontId="85" fillId="10" borderId="108" xfId="2" applyFont="1" applyFill="1" applyBorder="1" applyAlignment="1">
      <alignment horizontal="center" vertical="center" wrapText="1"/>
    </xf>
    <xf numFmtId="0" fontId="85" fillId="10" borderId="109" xfId="2" applyFont="1" applyFill="1" applyBorder="1" applyAlignment="1">
      <alignment horizontal="center" vertical="center" wrapText="1"/>
    </xf>
    <xf numFmtId="0" fontId="83" fillId="0" borderId="0" xfId="0" applyFont="1" applyBorder="1"/>
    <xf numFmtId="0" fontId="0" fillId="0" borderId="7" xfId="0" applyFill="1" applyBorder="1"/>
    <xf numFmtId="0" fontId="0" fillId="0" borderId="8" xfId="0" applyFill="1" applyBorder="1"/>
    <xf numFmtId="0" fontId="0" fillId="0" borderId="12" xfId="0" applyFill="1" applyBorder="1"/>
    <xf numFmtId="0" fontId="109" fillId="22" borderId="38" xfId="0" applyFont="1" applyFill="1" applyBorder="1" applyAlignment="1">
      <alignment horizontal="center" vertical="center" wrapText="1"/>
    </xf>
    <xf numFmtId="0" fontId="0" fillId="0" borderId="0" xfId="0" applyBorder="1" applyAlignment="1"/>
    <xf numFmtId="0" fontId="9" fillId="0" borderId="7" xfId="0" applyFont="1" applyFill="1" applyBorder="1"/>
    <xf numFmtId="0" fontId="11" fillId="0" borderId="10" xfId="0" applyFont="1" applyFill="1" applyBorder="1"/>
    <xf numFmtId="0" fontId="0" fillId="0" borderId="0" xfId="0" applyFill="1"/>
    <xf numFmtId="0" fontId="57" fillId="20" borderId="0" xfId="0" applyFont="1" applyFill="1" applyBorder="1"/>
    <xf numFmtId="2" fontId="41" fillId="20" borderId="0" xfId="0" applyNumberFormat="1" applyFont="1" applyFill="1" applyBorder="1" applyAlignment="1">
      <alignment horizontal="center"/>
    </xf>
    <xf numFmtId="0" fontId="126" fillId="0" borderId="37" xfId="0" applyFont="1" applyBorder="1" applyAlignment="1" applyProtection="1">
      <alignment horizontal="center"/>
      <protection locked="0"/>
    </xf>
    <xf numFmtId="0" fontId="126" fillId="0" borderId="18"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08" fillId="20" borderId="38" xfId="0" applyFont="1" applyFill="1" applyBorder="1" applyAlignment="1" applyProtection="1">
      <alignment horizontal="center"/>
      <protection locked="0"/>
    </xf>
    <xf numFmtId="0" fontId="115" fillId="20" borderId="39" xfId="0" applyFont="1" applyFill="1" applyBorder="1" applyAlignment="1" applyProtection="1">
      <alignment horizontal="center"/>
      <protection locked="0"/>
    </xf>
    <xf numFmtId="0" fontId="0" fillId="0" borderId="110"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1" xfId="0" applyBorder="1" applyAlignment="1" applyProtection="1">
      <alignment horizontal="center"/>
      <protection locked="0"/>
    </xf>
    <xf numFmtId="0" fontId="85" fillId="8" borderId="111" xfId="2" applyFont="1" applyFill="1" applyBorder="1" applyAlignment="1" applyProtection="1">
      <alignment horizontal="center" vertical="center" wrapText="1"/>
      <protection locked="0"/>
    </xf>
    <xf numFmtId="1" fontId="0" fillId="3" borderId="88" xfId="0" applyNumberFormat="1" applyFill="1" applyBorder="1" applyAlignment="1" applyProtection="1">
      <alignment horizontal="center"/>
      <protection locked="0"/>
    </xf>
    <xf numFmtId="1" fontId="0" fillId="3" borderId="38" xfId="0" applyNumberFormat="1" applyFill="1" applyBorder="1" applyAlignment="1" applyProtection="1">
      <alignment horizontal="center"/>
      <protection locked="0"/>
    </xf>
    <xf numFmtId="0" fontId="0" fillId="3" borderId="112" xfId="0" applyFill="1" applyBorder="1" applyAlignment="1" applyProtection="1">
      <alignment horizontal="center"/>
      <protection locked="0"/>
    </xf>
    <xf numFmtId="0" fontId="0" fillId="3" borderId="38" xfId="0" applyFill="1" applyBorder="1" applyAlignment="1" applyProtection="1">
      <alignment horizontal="center"/>
      <protection locked="0"/>
    </xf>
    <xf numFmtId="166" fontId="0" fillId="3" borderId="38" xfId="0" applyNumberFormat="1" applyFill="1" applyBorder="1" applyAlignment="1" applyProtection="1">
      <alignment horizontal="center"/>
      <protection locked="0"/>
    </xf>
    <xf numFmtId="0" fontId="0" fillId="0" borderId="0" xfId="0" applyBorder="1"/>
    <xf numFmtId="0" fontId="127" fillId="27" borderId="39" xfId="1" applyFont="1" applyFill="1" applyBorder="1" applyAlignment="1" applyProtection="1">
      <alignment horizontal="center" wrapText="1"/>
      <protection locked="0"/>
    </xf>
    <xf numFmtId="0" fontId="0" fillId="0" borderId="0" xfId="0" applyBorder="1" applyAlignment="1" applyProtection="1">
      <protection locked="0"/>
    </xf>
    <xf numFmtId="0" fontId="0" fillId="27" borderId="5" xfId="0" applyFill="1" applyBorder="1"/>
    <xf numFmtId="0" fontId="0" fillId="27" borderId="34" xfId="0" applyFill="1" applyBorder="1"/>
    <xf numFmtId="0" fontId="0" fillId="27" borderId="13" xfId="0" applyFill="1" applyBorder="1"/>
    <xf numFmtId="0" fontId="0" fillId="20" borderId="113" xfId="0" applyFill="1" applyBorder="1"/>
    <xf numFmtId="0" fontId="0" fillId="27" borderId="114" xfId="0" applyFill="1" applyBorder="1"/>
    <xf numFmtId="0" fontId="0" fillId="0" borderId="115" xfId="0" applyBorder="1"/>
    <xf numFmtId="0" fontId="0" fillId="0" borderId="35" xfId="0" applyBorder="1"/>
    <xf numFmtId="0" fontId="0" fillId="0" borderId="116" xfId="0" applyBorder="1"/>
    <xf numFmtId="0" fontId="0" fillId="27" borderId="117" xfId="0" applyFill="1" applyBorder="1"/>
    <xf numFmtId="0" fontId="0" fillId="27" borderId="118" xfId="0" applyFill="1" applyBorder="1"/>
    <xf numFmtId="0" fontId="0" fillId="20" borderId="119" xfId="0" applyFill="1" applyBorder="1"/>
    <xf numFmtId="0" fontId="0" fillId="20" borderId="120" xfId="0" applyFill="1" applyBorder="1"/>
    <xf numFmtId="0" fontId="0" fillId="0" borderId="120" xfId="0" applyBorder="1"/>
    <xf numFmtId="0" fontId="0" fillId="20" borderId="121" xfId="0" applyFill="1" applyBorder="1"/>
    <xf numFmtId="0" fontId="0" fillId="27" borderId="122" xfId="0" applyFill="1" applyBorder="1"/>
    <xf numFmtId="0" fontId="0" fillId="0" borderId="123" xfId="0" applyBorder="1"/>
    <xf numFmtId="0" fontId="0" fillId="0" borderId="124" xfId="0" applyBorder="1"/>
    <xf numFmtId="0" fontId="0" fillId="0" borderId="125" xfId="0" applyBorder="1"/>
    <xf numFmtId="0" fontId="105" fillId="20" borderId="8" xfId="0" applyFont="1" applyFill="1" applyBorder="1"/>
    <xf numFmtId="0" fontId="105" fillId="0" borderId="2" xfId="0" applyFont="1" applyBorder="1"/>
    <xf numFmtId="0" fontId="123" fillId="0" borderId="34" xfId="0" applyFont="1" applyFill="1" applyBorder="1" applyAlignment="1">
      <alignment horizontal="left" vertical="top" wrapText="1"/>
    </xf>
    <xf numFmtId="0" fontId="123" fillId="0" borderId="13" xfId="0" applyFont="1" applyFill="1" applyBorder="1" applyAlignment="1">
      <alignment horizontal="left" vertical="top" wrapText="1"/>
    </xf>
    <xf numFmtId="0" fontId="123" fillId="0" borderId="36" xfId="0" applyFont="1" applyFill="1" applyBorder="1" applyAlignment="1">
      <alignment horizontal="left" vertical="top" wrapText="1"/>
    </xf>
    <xf numFmtId="0" fontId="0" fillId="0" borderId="0" xfId="0" applyBorder="1"/>
    <xf numFmtId="0" fontId="129" fillId="0" borderId="0" xfId="0" applyFont="1" applyBorder="1" applyAlignment="1">
      <alignment horizontal="center"/>
    </xf>
    <xf numFmtId="0" fontId="130" fillId="20" borderId="7" xfId="1" applyFont="1" applyFill="1" applyBorder="1" applyAlignment="1" applyProtection="1">
      <alignment horizontal="center" vertical="center"/>
      <protection locked="0"/>
    </xf>
    <xf numFmtId="0" fontId="130" fillId="20" borderId="8" xfId="1" applyFont="1" applyFill="1" applyBorder="1" applyAlignment="1" applyProtection="1">
      <alignment horizontal="center" vertical="center"/>
      <protection locked="0"/>
    </xf>
    <xf numFmtId="0" fontId="130" fillId="20" borderId="12" xfId="1" applyFont="1" applyFill="1" applyBorder="1" applyAlignment="1" applyProtection="1">
      <alignment horizontal="center" vertical="center"/>
      <protection locked="0"/>
    </xf>
    <xf numFmtId="0" fontId="130" fillId="20" borderId="3" xfId="1" applyFont="1" applyFill="1" applyBorder="1" applyAlignment="1" applyProtection="1">
      <alignment horizontal="center" vertical="center"/>
      <protection locked="0"/>
    </xf>
    <xf numFmtId="0" fontId="130" fillId="20" borderId="0" xfId="1" applyFont="1" applyFill="1" applyBorder="1" applyAlignment="1" applyProtection="1">
      <alignment horizontal="center" vertical="center"/>
      <protection locked="0"/>
    </xf>
    <xf numFmtId="0" fontId="130" fillId="20" borderId="9" xfId="1" applyFont="1" applyFill="1" applyBorder="1" applyAlignment="1" applyProtection="1">
      <alignment horizontal="center" vertical="center"/>
      <protection locked="0"/>
    </xf>
    <xf numFmtId="0" fontId="130" fillId="20" borderId="10" xfId="1" applyFont="1" applyFill="1" applyBorder="1" applyAlignment="1" applyProtection="1">
      <alignment horizontal="center" vertical="center"/>
      <protection locked="0"/>
    </xf>
    <xf numFmtId="0" fontId="130" fillId="20" borderId="2" xfId="1" applyFont="1" applyFill="1" applyBorder="1" applyAlignment="1" applyProtection="1">
      <alignment horizontal="center" vertical="center"/>
      <protection locked="0"/>
    </xf>
    <xf numFmtId="0" fontId="130" fillId="20" borderId="11" xfId="1" applyFont="1" applyFill="1" applyBorder="1" applyAlignment="1" applyProtection="1">
      <alignment horizontal="center" vertical="center"/>
      <protection locked="0"/>
    </xf>
    <xf numFmtId="0" fontId="130" fillId="20" borderId="7" xfId="1" applyFont="1" applyFill="1" applyBorder="1" applyAlignment="1" applyProtection="1">
      <alignment horizontal="center" vertical="center" wrapText="1"/>
      <protection locked="0"/>
    </xf>
    <xf numFmtId="0" fontId="130" fillId="20" borderId="8" xfId="1" applyFont="1" applyFill="1" applyBorder="1" applyAlignment="1" applyProtection="1">
      <alignment horizontal="center" vertical="center" wrapText="1"/>
      <protection locked="0"/>
    </xf>
    <xf numFmtId="0" fontId="130" fillId="20" borderId="12" xfId="1" applyFont="1" applyFill="1" applyBorder="1" applyAlignment="1" applyProtection="1">
      <alignment horizontal="center" vertical="center" wrapText="1"/>
      <protection locked="0"/>
    </xf>
    <xf numFmtId="0" fontId="130" fillId="20" borderId="3" xfId="1" applyFont="1" applyFill="1" applyBorder="1" applyAlignment="1" applyProtection="1">
      <alignment horizontal="center" vertical="center" wrapText="1"/>
      <protection locked="0"/>
    </xf>
    <xf numFmtId="0" fontId="130" fillId="20" borderId="0" xfId="1" applyFont="1" applyFill="1" applyBorder="1" applyAlignment="1" applyProtection="1">
      <alignment horizontal="center" vertical="center" wrapText="1"/>
      <protection locked="0"/>
    </xf>
    <xf numFmtId="0" fontId="130" fillId="20" borderId="9" xfId="1" applyFont="1" applyFill="1" applyBorder="1" applyAlignment="1" applyProtection="1">
      <alignment horizontal="center" vertical="center" wrapText="1"/>
      <protection locked="0"/>
    </xf>
    <xf numFmtId="0" fontId="130" fillId="20" borderId="10" xfId="1" applyFont="1" applyFill="1" applyBorder="1" applyAlignment="1" applyProtection="1">
      <alignment horizontal="center" vertical="center" wrapText="1"/>
      <protection locked="0"/>
    </xf>
    <xf numFmtId="0" fontId="130" fillId="20" borderId="2" xfId="1" applyFont="1" applyFill="1" applyBorder="1" applyAlignment="1" applyProtection="1">
      <alignment horizontal="center" vertical="center" wrapText="1"/>
      <protection locked="0"/>
    </xf>
    <xf numFmtId="0" fontId="130" fillId="20" borderId="11" xfId="1" applyFont="1" applyFill="1" applyBorder="1" applyAlignment="1" applyProtection="1">
      <alignment horizontal="center" vertical="center" wrapText="1"/>
      <protection locked="0"/>
    </xf>
    <xf numFmtId="0" fontId="131" fillId="0" borderId="3" xfId="0" applyFont="1" applyFill="1" applyBorder="1" applyAlignment="1">
      <alignment horizontal="left" vertical="top" wrapText="1"/>
    </xf>
    <xf numFmtId="0" fontId="131" fillId="0" borderId="0" xfId="0" applyFont="1" applyFill="1" applyBorder="1" applyAlignment="1">
      <alignment horizontal="left" vertical="top" wrapText="1"/>
    </xf>
    <xf numFmtId="0" fontId="131" fillId="0" borderId="9" xfId="0" applyFont="1" applyFill="1" applyBorder="1" applyAlignment="1">
      <alignment horizontal="left" vertical="top" wrapText="1"/>
    </xf>
    <xf numFmtId="0" fontId="0" fillId="0" borderId="10" xfId="0" applyFill="1" applyBorder="1"/>
    <xf numFmtId="0" fontId="0" fillId="0" borderId="2" xfId="0" applyFill="1" applyBorder="1"/>
    <xf numFmtId="0" fontId="0" fillId="0" borderId="11" xfId="0" applyFill="1" applyBorder="1"/>
    <xf numFmtId="0" fontId="132" fillId="0" borderId="0" xfId="0" applyFont="1" applyBorder="1" applyAlignment="1">
      <alignment horizontal="center"/>
    </xf>
    <xf numFmtId="0" fontId="0" fillId="0" borderId="0" xfId="0" applyBorder="1" applyAlignment="1">
      <alignment horizontal="left" vertical="top" wrapText="1"/>
    </xf>
    <xf numFmtId="0" fontId="128" fillId="0" borderId="0" xfId="0" applyFont="1" applyBorder="1" applyAlignment="1">
      <alignment horizontal="center"/>
    </xf>
    <xf numFmtId="0" fontId="111" fillId="0" borderId="0" xfId="1" applyFont="1" applyFill="1" applyBorder="1" applyAlignment="1" applyProtection="1">
      <alignment horizontal="center" vertical="center"/>
    </xf>
    <xf numFmtId="0" fontId="111" fillId="0" borderId="0" xfId="1" applyFont="1" applyFill="1" applyAlignment="1" applyProtection="1">
      <alignment horizontal="center" vertical="center"/>
    </xf>
    <xf numFmtId="0" fontId="96" fillId="0" borderId="0" xfId="1" applyFill="1" applyAlignment="1" applyProtection="1">
      <alignment horizontal="center" vertical="center"/>
    </xf>
    <xf numFmtId="0" fontId="133" fillId="0" borderId="0" xfId="1" applyFont="1" applyFill="1" applyAlignment="1" applyProtection="1">
      <alignment horizontal="center" vertical="center"/>
    </xf>
    <xf numFmtId="0" fontId="134" fillId="0" borderId="0" xfId="1" applyFont="1" applyFill="1" applyAlignment="1" applyProtection="1">
      <alignment horizontal="center" vertical="center"/>
    </xf>
    <xf numFmtId="0" fontId="111" fillId="0" borderId="0" xfId="1" applyFont="1" applyFill="1" applyAlignment="1" applyProtection="1">
      <alignment horizontal="center"/>
    </xf>
    <xf numFmtId="0" fontId="108" fillId="0" borderId="0" xfId="0" applyFont="1" applyFill="1" applyAlignment="1">
      <alignment horizontal="center"/>
    </xf>
    <xf numFmtId="0" fontId="99" fillId="0" borderId="0" xfId="0" applyFont="1" applyFill="1" applyAlignment="1">
      <alignment horizontal="center"/>
    </xf>
    <xf numFmtId="0" fontId="135" fillId="0" borderId="0" xfId="0" applyFont="1" applyBorder="1" applyAlignment="1">
      <alignment horizontal="left" vertical="top"/>
    </xf>
    <xf numFmtId="0" fontId="136" fillId="0" borderId="0" xfId="1" applyFont="1" applyBorder="1" applyAlignment="1" applyProtection="1">
      <alignment horizontal="center"/>
      <protection locked="0"/>
    </xf>
    <xf numFmtId="0" fontId="137" fillId="28" borderId="4" xfId="1" applyFont="1" applyFill="1" applyBorder="1" applyAlignment="1" applyProtection="1">
      <alignment horizontal="center" wrapText="1"/>
      <protection locked="0"/>
    </xf>
    <xf numFmtId="0" fontId="137" fillId="28" borderId="6" xfId="1" applyFont="1" applyFill="1" applyBorder="1" applyAlignment="1" applyProtection="1">
      <alignment horizontal="center" wrapText="1"/>
      <protection locked="0"/>
    </xf>
    <xf numFmtId="0" fontId="138" fillId="27" borderId="34" xfId="1" applyFont="1" applyFill="1" applyBorder="1" applyAlignment="1" applyProtection="1">
      <alignment horizontal="center"/>
    </xf>
    <xf numFmtId="0" fontId="138" fillId="27" borderId="36" xfId="1" applyFont="1" applyFill="1" applyBorder="1" applyAlignment="1" applyProtection="1">
      <alignment horizontal="center"/>
    </xf>
    <xf numFmtId="0" fontId="127" fillId="0" borderId="8" xfId="0" applyFont="1" applyFill="1" applyBorder="1" applyAlignment="1">
      <alignment horizontal="center" vertical="center"/>
    </xf>
    <xf numFmtId="0" fontId="127" fillId="0" borderId="0" xfId="0" applyFont="1" applyFill="1" applyBorder="1" applyAlignment="1">
      <alignment horizontal="center" vertical="center"/>
    </xf>
    <xf numFmtId="0" fontId="127" fillId="0" borderId="3" xfId="0" applyFont="1" applyFill="1" applyBorder="1" applyAlignment="1">
      <alignment horizontal="center" vertical="center"/>
    </xf>
    <xf numFmtId="0" fontId="127" fillId="0" borderId="9" xfId="0" applyFont="1" applyFill="1" applyBorder="1" applyAlignment="1">
      <alignment horizontal="center" vertical="center"/>
    </xf>
    <xf numFmtId="0" fontId="107" fillId="0" borderId="9" xfId="0" applyFont="1" applyFill="1" applyBorder="1" applyAlignment="1">
      <alignment horizontal="center"/>
    </xf>
    <xf numFmtId="0" fontId="107" fillId="0" borderId="11" xfId="0" applyFont="1" applyFill="1" applyBorder="1" applyAlignment="1">
      <alignment horizontal="center"/>
    </xf>
    <xf numFmtId="0" fontId="115" fillId="0" borderId="34" xfId="0" applyFont="1" applyBorder="1" applyAlignment="1" applyProtection="1">
      <alignment horizontal="center"/>
      <protection locked="0"/>
    </xf>
    <xf numFmtId="0" fontId="115" fillId="0" borderId="36" xfId="0" applyFont="1" applyBorder="1" applyAlignment="1" applyProtection="1">
      <alignment horizontal="center"/>
      <protection locked="0"/>
    </xf>
    <xf numFmtId="4" fontId="0" fillId="17" borderId="0" xfId="0" applyNumberFormat="1" applyFill="1"/>
    <xf numFmtId="0" fontId="139" fillId="18" borderId="34" xfId="0" applyFont="1" applyFill="1" applyBorder="1" applyAlignment="1">
      <alignment horizontal="center"/>
    </xf>
    <xf numFmtId="0" fontId="139" fillId="18" borderId="13" xfId="0" applyFont="1" applyFill="1" applyBorder="1" applyAlignment="1">
      <alignment horizontal="center"/>
    </xf>
    <xf numFmtId="0" fontId="139" fillId="18" borderId="36" xfId="0" applyFont="1" applyFill="1" applyBorder="1" applyAlignment="1">
      <alignment horizontal="center"/>
    </xf>
    <xf numFmtId="0" fontId="98" fillId="18" borderId="34" xfId="0" applyFont="1" applyFill="1" applyBorder="1" applyAlignment="1">
      <alignment horizontal="center"/>
    </xf>
    <xf numFmtId="0" fontId="98" fillId="18" borderId="13" xfId="0" applyFont="1" applyFill="1" applyBorder="1" applyAlignment="1">
      <alignment horizontal="center"/>
    </xf>
    <xf numFmtId="0" fontId="98" fillId="18" borderId="36" xfId="0" applyFont="1" applyFill="1" applyBorder="1" applyAlignment="1">
      <alignment horizontal="center"/>
    </xf>
    <xf numFmtId="0" fontId="140" fillId="27" borderId="0" xfId="1" applyFont="1" applyFill="1" applyBorder="1" applyAlignment="1" applyProtection="1">
      <alignment horizontal="center" wrapText="1"/>
      <protection locked="0"/>
    </xf>
    <xf numFmtId="0" fontId="98" fillId="18" borderId="34" xfId="0" applyFont="1" applyFill="1" applyBorder="1" applyAlignment="1">
      <alignment horizontal="center" wrapText="1"/>
    </xf>
    <xf numFmtId="0" fontId="98" fillId="18" borderId="13" xfId="0" applyFont="1" applyFill="1" applyBorder="1" applyAlignment="1">
      <alignment horizontal="center" wrapText="1"/>
    </xf>
    <xf numFmtId="0" fontId="98" fillId="18" borderId="36" xfId="0" applyFont="1" applyFill="1" applyBorder="1" applyAlignment="1">
      <alignment horizontal="center" wrapText="1"/>
    </xf>
    <xf numFmtId="0" fontId="123" fillId="0" borderId="13" xfId="0" applyFont="1" applyBorder="1" applyAlignment="1" applyProtection="1">
      <alignment horizontal="center"/>
      <protection locked="0"/>
    </xf>
    <xf numFmtId="0" fontId="123" fillId="0" borderId="36" xfId="0" applyFont="1" applyBorder="1" applyAlignment="1" applyProtection="1">
      <alignment horizontal="center"/>
      <protection locked="0"/>
    </xf>
    <xf numFmtId="0" fontId="106" fillId="23" borderId="7" xfId="0" applyFont="1" applyFill="1" applyBorder="1" applyAlignment="1">
      <alignment horizontal="center"/>
    </xf>
    <xf numFmtId="0" fontId="106" fillId="23" borderId="8" xfId="0" applyFont="1" applyFill="1" applyBorder="1" applyAlignment="1">
      <alignment horizontal="center"/>
    </xf>
    <xf numFmtId="0" fontId="106" fillId="23" borderId="12" xfId="0" applyFont="1" applyFill="1" applyBorder="1" applyAlignment="1">
      <alignment horizontal="center"/>
    </xf>
    <xf numFmtId="0" fontId="106" fillId="23" borderId="34" xfId="0" applyFont="1" applyFill="1" applyBorder="1" applyAlignment="1">
      <alignment horizontal="center"/>
    </xf>
    <xf numFmtId="0" fontId="106" fillId="23" borderId="13" xfId="0" applyFont="1" applyFill="1" applyBorder="1" applyAlignment="1">
      <alignment horizontal="center"/>
    </xf>
    <xf numFmtId="0" fontId="106" fillId="23" borderId="36" xfId="0" applyFont="1" applyFill="1" applyBorder="1" applyAlignment="1">
      <alignment horizontal="center"/>
    </xf>
    <xf numFmtId="0" fontId="135" fillId="0" borderId="0" xfId="0" applyFont="1" applyBorder="1" applyAlignment="1">
      <alignment horizontal="center"/>
    </xf>
    <xf numFmtId="0" fontId="135" fillId="0" borderId="9" xfId="0" applyFont="1" applyBorder="1" applyAlignment="1">
      <alignment horizontal="center"/>
    </xf>
    <xf numFmtId="0" fontId="127" fillId="27" borderId="7" xfId="1" applyFont="1" applyFill="1" applyBorder="1" applyAlignment="1" applyProtection="1">
      <alignment horizontal="center" vertical="center" wrapText="1"/>
    </xf>
    <xf numFmtId="0" fontId="96" fillId="27" borderId="12" xfId="1" applyFill="1" applyBorder="1" applyAlignment="1" applyProtection="1">
      <alignment horizontal="center" vertical="center" wrapText="1"/>
    </xf>
    <xf numFmtId="0" fontId="96" fillId="27" borderId="10" xfId="1" applyFill="1" applyBorder="1" applyAlignment="1" applyProtection="1">
      <alignment horizontal="center" vertical="center" wrapText="1"/>
    </xf>
    <xf numFmtId="0" fontId="96" fillId="27" borderId="11" xfId="1" applyFill="1" applyBorder="1" applyAlignment="1" applyProtection="1">
      <alignment horizontal="center" vertical="center" wrapText="1"/>
    </xf>
    <xf numFmtId="0" fontId="141" fillId="22" borderId="3" xfId="0" applyFont="1" applyFill="1" applyBorder="1" applyAlignment="1">
      <alignment horizontal="center"/>
    </xf>
    <xf numFmtId="0" fontId="141" fillId="22" borderId="0" xfId="0" applyFont="1" applyFill="1" applyBorder="1" applyAlignment="1">
      <alignment horizontal="center"/>
    </xf>
    <xf numFmtId="0" fontId="97" fillId="23" borderId="7" xfId="0" applyFont="1" applyFill="1" applyBorder="1" applyAlignment="1">
      <alignment horizontal="center"/>
    </xf>
    <xf numFmtId="0" fontId="97" fillId="23" borderId="8" xfId="0" applyFont="1" applyFill="1" applyBorder="1" applyAlignment="1">
      <alignment horizontal="center"/>
    </xf>
    <xf numFmtId="0" fontId="97" fillId="23" borderId="12" xfId="0" applyFont="1" applyFill="1" applyBorder="1" applyAlignment="1">
      <alignment horizontal="center"/>
    </xf>
    <xf numFmtId="0" fontId="142" fillId="27" borderId="7" xfId="1" applyFont="1" applyFill="1" applyBorder="1" applyAlignment="1" applyProtection="1">
      <alignment horizontal="center" vertical="center" wrapText="1"/>
    </xf>
    <xf numFmtId="0" fontId="142" fillId="27" borderId="12" xfId="1" applyFont="1" applyFill="1" applyBorder="1" applyAlignment="1" applyProtection="1">
      <alignment horizontal="center" vertical="center" wrapText="1"/>
    </xf>
    <xf numFmtId="0" fontId="142" fillId="27" borderId="10" xfId="1" applyFont="1" applyFill="1" applyBorder="1" applyAlignment="1" applyProtection="1">
      <alignment horizontal="center" vertical="center" wrapText="1"/>
    </xf>
    <xf numFmtId="0" fontId="142" fillId="27" borderId="11" xfId="1" applyFont="1" applyFill="1" applyBorder="1" applyAlignment="1" applyProtection="1">
      <alignment horizontal="center" vertical="center" wrapText="1"/>
    </xf>
    <xf numFmtId="166" fontId="99" fillId="22" borderId="42" xfId="0" applyNumberFormat="1" applyFont="1" applyFill="1" applyBorder="1" applyAlignment="1">
      <alignment horizontal="center"/>
    </xf>
    <xf numFmtId="166" fontId="99" fillId="22" borderId="126" xfId="0" applyNumberFormat="1" applyFont="1" applyFill="1" applyBorder="1" applyAlignment="1">
      <alignment horizontal="center"/>
    </xf>
    <xf numFmtId="166" fontId="78" fillId="22" borderId="100" xfId="0" applyNumberFormat="1" applyFont="1" applyFill="1" applyBorder="1" applyAlignment="1">
      <alignment horizontal="center"/>
    </xf>
    <xf numFmtId="166" fontId="78" fillId="22" borderId="127" xfId="0" applyNumberFormat="1" applyFont="1" applyFill="1" applyBorder="1" applyAlignment="1">
      <alignment horizontal="center"/>
    </xf>
    <xf numFmtId="0" fontId="0" fillId="22" borderId="128" xfId="0" applyFill="1" applyBorder="1" applyAlignment="1">
      <alignment horizontal="center"/>
    </xf>
    <xf numFmtId="0" fontId="0" fillId="22" borderId="129" xfId="0" applyFill="1" applyBorder="1" applyAlignment="1">
      <alignment horizontal="center"/>
    </xf>
    <xf numFmtId="0" fontId="0" fillId="22" borderId="129" xfId="0" applyFill="1" applyBorder="1"/>
    <xf numFmtId="0" fontId="81" fillId="3" borderId="3" xfId="0" applyFont="1" applyFill="1" applyBorder="1" applyAlignment="1">
      <alignment horizontal="left" wrapText="1"/>
    </xf>
    <xf numFmtId="0" fontId="81" fillId="3" borderId="0" xfId="0" applyFont="1" applyFill="1" applyBorder="1" applyAlignment="1">
      <alignment horizontal="left" wrapText="1"/>
    </xf>
    <xf numFmtId="0" fontId="33" fillId="22" borderId="3" xfId="0" applyFont="1" applyFill="1" applyBorder="1" applyAlignment="1">
      <alignment horizontal="left"/>
    </xf>
    <xf numFmtId="0" fontId="0" fillId="22" borderId="0" xfId="0" applyFill="1" applyAlignment="1">
      <alignment horizontal="left"/>
    </xf>
    <xf numFmtId="0" fontId="0" fillId="22" borderId="130" xfId="0" applyFill="1" applyBorder="1" applyAlignment="1">
      <alignment horizontal="center"/>
    </xf>
    <xf numFmtId="0" fontId="7" fillId="22" borderId="100" xfId="0" applyFont="1" applyFill="1" applyBorder="1" applyAlignment="1">
      <alignment horizontal="center" vertical="center"/>
    </xf>
    <xf numFmtId="0" fontId="7" fillId="22" borderId="95" xfId="0" applyFont="1" applyFill="1" applyBorder="1" applyAlignment="1">
      <alignment horizontal="center" vertical="center"/>
    </xf>
    <xf numFmtId="0" fontId="7" fillId="22" borderId="40" xfId="0" applyFont="1" applyFill="1" applyBorder="1" applyAlignment="1">
      <alignment horizontal="center" vertical="center"/>
    </xf>
    <xf numFmtId="0" fontId="7" fillId="22" borderId="42" xfId="0" applyFont="1" applyFill="1" applyBorder="1" applyAlignment="1">
      <alignment horizontal="center" vertical="center"/>
    </xf>
    <xf numFmtId="0" fontId="7" fillId="22" borderId="0" xfId="0" applyFont="1" applyFill="1" applyBorder="1" applyAlignment="1">
      <alignment horizontal="center" vertical="center"/>
    </xf>
    <xf numFmtId="0" fontId="7" fillId="22" borderId="41" xfId="0" applyFont="1" applyFill="1" applyBorder="1" applyAlignment="1">
      <alignment horizontal="center" vertical="center"/>
    </xf>
    <xf numFmtId="0" fontId="7" fillId="22" borderId="101" xfId="0" applyFont="1" applyFill="1" applyBorder="1" applyAlignment="1">
      <alignment horizontal="center" vertical="center"/>
    </xf>
    <xf numFmtId="0" fontId="7" fillId="22" borderId="1" xfId="0" applyFont="1" applyFill="1" applyBorder="1" applyAlignment="1">
      <alignment horizontal="center" vertical="center"/>
    </xf>
    <xf numFmtId="0" fontId="7" fillId="22" borderId="102" xfId="0" applyFont="1" applyFill="1" applyBorder="1" applyAlignment="1">
      <alignment horizontal="center" vertical="center"/>
    </xf>
    <xf numFmtId="0" fontId="0" fillId="22" borderId="38" xfId="0" applyFill="1" applyBorder="1" applyAlignment="1">
      <alignment horizontal="center" vertical="center" wrapText="1"/>
    </xf>
    <xf numFmtId="0" fontId="39" fillId="22" borderId="7" xfId="0" applyFont="1" applyFill="1" applyBorder="1" applyAlignment="1">
      <alignment horizontal="center"/>
    </xf>
    <xf numFmtId="0" fontId="39" fillId="22" borderId="8" xfId="0" applyFont="1" applyFill="1" applyBorder="1" applyAlignment="1">
      <alignment horizontal="center"/>
    </xf>
    <xf numFmtId="0" fontId="39" fillId="22" borderId="12" xfId="0" applyFont="1" applyFill="1" applyBorder="1" applyAlignment="1">
      <alignment horizontal="center"/>
    </xf>
    <xf numFmtId="0" fontId="99" fillId="3" borderId="100" xfId="0" applyFont="1" applyFill="1" applyBorder="1" applyAlignment="1" applyProtection="1">
      <alignment horizontal="center" vertical="center"/>
      <protection locked="0"/>
    </xf>
    <xf numFmtId="0" fontId="99" fillId="3" borderId="127" xfId="0" applyFont="1" applyFill="1" applyBorder="1" applyAlignment="1" applyProtection="1">
      <alignment horizontal="center" vertical="center"/>
      <protection locked="0"/>
    </xf>
    <xf numFmtId="0" fontId="99" fillId="3" borderId="42" xfId="0" applyFont="1" applyFill="1" applyBorder="1" applyAlignment="1" applyProtection="1">
      <alignment horizontal="center" vertical="center"/>
      <protection locked="0"/>
    </xf>
    <xf numFmtId="0" fontId="99" fillId="3" borderId="126" xfId="0" applyFont="1" applyFill="1" applyBorder="1" applyAlignment="1" applyProtection="1">
      <alignment horizontal="center" vertical="center"/>
      <protection locked="0"/>
    </xf>
    <xf numFmtId="0" fontId="125" fillId="22" borderId="42" xfId="0" applyFont="1" applyFill="1" applyBorder="1" applyAlignment="1">
      <alignment horizontal="center" vertical="center"/>
    </xf>
    <xf numFmtId="0" fontId="125" fillId="22" borderId="126" xfId="0" applyFont="1" applyFill="1" applyBorder="1" applyAlignment="1">
      <alignment horizontal="center" vertical="center"/>
    </xf>
    <xf numFmtId="0" fontId="53" fillId="22" borderId="131" xfId="0" applyFont="1" applyFill="1" applyBorder="1" applyAlignment="1">
      <alignment horizontal="center" vertical="center" wrapText="1"/>
    </xf>
    <xf numFmtId="0" fontId="53" fillId="22" borderId="49" xfId="0" applyFont="1" applyFill="1" applyBorder="1" applyAlignment="1">
      <alignment horizontal="center" vertical="center" wrapText="1"/>
    </xf>
    <xf numFmtId="0" fontId="53" fillId="22" borderId="132" xfId="0" applyFont="1" applyFill="1" applyBorder="1" applyAlignment="1">
      <alignment horizontal="center" vertical="center" wrapText="1"/>
    </xf>
    <xf numFmtId="0" fontId="53" fillId="22" borderId="8" xfId="0" applyFont="1" applyFill="1" applyBorder="1" applyAlignment="1">
      <alignment horizontal="center" vertical="center" wrapText="1"/>
    </xf>
    <xf numFmtId="0" fontId="53" fillId="22" borderId="133" xfId="0" applyFont="1" applyFill="1" applyBorder="1" applyAlignment="1">
      <alignment horizontal="center" vertical="center" wrapText="1"/>
    </xf>
    <xf numFmtId="0" fontId="99" fillId="22" borderId="45" xfId="0" applyFont="1" applyFill="1" applyBorder="1" applyAlignment="1">
      <alignment horizontal="center"/>
    </xf>
    <xf numFmtId="0" fontId="99" fillId="22" borderId="43" xfId="0" applyFont="1" applyFill="1" applyBorder="1" applyAlignment="1">
      <alignment horizontal="center"/>
    </xf>
    <xf numFmtId="0" fontId="125" fillId="22" borderId="45" xfId="0" applyFont="1" applyFill="1" applyBorder="1" applyAlignment="1">
      <alignment horizontal="center" vertical="center"/>
    </xf>
    <xf numFmtId="0" fontId="125" fillId="22" borderId="134" xfId="0" applyFont="1" applyFill="1" applyBorder="1" applyAlignment="1">
      <alignment horizontal="center" vertical="center"/>
    </xf>
    <xf numFmtId="0" fontId="99" fillId="22" borderId="134" xfId="0" applyFont="1" applyFill="1" applyBorder="1" applyAlignment="1">
      <alignment horizontal="center"/>
    </xf>
    <xf numFmtId="0" fontId="99" fillId="22" borderId="42" xfId="0" applyFont="1" applyFill="1" applyBorder="1" applyAlignment="1">
      <alignment horizontal="center"/>
    </xf>
    <xf numFmtId="0" fontId="99" fillId="22" borderId="41" xfId="0" applyFont="1" applyFill="1" applyBorder="1" applyAlignment="1">
      <alignment horizontal="center"/>
    </xf>
    <xf numFmtId="0" fontId="99" fillId="3" borderId="100" xfId="0" applyFont="1" applyFill="1" applyBorder="1" applyAlignment="1" applyProtection="1">
      <alignment horizontal="center"/>
      <protection locked="0"/>
    </xf>
    <xf numFmtId="0" fontId="99" fillId="3" borderId="40" xfId="0" applyFont="1" applyFill="1" applyBorder="1" applyAlignment="1" applyProtection="1">
      <alignment horizontal="center"/>
      <protection locked="0"/>
    </xf>
    <xf numFmtId="0" fontId="53" fillId="22" borderId="135" xfId="0" applyFont="1" applyFill="1" applyBorder="1" applyAlignment="1">
      <alignment horizontal="center"/>
    </xf>
    <xf numFmtId="0" fontId="53" fillId="22" borderId="136" xfId="0" applyFont="1" applyFill="1" applyBorder="1" applyAlignment="1">
      <alignment horizontal="center"/>
    </xf>
    <xf numFmtId="0" fontId="53" fillId="22" borderId="137" xfId="0" applyFont="1" applyFill="1" applyBorder="1" applyAlignment="1">
      <alignment horizontal="center"/>
    </xf>
    <xf numFmtId="0" fontId="53" fillId="22" borderId="128" xfId="0" applyFont="1" applyFill="1" applyBorder="1" applyAlignment="1">
      <alignment horizontal="center" vertical="center" wrapText="1"/>
    </xf>
    <xf numFmtId="0" fontId="53" fillId="22" borderId="129" xfId="0" applyFont="1" applyFill="1" applyBorder="1" applyAlignment="1">
      <alignment horizontal="center" vertical="center" wrapText="1"/>
    </xf>
    <xf numFmtId="0" fontId="53" fillId="22" borderId="42" xfId="0" applyFont="1" applyFill="1" applyBorder="1" applyAlignment="1">
      <alignment horizontal="center" vertical="center" wrapText="1"/>
    </xf>
    <xf numFmtId="0" fontId="53" fillId="22" borderId="41" xfId="0" applyFont="1" applyFill="1" applyBorder="1" applyAlignment="1">
      <alignment horizontal="center" vertical="center" wrapText="1"/>
    </xf>
    <xf numFmtId="0" fontId="53" fillId="23" borderId="132" xfId="0" applyFont="1" applyFill="1" applyBorder="1" applyAlignment="1" applyProtection="1">
      <alignment horizontal="center" vertical="center" wrapText="1"/>
      <protection locked="0"/>
    </xf>
    <xf numFmtId="0" fontId="53" fillId="23" borderId="42" xfId="0" applyFont="1" applyFill="1" applyBorder="1" applyAlignment="1" applyProtection="1">
      <alignment horizontal="center" vertical="center" wrapText="1"/>
      <protection locked="0"/>
    </xf>
    <xf numFmtId="0" fontId="143" fillId="3" borderId="8" xfId="0" applyFont="1" applyFill="1" applyBorder="1" applyAlignment="1">
      <alignment horizontal="left" vertical="top" wrapText="1"/>
    </xf>
    <xf numFmtId="0" fontId="143" fillId="3" borderId="0" xfId="0" applyFont="1" applyFill="1" applyBorder="1" applyAlignment="1">
      <alignment horizontal="left" vertical="top" wrapText="1"/>
    </xf>
    <xf numFmtId="0" fontId="99" fillId="3" borderId="42" xfId="0" applyFont="1" applyFill="1" applyBorder="1" applyAlignment="1" applyProtection="1">
      <alignment horizontal="center"/>
      <protection locked="0"/>
    </xf>
    <xf numFmtId="0" fontId="99" fillId="3" borderId="41" xfId="0" applyFont="1" applyFill="1" applyBorder="1" applyAlignment="1" applyProtection="1">
      <alignment horizontal="center"/>
      <protection locked="0"/>
    </xf>
    <xf numFmtId="0" fontId="0" fillId="3" borderId="0" xfId="0" applyFill="1" applyBorder="1" applyAlignment="1">
      <alignment horizontal="center"/>
    </xf>
    <xf numFmtId="0" fontId="4" fillId="22" borderId="46" xfId="0" applyFont="1" applyFill="1" applyBorder="1" applyAlignment="1">
      <alignment horizontal="center"/>
    </xf>
    <xf numFmtId="0" fontId="2" fillId="20" borderId="139" xfId="0" applyFont="1" applyFill="1" applyBorder="1" applyAlignment="1" applyProtection="1">
      <alignment horizontal="center" vertical="center"/>
      <protection locked="0"/>
    </xf>
    <xf numFmtId="0" fontId="2" fillId="20" borderId="140" xfId="0" applyFont="1" applyFill="1" applyBorder="1" applyAlignment="1" applyProtection="1">
      <alignment horizontal="center" vertical="center"/>
      <protection locked="0"/>
    </xf>
    <xf numFmtId="0" fontId="99" fillId="3" borderId="50" xfId="0" applyFont="1" applyFill="1" applyBorder="1" applyAlignment="1" applyProtection="1">
      <alignment horizontal="center"/>
      <protection locked="0"/>
    </xf>
    <xf numFmtId="166" fontId="48" fillId="22" borderId="42" xfId="0" applyNumberFormat="1" applyFont="1" applyFill="1" applyBorder="1" applyAlignment="1">
      <alignment horizontal="center"/>
    </xf>
    <xf numFmtId="166" fontId="48" fillId="22" borderId="126" xfId="0" applyNumberFormat="1" applyFont="1" applyFill="1" applyBorder="1" applyAlignment="1">
      <alignment horizontal="center"/>
    </xf>
    <xf numFmtId="168" fontId="78" fillId="22" borderId="100" xfId="0" applyNumberFormat="1" applyFont="1" applyFill="1" applyBorder="1" applyAlignment="1">
      <alignment horizontal="center"/>
    </xf>
    <xf numFmtId="168" fontId="78" fillId="22" borderId="138" xfId="0" applyNumberFormat="1" applyFont="1" applyFill="1" applyBorder="1" applyAlignment="1">
      <alignment horizontal="center"/>
    </xf>
    <xf numFmtId="168" fontId="47" fillId="22" borderId="42" xfId="0" applyNumberFormat="1" applyFont="1" applyFill="1" applyBorder="1" applyAlignment="1">
      <alignment horizontal="center"/>
    </xf>
    <xf numFmtId="168" fontId="47" fillId="22" borderId="9" xfId="0" applyNumberFormat="1" applyFont="1" applyFill="1" applyBorder="1" applyAlignment="1">
      <alignment horizontal="center"/>
    </xf>
    <xf numFmtId="0" fontId="53" fillId="22" borderId="101" xfId="0" applyFont="1" applyFill="1" applyBorder="1" applyAlignment="1">
      <alignment horizontal="center" vertical="center" wrapText="1"/>
    </xf>
    <xf numFmtId="0" fontId="53" fillId="22" borderId="102" xfId="0" applyFont="1" applyFill="1" applyBorder="1" applyAlignment="1">
      <alignment horizontal="center" vertical="center" wrapText="1"/>
    </xf>
    <xf numFmtId="0" fontId="53" fillId="22" borderId="12" xfId="0" applyFont="1" applyFill="1" applyBorder="1" applyAlignment="1">
      <alignment horizontal="center" vertical="center" wrapText="1"/>
    </xf>
    <xf numFmtId="0" fontId="53" fillId="22" borderId="29" xfId="0" applyFont="1" applyFill="1" applyBorder="1" applyAlignment="1">
      <alignment horizontal="center" vertical="center" wrapText="1"/>
    </xf>
    <xf numFmtId="0" fontId="142" fillId="28" borderId="7" xfId="1" applyFont="1" applyFill="1" applyBorder="1" applyAlignment="1" applyProtection="1">
      <alignment horizontal="center" vertical="center" wrapText="1"/>
      <protection locked="0"/>
    </xf>
    <xf numFmtId="0" fontId="96" fillId="28" borderId="12" xfId="1" applyFill="1" applyBorder="1" applyAlignment="1" applyProtection="1">
      <alignment horizontal="center" vertical="center" wrapText="1"/>
      <protection locked="0"/>
    </xf>
    <xf numFmtId="0" fontId="96" fillId="28" borderId="10" xfId="1" applyFill="1" applyBorder="1" applyAlignment="1" applyProtection="1">
      <alignment horizontal="center" vertical="center" wrapText="1"/>
      <protection locked="0"/>
    </xf>
    <xf numFmtId="0" fontId="96" fillId="28" borderId="11" xfId="1" applyFill="1" applyBorder="1" applyAlignment="1" applyProtection="1">
      <alignment horizontal="center" vertical="center" wrapText="1"/>
      <protection locked="0"/>
    </xf>
    <xf numFmtId="0" fontId="53" fillId="22" borderId="93" xfId="0" applyFont="1" applyFill="1" applyBorder="1" applyAlignment="1">
      <alignment horizontal="center" vertical="center" wrapText="1"/>
    </xf>
    <xf numFmtId="0" fontId="53" fillId="22" borderId="50" xfId="0" applyFont="1" applyFill="1" applyBorder="1" applyAlignment="1">
      <alignment horizontal="center" vertical="center" wrapText="1"/>
    </xf>
    <xf numFmtId="0" fontId="99" fillId="3" borderId="48" xfId="0" applyFont="1" applyFill="1" applyBorder="1" applyAlignment="1" applyProtection="1">
      <alignment horizontal="center"/>
      <protection locked="0"/>
    </xf>
    <xf numFmtId="168" fontId="48" fillId="22" borderId="42" xfId="0" applyNumberFormat="1" applyFont="1" applyFill="1" applyBorder="1" applyAlignment="1">
      <alignment horizontal="center"/>
    </xf>
    <xf numFmtId="168" fontId="48" fillId="22" borderId="9" xfId="0" applyNumberFormat="1" applyFont="1" applyFill="1" applyBorder="1" applyAlignment="1">
      <alignment horizontal="center"/>
    </xf>
    <xf numFmtId="166" fontId="47" fillId="22" borderId="42" xfId="0" applyNumberFormat="1" applyFont="1" applyFill="1" applyBorder="1" applyAlignment="1">
      <alignment horizontal="center"/>
    </xf>
    <xf numFmtId="166" fontId="47" fillId="22" borderId="126" xfId="0" applyNumberFormat="1" applyFont="1" applyFill="1" applyBorder="1" applyAlignment="1">
      <alignment horizontal="center"/>
    </xf>
    <xf numFmtId="0" fontId="99" fillId="22" borderId="128" xfId="0" applyFont="1" applyFill="1" applyBorder="1" applyAlignment="1">
      <alignment horizontal="center"/>
    </xf>
    <xf numFmtId="0" fontId="99" fillId="22" borderId="129" xfId="0" applyFont="1" applyFill="1" applyBorder="1"/>
    <xf numFmtId="0" fontId="61" fillId="3" borderId="8" xfId="1" applyFont="1" applyFill="1" applyBorder="1" applyAlignment="1" applyProtection="1">
      <alignment horizontal="left" vertical="center"/>
    </xf>
    <xf numFmtId="0" fontId="125" fillId="22" borderId="10" xfId="0" applyFont="1" applyFill="1" applyBorder="1" applyAlignment="1">
      <alignment horizontal="center" vertical="center"/>
    </xf>
    <xf numFmtId="0" fontId="125" fillId="22" borderId="43" xfId="0" applyFont="1" applyFill="1" applyBorder="1" applyAlignment="1">
      <alignment horizontal="center" vertical="center"/>
    </xf>
    <xf numFmtId="0" fontId="39" fillId="22" borderId="0" xfId="0" applyFont="1" applyFill="1" applyBorder="1" applyAlignment="1">
      <alignment horizontal="center" vertical="center"/>
    </xf>
    <xf numFmtId="164" fontId="48" fillId="22" borderId="42" xfId="0" applyNumberFormat="1" applyFont="1" applyFill="1" applyBorder="1" applyAlignment="1">
      <alignment horizontal="center"/>
    </xf>
    <xf numFmtId="164" fontId="48" fillId="22" borderId="9" xfId="0" applyNumberFormat="1" applyFont="1" applyFill="1" applyBorder="1" applyAlignment="1">
      <alignment horizontal="center"/>
    </xf>
    <xf numFmtId="0" fontId="60" fillId="20" borderId="139" xfId="0" applyFont="1" applyFill="1" applyBorder="1" applyAlignment="1" applyProtection="1">
      <alignment horizontal="center" vertical="center"/>
      <protection locked="0"/>
    </xf>
    <xf numFmtId="0" fontId="60" fillId="20" borderId="140" xfId="0" applyFont="1" applyFill="1" applyBorder="1" applyAlignment="1" applyProtection="1">
      <alignment horizontal="center" vertical="center"/>
      <protection locked="0"/>
    </xf>
    <xf numFmtId="0" fontId="99" fillId="3" borderId="0" xfId="0" applyFont="1" applyFill="1" applyBorder="1" applyAlignment="1">
      <alignment horizontal="center"/>
    </xf>
    <xf numFmtId="0" fontId="99" fillId="22" borderId="129" xfId="0" applyFont="1" applyFill="1" applyBorder="1" applyAlignment="1">
      <alignment horizontal="center"/>
    </xf>
    <xf numFmtId="0" fontId="82" fillId="3" borderId="3" xfId="0" applyFont="1" applyFill="1" applyBorder="1" applyAlignment="1">
      <alignment horizontal="left" wrapText="1"/>
    </xf>
    <xf numFmtId="0" fontId="82" fillId="3" borderId="0" xfId="0" applyFont="1" applyFill="1" applyBorder="1" applyAlignment="1">
      <alignment horizontal="left" wrapText="1"/>
    </xf>
    <xf numFmtId="0" fontId="99" fillId="22" borderId="128" xfId="0" applyFont="1" applyFill="1" applyBorder="1" applyAlignment="1">
      <alignment horizontal="center" vertical="center" wrapText="1"/>
    </xf>
    <xf numFmtId="0" fontId="99" fillId="22" borderId="130" xfId="0" applyFont="1" applyFill="1" applyBorder="1" applyAlignment="1">
      <alignment horizontal="center" vertical="center" wrapText="1"/>
    </xf>
    <xf numFmtId="0" fontId="99" fillId="22" borderId="129" xfId="0" applyFont="1" applyFill="1" applyBorder="1" applyAlignment="1">
      <alignment horizontal="center" vertical="center" wrapText="1"/>
    </xf>
    <xf numFmtId="0" fontId="58" fillId="3" borderId="0" xfId="0" applyFont="1" applyFill="1" applyBorder="1" applyAlignment="1">
      <alignment horizontal="left" vertical="top" wrapText="1"/>
    </xf>
    <xf numFmtId="0" fontId="99" fillId="22" borderId="2" xfId="0" applyFont="1" applyFill="1" applyBorder="1" applyAlignment="1">
      <alignment horizontal="center"/>
    </xf>
    <xf numFmtId="0" fontId="99" fillId="3" borderId="0" xfId="0" applyFont="1" applyFill="1" applyBorder="1" applyAlignment="1" applyProtection="1">
      <alignment horizontal="center"/>
      <protection locked="0"/>
    </xf>
    <xf numFmtId="0" fontId="99" fillId="22" borderId="0" xfId="0" applyFont="1" applyFill="1" applyBorder="1" applyAlignment="1">
      <alignment horizontal="center"/>
    </xf>
    <xf numFmtId="164" fontId="78" fillId="22" borderId="100" xfId="0" applyNumberFormat="1" applyFont="1" applyFill="1" applyBorder="1" applyAlignment="1">
      <alignment horizontal="center"/>
    </xf>
    <xf numFmtId="164" fontId="78" fillId="22" borderId="138" xfId="0" applyNumberFormat="1" applyFont="1" applyFill="1" applyBorder="1" applyAlignment="1">
      <alignment horizontal="center"/>
    </xf>
    <xf numFmtId="164" fontId="47" fillId="22" borderId="42" xfId="0" applyNumberFormat="1" applyFont="1" applyFill="1" applyBorder="1" applyAlignment="1">
      <alignment horizontal="center"/>
    </xf>
    <xf numFmtId="164" fontId="47" fillId="22" borderId="9" xfId="0" applyNumberFormat="1" applyFont="1" applyFill="1" applyBorder="1" applyAlignment="1">
      <alignment horizontal="center"/>
    </xf>
    <xf numFmtId="0" fontId="125" fillId="22" borderId="3" xfId="0" applyFont="1" applyFill="1" applyBorder="1" applyAlignment="1">
      <alignment horizontal="center" vertical="center"/>
    </xf>
    <xf numFmtId="0" fontId="125" fillId="22" borderId="41" xfId="0" applyFont="1" applyFill="1" applyBorder="1" applyAlignment="1">
      <alignment horizontal="center" vertical="center"/>
    </xf>
    <xf numFmtId="0" fontId="99" fillId="3" borderId="3" xfId="0" applyFont="1" applyFill="1" applyBorder="1" applyAlignment="1" applyProtection="1">
      <alignment horizontal="center" vertical="center"/>
      <protection locked="0"/>
    </xf>
    <xf numFmtId="0" fontId="99" fillId="3" borderId="41" xfId="0" applyFont="1" applyFill="1" applyBorder="1" applyAlignment="1" applyProtection="1">
      <alignment horizontal="center" vertical="center"/>
      <protection locked="0"/>
    </xf>
    <xf numFmtId="0" fontId="53" fillId="22" borderId="1" xfId="0" applyFont="1" applyFill="1" applyBorder="1" applyAlignment="1">
      <alignment horizontal="center" vertical="center" wrapText="1"/>
    </xf>
    <xf numFmtId="0" fontId="99" fillId="3" borderId="95" xfId="0" applyFont="1" applyFill="1" applyBorder="1" applyAlignment="1" applyProtection="1">
      <alignment horizontal="center"/>
      <protection locked="0"/>
    </xf>
    <xf numFmtId="0" fontId="53" fillId="22" borderId="7" xfId="0" applyFont="1" applyFill="1" applyBorder="1" applyAlignment="1">
      <alignment horizontal="center" vertical="center" wrapText="1"/>
    </xf>
    <xf numFmtId="0" fontId="53" fillId="22" borderId="32" xfId="0" applyFont="1" applyFill="1" applyBorder="1" applyAlignment="1">
      <alignment horizontal="center" vertical="center" wrapText="1"/>
    </xf>
    <xf numFmtId="0" fontId="99" fillId="3" borderId="19" xfId="0" applyFont="1" applyFill="1" applyBorder="1" applyAlignment="1" applyProtection="1">
      <alignment horizontal="center" vertical="center"/>
      <protection locked="0"/>
    </xf>
    <xf numFmtId="0" fontId="99" fillId="3" borderId="40" xfId="0" applyFont="1" applyFill="1" applyBorder="1" applyAlignment="1" applyProtection="1">
      <alignment horizontal="center" vertical="center"/>
      <protection locked="0"/>
    </xf>
    <xf numFmtId="0" fontId="41" fillId="0" borderId="7" xfId="0" applyFont="1" applyBorder="1" applyProtection="1">
      <protection hidden="1"/>
    </xf>
    <xf numFmtId="0" fontId="41" fillId="0" borderId="8" xfId="0" applyFont="1" applyBorder="1" applyProtection="1">
      <protection hidden="1"/>
    </xf>
    <xf numFmtId="0" fontId="41" fillId="3" borderId="0" xfId="0" applyFont="1" applyFill="1" applyBorder="1" applyAlignment="1">
      <alignment horizontal="center" vertical="top" wrapText="1"/>
    </xf>
    <xf numFmtId="3" fontId="41" fillId="22" borderId="0" xfId="0" applyNumberFormat="1" applyFont="1" applyFill="1" applyBorder="1" applyAlignment="1">
      <alignment horizontal="center" vertical="center"/>
    </xf>
    <xf numFmtId="3" fontId="41" fillId="22" borderId="9" xfId="0" applyNumberFormat="1" applyFont="1" applyFill="1" applyBorder="1" applyAlignment="1">
      <alignment horizontal="center" vertical="center"/>
    </xf>
    <xf numFmtId="3" fontId="41" fillId="23" borderId="0" xfId="0" applyNumberFormat="1" applyFont="1" applyFill="1" applyBorder="1" applyAlignment="1">
      <alignment horizontal="center" vertical="center"/>
    </xf>
    <xf numFmtId="3" fontId="41" fillId="23" borderId="9" xfId="0" applyNumberFormat="1" applyFont="1" applyFill="1" applyBorder="1" applyAlignment="1">
      <alignment horizontal="center" vertical="center"/>
    </xf>
    <xf numFmtId="2" fontId="41" fillId="4" borderId="3" xfId="0" applyNumberFormat="1" applyFont="1" applyFill="1" applyBorder="1" applyAlignment="1" applyProtection="1">
      <alignment horizontal="center"/>
      <protection hidden="1"/>
    </xf>
    <xf numFmtId="2" fontId="41" fillId="4" borderId="9" xfId="0" applyNumberFormat="1" applyFont="1" applyFill="1" applyBorder="1" applyAlignment="1" applyProtection="1">
      <alignment horizontal="center"/>
      <protection hidden="1"/>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12" xfId="0" applyFont="1" applyBorder="1" applyAlignment="1">
      <alignment horizontal="center" vertical="center"/>
    </xf>
    <xf numFmtId="3" fontId="41" fillId="22" borderId="8" xfId="0" applyNumberFormat="1" applyFont="1" applyFill="1" applyBorder="1" applyAlignment="1">
      <alignment horizontal="center" vertical="center"/>
    </xf>
    <xf numFmtId="3" fontId="41" fillId="22" borderId="12" xfId="0" applyNumberFormat="1" applyFont="1" applyFill="1" applyBorder="1" applyAlignment="1">
      <alignment horizontal="center" vertical="center"/>
    </xf>
    <xf numFmtId="0" fontId="41" fillId="5" borderId="2" xfId="0" applyFont="1" applyFill="1" applyBorder="1" applyAlignment="1">
      <alignment horizontal="center" vertical="center"/>
    </xf>
    <xf numFmtId="0" fontId="41" fillId="5" borderId="11" xfId="0" applyFont="1" applyFill="1" applyBorder="1" applyAlignment="1">
      <alignment horizontal="center" vertical="center"/>
    </xf>
    <xf numFmtId="0" fontId="41" fillId="29" borderId="34" xfId="0" applyFont="1" applyFill="1" applyBorder="1" applyAlignment="1" applyProtection="1">
      <alignment horizontal="center"/>
      <protection hidden="1"/>
    </xf>
    <xf numFmtId="0" fontId="41" fillId="29" borderId="36" xfId="0" applyFont="1" applyFill="1" applyBorder="1" applyAlignment="1" applyProtection="1">
      <alignment horizontal="center"/>
      <protection hidden="1"/>
    </xf>
    <xf numFmtId="2" fontId="41" fillId="4" borderId="10" xfId="0" applyNumberFormat="1" applyFont="1" applyFill="1" applyBorder="1" applyAlignment="1" applyProtection="1">
      <alignment horizontal="center"/>
      <protection hidden="1"/>
    </xf>
    <xf numFmtId="2" fontId="41" fillId="4" borderId="11" xfId="0" applyNumberFormat="1" applyFont="1" applyFill="1" applyBorder="1" applyAlignment="1" applyProtection="1">
      <alignment horizontal="center"/>
      <protection hidden="1"/>
    </xf>
    <xf numFmtId="2" fontId="41" fillId="4" borderId="7" xfId="0" applyNumberFormat="1" applyFont="1" applyFill="1" applyBorder="1" applyAlignment="1" applyProtection="1">
      <alignment horizontal="center"/>
      <protection hidden="1"/>
    </xf>
    <xf numFmtId="2" fontId="41" fillId="4" borderId="12" xfId="0" applyNumberFormat="1" applyFont="1" applyFill="1" applyBorder="1" applyAlignment="1" applyProtection="1">
      <alignment horizontal="center"/>
      <protection hidden="1"/>
    </xf>
    <xf numFmtId="2" fontId="41" fillId="4" borderId="5" xfId="0" applyNumberFormat="1" applyFont="1" applyFill="1" applyBorder="1" applyAlignment="1" applyProtection="1">
      <alignment horizontal="center"/>
      <protection hidden="1"/>
    </xf>
    <xf numFmtId="0" fontId="41" fillId="4" borderId="10" xfId="0" applyFont="1" applyFill="1" applyBorder="1" applyAlignment="1" applyProtection="1">
      <alignment horizontal="center"/>
      <protection hidden="1"/>
    </xf>
    <xf numFmtId="0" fontId="41" fillId="4" borderId="11" xfId="0" applyFont="1" applyFill="1" applyBorder="1" applyAlignment="1" applyProtection="1">
      <alignment horizontal="center"/>
      <protection hidden="1"/>
    </xf>
    <xf numFmtId="2" fontId="41" fillId="4" borderId="2" xfId="0" applyNumberFormat="1" applyFont="1" applyFill="1" applyBorder="1" applyAlignment="1" applyProtection="1">
      <alignment horizontal="center"/>
      <protection hidden="1"/>
    </xf>
    <xf numFmtId="2" fontId="41" fillId="4" borderId="0" xfId="0" applyNumberFormat="1" applyFont="1" applyFill="1" applyBorder="1" applyAlignment="1" applyProtection="1">
      <alignment horizontal="center"/>
      <protection hidden="1"/>
    </xf>
    <xf numFmtId="0" fontId="41" fillId="0" borderId="5" xfId="0" applyFont="1" applyBorder="1" applyProtection="1">
      <protection hidden="1"/>
    </xf>
    <xf numFmtId="0" fontId="41" fillId="0" borderId="9" xfId="0" applyFont="1" applyBorder="1" applyProtection="1">
      <protection hidden="1"/>
    </xf>
    <xf numFmtId="0" fontId="41" fillId="0" borderId="0" xfId="0" applyFont="1" applyBorder="1" applyAlignment="1" applyProtection="1">
      <alignment horizontal="center"/>
      <protection hidden="1"/>
    </xf>
    <xf numFmtId="0" fontId="41" fillId="0" borderId="9" xfId="0" applyFont="1" applyBorder="1" applyAlignment="1" applyProtection="1">
      <alignment horizontal="center"/>
      <protection hidden="1"/>
    </xf>
    <xf numFmtId="1" fontId="41" fillId="5" borderId="13" xfId="0" applyNumberFormat="1" applyFont="1" applyFill="1" applyBorder="1" applyAlignment="1">
      <alignment horizontal="center"/>
    </xf>
    <xf numFmtId="1" fontId="41" fillId="5" borderId="10" xfId="0" applyNumberFormat="1" applyFont="1" applyFill="1" applyBorder="1" applyAlignment="1">
      <alignment horizontal="center"/>
    </xf>
    <xf numFmtId="1" fontId="41" fillId="5" borderId="11" xfId="0" applyNumberFormat="1" applyFont="1" applyFill="1" applyBorder="1" applyAlignment="1">
      <alignment horizontal="center"/>
    </xf>
    <xf numFmtId="3" fontId="90" fillId="23" borderId="34" xfId="0" applyNumberFormat="1" applyFont="1" applyFill="1" applyBorder="1" applyAlignment="1">
      <alignment horizontal="center"/>
    </xf>
    <xf numFmtId="3" fontId="90" fillId="23" borderId="36" xfId="0" applyNumberFormat="1" applyFont="1" applyFill="1" applyBorder="1" applyAlignment="1">
      <alignment horizontal="center"/>
    </xf>
    <xf numFmtId="1" fontId="39" fillId="23" borderId="7" xfId="0" applyNumberFormat="1" applyFont="1" applyFill="1" applyBorder="1" applyAlignment="1">
      <alignment horizontal="center" vertical="center"/>
    </xf>
    <xf numFmtId="1" fontId="39" fillId="23" borderId="12" xfId="0" applyNumberFormat="1" applyFont="1" applyFill="1" applyBorder="1" applyAlignment="1">
      <alignment horizontal="center" vertical="center"/>
    </xf>
    <xf numFmtId="1" fontId="39" fillId="23" borderId="10" xfId="0" applyNumberFormat="1" applyFont="1" applyFill="1" applyBorder="1" applyAlignment="1">
      <alignment horizontal="center" vertical="center"/>
    </xf>
    <xf numFmtId="1" fontId="39" fillId="23" borderId="11" xfId="0" applyNumberFormat="1" applyFont="1" applyFill="1" applyBorder="1" applyAlignment="1">
      <alignment horizontal="center" vertical="center"/>
    </xf>
    <xf numFmtId="0" fontId="41" fillId="0" borderId="2" xfId="0" applyFont="1" applyBorder="1" applyAlignment="1">
      <alignment horizontal="left" wrapText="1"/>
    </xf>
    <xf numFmtId="0" fontId="41" fillId="0" borderId="2" xfId="0" applyFont="1" applyBorder="1" applyAlignment="1">
      <alignment horizontal="left"/>
    </xf>
    <xf numFmtId="0" fontId="142" fillId="27" borderId="4" xfId="1" applyFont="1" applyFill="1" applyBorder="1" applyAlignment="1" applyProtection="1">
      <alignment horizontal="center" vertical="center" wrapText="1"/>
      <protection locked="0"/>
    </xf>
    <xf numFmtId="0" fontId="142" fillId="27" borderId="6" xfId="1" applyFont="1" applyFill="1" applyBorder="1" applyAlignment="1" applyProtection="1">
      <alignment horizontal="center" vertical="center" wrapText="1"/>
      <protection locked="0"/>
    </xf>
    <xf numFmtId="0" fontId="90" fillId="22" borderId="7" xfId="0" applyFont="1" applyFill="1" applyBorder="1" applyAlignment="1">
      <alignment horizontal="left"/>
    </xf>
    <xf numFmtId="0" fontId="90" fillId="22" borderId="8" xfId="0" applyFont="1" applyFill="1" applyBorder="1" applyAlignment="1">
      <alignment horizontal="left"/>
    </xf>
    <xf numFmtId="0" fontId="41" fillId="0" borderId="3" xfId="0" applyFont="1" applyBorder="1" applyAlignment="1" applyProtection="1">
      <alignment horizontal="center"/>
      <protection hidden="1"/>
    </xf>
    <xf numFmtId="0" fontId="39" fillId="0" borderId="0" xfId="0" applyFont="1" applyFill="1" applyBorder="1" applyAlignment="1">
      <alignment horizontal="center"/>
    </xf>
    <xf numFmtId="2" fontId="41" fillId="5" borderId="8" xfId="0" applyNumberFormat="1" applyFont="1" applyFill="1" applyBorder="1" applyAlignment="1">
      <alignment horizontal="center"/>
    </xf>
    <xf numFmtId="3" fontId="41" fillId="5" borderId="8" xfId="0" applyNumberFormat="1" applyFont="1" applyFill="1" applyBorder="1" applyAlignment="1">
      <alignment horizontal="center"/>
    </xf>
    <xf numFmtId="3" fontId="41" fillId="5" borderId="2" xfId="0" applyNumberFormat="1" applyFont="1" applyFill="1" applyBorder="1" applyAlignment="1">
      <alignment horizontal="center"/>
    </xf>
    <xf numFmtId="0" fontId="70" fillId="0" borderId="0" xfId="1" applyFont="1" applyFill="1" applyBorder="1" applyAlignment="1" applyProtection="1">
      <alignment horizontal="left" vertical="center" wrapText="1"/>
    </xf>
    <xf numFmtId="0" fontId="70" fillId="0" borderId="9" xfId="1" applyFont="1" applyFill="1" applyBorder="1" applyAlignment="1" applyProtection="1">
      <alignment horizontal="left" vertical="center" wrapText="1"/>
    </xf>
    <xf numFmtId="0" fontId="39" fillId="22" borderId="7" xfId="0" applyFont="1" applyFill="1" applyBorder="1" applyAlignment="1">
      <alignment horizontal="center" vertical="center" wrapText="1"/>
    </xf>
    <xf numFmtId="0" fontId="39" fillId="22" borderId="8" xfId="0" applyFont="1" applyFill="1" applyBorder="1" applyAlignment="1">
      <alignment horizontal="center" vertical="center" wrapText="1"/>
    </xf>
    <xf numFmtId="0" fontId="39" fillId="22" borderId="10" xfId="0" applyFont="1" applyFill="1" applyBorder="1" applyAlignment="1">
      <alignment horizontal="center" vertical="center" wrapText="1"/>
    </xf>
    <xf numFmtId="0" fontId="39" fillId="22" borderId="2" xfId="0" applyFont="1" applyFill="1" applyBorder="1" applyAlignment="1">
      <alignment horizontal="center" vertical="center" wrapText="1"/>
    </xf>
    <xf numFmtId="3" fontId="41" fillId="3" borderId="34" xfId="0" applyNumberFormat="1" applyFont="1" applyFill="1" applyBorder="1" applyAlignment="1" applyProtection="1">
      <alignment horizontal="center"/>
      <protection locked="0"/>
    </xf>
    <xf numFmtId="3" fontId="41" fillId="3" borderId="36" xfId="0" applyNumberFormat="1" applyFont="1" applyFill="1" applyBorder="1" applyAlignment="1" applyProtection="1">
      <alignment horizontal="center"/>
      <protection locked="0"/>
    </xf>
    <xf numFmtId="0" fontId="90" fillId="23" borderId="34" xfId="0" applyFont="1" applyFill="1" applyBorder="1" applyAlignment="1">
      <alignment horizontal="center"/>
    </xf>
    <xf numFmtId="0" fontId="90" fillId="23" borderId="36" xfId="0" applyFont="1" applyFill="1" applyBorder="1" applyAlignment="1">
      <alignment horizontal="center"/>
    </xf>
    <xf numFmtId="0" fontId="69" fillId="0" borderId="35" xfId="0" applyFont="1" applyFill="1" applyBorder="1" applyAlignment="1">
      <alignment horizontal="left" vertical="top" wrapText="1"/>
    </xf>
    <xf numFmtId="1" fontId="41" fillId="20" borderId="34" xfId="0" applyNumberFormat="1" applyFont="1" applyFill="1" applyBorder="1" applyAlignment="1" applyProtection="1">
      <alignment horizontal="center"/>
      <protection locked="0"/>
    </xf>
    <xf numFmtId="1" fontId="41" fillId="20" borderId="36" xfId="0" applyNumberFormat="1" applyFont="1" applyFill="1" applyBorder="1" applyAlignment="1" applyProtection="1">
      <alignment horizontal="center"/>
      <protection locked="0"/>
    </xf>
    <xf numFmtId="0" fontId="41" fillId="3" borderId="8" xfId="0" applyFont="1" applyFill="1" applyBorder="1" applyAlignment="1">
      <alignment horizontal="left" vertical="top" wrapText="1"/>
    </xf>
    <xf numFmtId="3" fontId="39" fillId="5" borderId="9" xfId="0" applyNumberFormat="1" applyFont="1" applyFill="1" applyBorder="1" applyAlignment="1">
      <alignment horizontal="center" vertical="center"/>
    </xf>
    <xf numFmtId="0" fontId="92" fillId="22" borderId="100" xfId="1" applyFont="1" applyFill="1" applyBorder="1" applyAlignment="1" applyProtection="1">
      <alignment horizontal="center" vertical="center"/>
      <protection locked="0"/>
    </xf>
    <xf numFmtId="0" fontId="92" fillId="22" borderId="95" xfId="1" applyFont="1" applyFill="1" applyBorder="1" applyAlignment="1" applyProtection="1">
      <alignment horizontal="center" vertical="center"/>
      <protection locked="0"/>
    </xf>
    <xf numFmtId="0" fontId="92" fillId="22" borderId="40" xfId="1" applyFont="1" applyFill="1" applyBorder="1" applyAlignment="1" applyProtection="1">
      <alignment horizontal="center" vertical="center"/>
      <protection locked="0"/>
    </xf>
    <xf numFmtId="0" fontId="92" fillId="22" borderId="42" xfId="1" applyFont="1" applyFill="1" applyBorder="1" applyAlignment="1" applyProtection="1">
      <alignment horizontal="center" vertical="center"/>
      <protection locked="0"/>
    </xf>
    <xf numFmtId="0" fontId="92" fillId="22" borderId="0" xfId="1" applyFont="1" applyFill="1" applyBorder="1" applyAlignment="1" applyProtection="1">
      <alignment horizontal="center" vertical="center"/>
      <protection locked="0"/>
    </xf>
    <xf numFmtId="0" fontId="92" fillId="22" borderId="41" xfId="1" applyFont="1" applyFill="1" applyBorder="1" applyAlignment="1" applyProtection="1">
      <alignment horizontal="center" vertical="center"/>
      <protection locked="0"/>
    </xf>
    <xf numFmtId="0" fontId="92" fillId="22" borderId="101" xfId="1" applyFont="1" applyFill="1" applyBorder="1" applyAlignment="1" applyProtection="1">
      <alignment horizontal="center" vertical="center"/>
      <protection locked="0"/>
    </xf>
    <xf numFmtId="0" fontId="92" fillId="22" borderId="1" xfId="1" applyFont="1" applyFill="1" applyBorder="1" applyAlignment="1" applyProtection="1">
      <alignment horizontal="center" vertical="center"/>
      <protection locked="0"/>
    </xf>
    <xf numFmtId="0" fontId="92" fillId="22" borderId="102" xfId="1" applyFont="1" applyFill="1" applyBorder="1" applyAlignment="1" applyProtection="1">
      <alignment horizontal="center" vertical="center"/>
      <protection locked="0"/>
    </xf>
    <xf numFmtId="0" fontId="39" fillId="22" borderId="12" xfId="0" applyFont="1" applyFill="1" applyBorder="1" applyAlignment="1">
      <alignment horizontal="center" vertical="center"/>
    </xf>
    <xf numFmtId="0" fontId="39" fillId="22" borderId="11" xfId="0" applyFont="1" applyFill="1" applyBorder="1" applyAlignment="1">
      <alignment horizontal="center" vertical="center"/>
    </xf>
    <xf numFmtId="0" fontId="41" fillId="20" borderId="34" xfId="0" applyNumberFormat="1" applyFont="1" applyFill="1" applyBorder="1" applyAlignment="1">
      <alignment horizontal="center"/>
    </xf>
    <xf numFmtId="49" fontId="41" fillId="20" borderId="36" xfId="0" applyNumberFormat="1" applyFont="1" applyFill="1" applyBorder="1" applyAlignment="1">
      <alignment horizontal="center"/>
    </xf>
    <xf numFmtId="0" fontId="41" fillId="0" borderId="34" xfId="0" applyFont="1" applyBorder="1" applyProtection="1">
      <protection hidden="1"/>
    </xf>
    <xf numFmtId="0" fontId="41" fillId="0" borderId="13" xfId="0" applyFont="1" applyBorder="1" applyProtection="1">
      <protection hidden="1"/>
    </xf>
    <xf numFmtId="0" fontId="41" fillId="0" borderId="10" xfId="0" applyFont="1" applyBorder="1" applyProtection="1">
      <protection hidden="1"/>
    </xf>
    <xf numFmtId="0" fontId="41" fillId="0" borderId="2" xfId="0" applyFont="1" applyBorder="1" applyProtection="1">
      <protection hidden="1"/>
    </xf>
    <xf numFmtId="0" fontId="83" fillId="0" borderId="0" xfId="0" applyFont="1" applyBorder="1" applyAlignment="1">
      <alignment horizontal="center"/>
    </xf>
    <xf numFmtId="0" fontId="142" fillId="27" borderId="7" xfId="1" applyFont="1" applyFill="1" applyBorder="1" applyAlignment="1" applyProtection="1">
      <alignment horizontal="center" vertical="center" wrapText="1"/>
      <protection locked="0"/>
    </xf>
    <xf numFmtId="0" fontId="142" fillId="27" borderId="12" xfId="1" applyFont="1" applyFill="1" applyBorder="1" applyAlignment="1" applyProtection="1">
      <alignment horizontal="center" vertical="center" wrapText="1"/>
      <protection locked="0"/>
    </xf>
    <xf numFmtId="0" fontId="142" fillId="27" borderId="3" xfId="1" applyFont="1" applyFill="1" applyBorder="1" applyAlignment="1" applyProtection="1">
      <alignment horizontal="center" vertical="center" wrapText="1"/>
      <protection locked="0"/>
    </xf>
    <xf numFmtId="0" fontId="142" fillId="27" borderId="9" xfId="1" applyFont="1" applyFill="1" applyBorder="1" applyAlignment="1" applyProtection="1">
      <alignment horizontal="center" vertical="center" wrapText="1"/>
      <protection locked="0"/>
    </xf>
    <xf numFmtId="0" fontId="142" fillId="27" borderId="10" xfId="1" applyFont="1" applyFill="1" applyBorder="1" applyAlignment="1" applyProtection="1">
      <alignment horizontal="center" vertical="center" wrapText="1"/>
      <protection locked="0"/>
    </xf>
    <xf numFmtId="0" fontId="142" fillId="27" borderId="11" xfId="1" applyFont="1" applyFill="1" applyBorder="1" applyAlignment="1" applyProtection="1">
      <alignment horizontal="center" vertical="center" wrapText="1"/>
      <protection locked="0"/>
    </xf>
    <xf numFmtId="0" fontId="95" fillId="17" borderId="34" xfId="0" applyFont="1" applyFill="1" applyBorder="1" applyAlignment="1">
      <alignment horizontal="center"/>
    </xf>
    <xf numFmtId="0" fontId="95" fillId="17" borderId="36" xfId="0" applyFont="1" applyFill="1" applyBorder="1" applyAlignment="1">
      <alignment horizontal="center"/>
    </xf>
    <xf numFmtId="0" fontId="0" fillId="13" borderId="7" xfId="0" applyFill="1" applyBorder="1" applyAlignment="1">
      <alignment horizontal="left" vertical="center"/>
    </xf>
    <xf numFmtId="0" fontId="0" fillId="13" borderId="3" xfId="0" applyFill="1" applyBorder="1" applyAlignment="1">
      <alignment horizontal="left" vertical="center"/>
    </xf>
    <xf numFmtId="0" fontId="0" fillId="13" borderId="10" xfId="0" applyFill="1" applyBorder="1" applyAlignment="1">
      <alignment horizontal="left" vertical="center"/>
    </xf>
    <xf numFmtId="0" fontId="27" fillId="20" borderId="34" xfId="0" applyFont="1" applyFill="1" applyBorder="1" applyAlignment="1" applyProtection="1">
      <alignment horizontal="center"/>
      <protection locked="0"/>
    </xf>
    <xf numFmtId="0" fontId="27" fillId="20" borderId="13" xfId="0" applyFont="1" applyFill="1" applyBorder="1" applyAlignment="1" applyProtection="1">
      <alignment horizontal="center"/>
      <protection locked="0"/>
    </xf>
    <xf numFmtId="0" fontId="27" fillId="20" borderId="36" xfId="0" applyFont="1" applyFill="1" applyBorder="1" applyAlignment="1" applyProtection="1">
      <alignment horizontal="center"/>
      <protection locked="0"/>
    </xf>
    <xf numFmtId="0" fontId="0" fillId="13" borderId="8" xfId="0" applyFill="1" applyBorder="1" applyAlignment="1">
      <alignment horizontal="center"/>
    </xf>
    <xf numFmtId="0" fontId="0" fillId="13" borderId="12" xfId="0" applyFill="1" applyBorder="1" applyAlignment="1">
      <alignment horizontal="center"/>
    </xf>
    <xf numFmtId="0" fontId="0" fillId="13" borderId="0" xfId="0" applyFill="1" applyBorder="1" applyAlignment="1">
      <alignment horizontal="center"/>
    </xf>
    <xf numFmtId="0" fontId="0" fillId="13" borderId="9" xfId="0" applyFill="1" applyBorder="1" applyAlignment="1">
      <alignment horizontal="center"/>
    </xf>
    <xf numFmtId="0" fontId="0" fillId="30" borderId="0" xfId="0" applyFill="1" applyBorder="1" applyAlignment="1">
      <alignment horizontal="center"/>
    </xf>
    <xf numFmtId="0" fontId="0" fillId="30" borderId="9" xfId="0" applyFill="1" applyBorder="1" applyAlignment="1">
      <alignment horizontal="center"/>
    </xf>
    <xf numFmtId="0" fontId="0" fillId="14" borderId="2" xfId="0" applyFill="1" applyBorder="1" applyAlignment="1">
      <alignment horizontal="center"/>
    </xf>
    <xf numFmtId="0" fontId="0" fillId="14" borderId="11" xfId="0" applyFill="1" applyBorder="1" applyAlignment="1">
      <alignment horizontal="center"/>
    </xf>
    <xf numFmtId="166" fontId="0" fillId="13" borderId="34" xfId="0" applyNumberFormat="1" applyFill="1" applyBorder="1" applyAlignment="1">
      <alignment horizontal="center"/>
    </xf>
    <xf numFmtId="166" fontId="0" fillId="13" borderId="13" xfId="0" applyNumberFormat="1" applyFill="1" applyBorder="1" applyAlignment="1">
      <alignment horizontal="center"/>
    </xf>
    <xf numFmtId="166" fontId="24" fillId="15" borderId="34" xfId="0" applyNumberFormat="1" applyFont="1" applyFill="1" applyBorder="1" applyAlignment="1">
      <alignment horizontal="center"/>
    </xf>
    <xf numFmtId="166" fontId="24" fillId="15" borderId="13" xfId="0" applyNumberFormat="1" applyFont="1" applyFill="1" applyBorder="1" applyAlignment="1">
      <alignment horizontal="center"/>
    </xf>
    <xf numFmtId="0" fontId="0" fillId="16" borderId="34" xfId="0" applyFill="1" applyBorder="1" applyAlignment="1">
      <alignment horizontal="center"/>
    </xf>
    <xf numFmtId="0" fontId="0" fillId="16" borderId="13" xfId="0" applyFill="1" applyBorder="1" applyAlignment="1">
      <alignment horizontal="center"/>
    </xf>
    <xf numFmtId="0" fontId="0" fillId="16" borderId="36" xfId="0" applyFill="1" applyBorder="1" applyAlignment="1">
      <alignment horizontal="center"/>
    </xf>
    <xf numFmtId="0" fontId="0" fillId="22" borderId="13" xfId="0" applyFill="1" applyBorder="1" applyAlignment="1">
      <alignment horizontal="center" wrapText="1"/>
    </xf>
    <xf numFmtId="0" fontId="0" fillId="22" borderId="36" xfId="0" applyFill="1" applyBorder="1" applyAlignment="1">
      <alignment horizontal="center" wrapText="1"/>
    </xf>
    <xf numFmtId="166" fontId="27" fillId="5" borderId="34" xfId="0" applyNumberFormat="1" applyFont="1" applyFill="1" applyBorder="1" applyAlignment="1">
      <alignment horizontal="center"/>
    </xf>
    <xf numFmtId="166" fontId="27" fillId="5" borderId="36" xfId="0" applyNumberFormat="1" applyFont="1" applyFill="1" applyBorder="1" applyAlignment="1">
      <alignment horizontal="center"/>
    </xf>
    <xf numFmtId="166" fontId="27" fillId="6" borderId="34" xfId="0" applyNumberFormat="1" applyFont="1" applyFill="1" applyBorder="1" applyAlignment="1">
      <alignment horizontal="center"/>
    </xf>
    <xf numFmtId="166" fontId="27" fillId="6" borderId="36" xfId="0" applyNumberFormat="1" applyFont="1" applyFill="1" applyBorder="1" applyAlignment="1">
      <alignment horizontal="center"/>
    </xf>
    <xf numFmtId="166" fontId="0" fillId="12" borderId="34" xfId="0" applyNumberFormat="1" applyFill="1" applyBorder="1" applyAlignment="1">
      <alignment horizontal="center"/>
    </xf>
    <xf numFmtId="166" fontId="0" fillId="12" borderId="13" xfId="0" applyNumberFormat="1" applyFill="1" applyBorder="1" applyAlignment="1">
      <alignment horizontal="center"/>
    </xf>
    <xf numFmtId="166" fontId="0" fillId="14" borderId="34" xfId="0" applyNumberFormat="1" applyFill="1" applyBorder="1" applyAlignment="1">
      <alignment horizontal="center"/>
    </xf>
    <xf numFmtId="166" fontId="0" fillId="14" borderId="13" xfId="0" applyNumberFormat="1" applyFill="1" applyBorder="1" applyAlignment="1">
      <alignment horizontal="center"/>
    </xf>
    <xf numFmtId="0" fontId="144" fillId="0" borderId="7" xfId="0" applyFont="1" applyFill="1" applyBorder="1" applyAlignment="1">
      <alignment horizontal="center" vertical="center"/>
    </xf>
    <xf numFmtId="0" fontId="144" fillId="0" borderId="8" xfId="0" applyFont="1" applyFill="1" applyBorder="1" applyAlignment="1">
      <alignment horizontal="center" vertical="center"/>
    </xf>
    <xf numFmtId="0" fontId="144" fillId="0" borderId="12" xfId="0" applyFont="1" applyFill="1" applyBorder="1" applyAlignment="1">
      <alignment horizontal="center" vertical="center"/>
    </xf>
    <xf numFmtId="0" fontId="144" fillId="0" borderId="3" xfId="0" applyFont="1" applyFill="1" applyBorder="1" applyAlignment="1">
      <alignment horizontal="center" vertical="center"/>
    </xf>
    <xf numFmtId="0" fontId="144" fillId="0" borderId="0" xfId="0" applyFont="1" applyFill="1" applyBorder="1" applyAlignment="1">
      <alignment horizontal="center" vertical="center"/>
    </xf>
    <xf numFmtId="0" fontId="144" fillId="0" borderId="9" xfId="0" applyFont="1" applyFill="1" applyBorder="1" applyAlignment="1">
      <alignment horizontal="center" vertical="center"/>
    </xf>
    <xf numFmtId="0" fontId="144" fillId="0" borderId="10" xfId="0" applyFont="1" applyFill="1" applyBorder="1" applyAlignment="1">
      <alignment horizontal="center" vertical="center"/>
    </xf>
    <xf numFmtId="0" fontId="144" fillId="0" borderId="2" xfId="0" applyFont="1" applyFill="1" applyBorder="1" applyAlignment="1">
      <alignment horizontal="center" vertical="center"/>
    </xf>
    <xf numFmtId="0" fontId="144" fillId="0" borderId="11" xfId="0" applyFont="1" applyFill="1" applyBorder="1" applyAlignment="1">
      <alignment horizontal="center" vertical="center"/>
    </xf>
    <xf numFmtId="0" fontId="27" fillId="20" borderId="3" xfId="0" applyFont="1" applyFill="1" applyBorder="1" applyAlignment="1" applyProtection="1">
      <alignment horizontal="center"/>
      <protection locked="0"/>
    </xf>
    <xf numFmtId="0" fontId="27" fillId="20" borderId="0" xfId="0" applyFont="1" applyFill="1" applyBorder="1" applyAlignment="1" applyProtection="1">
      <alignment horizontal="center"/>
      <protection locked="0"/>
    </xf>
    <xf numFmtId="0" fontId="27" fillId="20" borderId="9" xfId="0" applyFont="1" applyFill="1" applyBorder="1" applyAlignment="1" applyProtection="1">
      <alignment horizontal="center"/>
      <protection locked="0"/>
    </xf>
    <xf numFmtId="0" fontId="0" fillId="22" borderId="34" xfId="0" applyFill="1" applyBorder="1" applyAlignment="1">
      <alignment horizontal="center" vertical="center"/>
    </xf>
    <xf numFmtId="0" fontId="0" fillId="22" borderId="13" xfId="0" applyFill="1" applyBorder="1" applyAlignment="1">
      <alignment horizontal="center" vertical="center"/>
    </xf>
    <xf numFmtId="0" fontId="0" fillId="22" borderId="36" xfId="0" applyFill="1" applyBorder="1" applyAlignment="1">
      <alignment horizontal="center" vertical="center"/>
    </xf>
    <xf numFmtId="0" fontId="0" fillId="13" borderId="2" xfId="0" applyFill="1" applyBorder="1" applyAlignment="1">
      <alignment horizontal="center"/>
    </xf>
    <xf numFmtId="0" fontId="0" fillId="13" borderId="11" xfId="0" applyFill="1" applyBorder="1" applyAlignment="1">
      <alignment horizontal="center"/>
    </xf>
    <xf numFmtId="166" fontId="0" fillId="16" borderId="34" xfId="0" applyNumberFormat="1" applyFill="1" applyBorder="1" applyAlignment="1">
      <alignment horizontal="center"/>
    </xf>
    <xf numFmtId="166" fontId="0" fillId="16" borderId="13" xfId="0" applyNumberFormat="1" applyFill="1" applyBorder="1" applyAlignment="1">
      <alignment horizontal="center"/>
    </xf>
    <xf numFmtId="0" fontId="24" fillId="15" borderId="34" xfId="0" applyFont="1" applyFill="1" applyBorder="1" applyAlignment="1">
      <alignment horizontal="center"/>
    </xf>
    <xf numFmtId="0" fontId="24" fillId="15" borderId="13" xfId="0" applyFont="1" applyFill="1" applyBorder="1" applyAlignment="1">
      <alignment horizontal="center"/>
    </xf>
    <xf numFmtId="0" fontId="24" fillId="15" borderId="36" xfId="0" applyFont="1" applyFill="1" applyBorder="1" applyAlignment="1">
      <alignment horizontal="center"/>
    </xf>
    <xf numFmtId="0" fontId="0" fillId="30" borderId="3" xfId="0" applyFill="1" applyBorder="1" applyAlignment="1">
      <alignment horizontal="center" vertical="center"/>
    </xf>
    <xf numFmtId="0" fontId="0" fillId="30" borderId="10" xfId="0" applyFill="1" applyBorder="1" applyAlignment="1">
      <alignment horizontal="center" vertical="center"/>
    </xf>
    <xf numFmtId="0" fontId="0" fillId="0" borderId="34"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00" fillId="0" borderId="0" xfId="1" applyFont="1" applyFill="1" applyBorder="1" applyAlignment="1" applyProtection="1">
      <alignment horizontal="right"/>
      <protection locked="0"/>
    </xf>
    <xf numFmtId="1" fontId="47" fillId="22" borderId="34" xfId="0" applyNumberFormat="1" applyFont="1" applyFill="1" applyBorder="1" applyAlignment="1">
      <alignment horizontal="center"/>
    </xf>
    <xf numFmtId="1" fontId="47" fillId="22" borderId="36" xfId="0" applyNumberFormat="1" applyFont="1" applyFill="1" applyBorder="1" applyAlignment="1">
      <alignment horizontal="center"/>
    </xf>
    <xf numFmtId="1" fontId="46" fillId="22" borderId="34" xfId="0" applyNumberFormat="1" applyFont="1" applyFill="1" applyBorder="1" applyAlignment="1">
      <alignment horizontal="center"/>
    </xf>
    <xf numFmtId="1" fontId="46" fillId="22" borderId="36" xfId="0" applyNumberFormat="1" applyFont="1" applyFill="1" applyBorder="1" applyAlignment="1">
      <alignment horizontal="center"/>
    </xf>
    <xf numFmtId="49" fontId="39" fillId="18" borderId="34" xfId="0" applyNumberFormat="1" applyFont="1" applyFill="1" applyBorder="1" applyAlignment="1">
      <alignment horizontal="center"/>
    </xf>
    <xf numFmtId="49" fontId="39" fillId="18" borderId="13" xfId="0" applyNumberFormat="1" applyFont="1" applyFill="1" applyBorder="1" applyAlignment="1">
      <alignment horizontal="center"/>
    </xf>
    <xf numFmtId="49" fontId="39" fillId="18" borderId="36" xfId="0" applyNumberFormat="1" applyFont="1" applyFill="1" applyBorder="1" applyAlignment="1">
      <alignment horizontal="center"/>
    </xf>
    <xf numFmtId="0" fontId="39" fillId="22" borderId="34" xfId="0" applyFont="1" applyFill="1" applyBorder="1" applyAlignment="1">
      <alignment horizontal="center" wrapText="1"/>
    </xf>
    <xf numFmtId="0" fontId="39" fillId="22" borderId="36" xfId="0" applyFont="1" applyFill="1" applyBorder="1" applyAlignment="1">
      <alignment horizontal="center" wrapText="1"/>
    </xf>
    <xf numFmtId="0" fontId="39" fillId="22" borderId="13" xfId="0" applyFont="1" applyFill="1" applyBorder="1" applyAlignment="1">
      <alignment horizontal="center" wrapText="1"/>
    </xf>
    <xf numFmtId="0" fontId="43" fillId="0" borderId="0" xfId="0" applyFont="1" applyFill="1" applyBorder="1" applyAlignment="1">
      <alignment horizontal="left"/>
    </xf>
    <xf numFmtId="1" fontId="48" fillId="22" borderId="34" xfId="0" applyNumberFormat="1" applyFont="1" applyFill="1" applyBorder="1" applyAlignment="1">
      <alignment horizontal="center"/>
    </xf>
    <xf numFmtId="1" fontId="48" fillId="22" borderId="36" xfId="0" applyNumberFormat="1" applyFont="1" applyFill="1" applyBorder="1" applyAlignment="1">
      <alignment horizontal="center"/>
    </xf>
    <xf numFmtId="0" fontId="50" fillId="0" borderId="34" xfId="0" applyFont="1" applyBorder="1" applyAlignment="1" applyProtection="1">
      <alignment horizontal="center"/>
      <protection locked="0"/>
    </xf>
    <xf numFmtId="0" fontId="50" fillId="0" borderId="36" xfId="0" applyFont="1" applyBorder="1" applyAlignment="1" applyProtection="1">
      <alignment horizontal="center"/>
      <protection locked="0"/>
    </xf>
    <xf numFmtId="0" fontId="44" fillId="0" borderId="8" xfId="1" applyFont="1" applyFill="1" applyBorder="1" applyAlignment="1" applyProtection="1">
      <alignment horizontal="right"/>
      <protection locked="0"/>
    </xf>
    <xf numFmtId="1" fontId="54" fillId="18" borderId="34" xfId="0" applyNumberFormat="1" applyFont="1" applyFill="1" applyBorder="1" applyAlignment="1">
      <alignment horizontal="center"/>
    </xf>
    <xf numFmtId="1" fontId="54" fillId="18" borderId="13" xfId="0" applyNumberFormat="1" applyFont="1" applyFill="1" applyBorder="1" applyAlignment="1">
      <alignment horizontal="center"/>
    </xf>
    <xf numFmtId="1" fontId="54" fillId="18" borderId="36" xfId="0" applyNumberFormat="1" applyFont="1" applyFill="1" applyBorder="1" applyAlignment="1">
      <alignment horizontal="center"/>
    </xf>
    <xf numFmtId="49" fontId="50" fillId="0" borderId="34" xfId="0" applyNumberFormat="1" applyFont="1" applyBorder="1" applyAlignment="1" applyProtection="1">
      <alignment horizontal="center"/>
      <protection locked="0"/>
    </xf>
    <xf numFmtId="49" fontId="50" fillId="0" borderId="36" xfId="0" applyNumberFormat="1" applyFont="1" applyBorder="1" applyAlignment="1" applyProtection="1">
      <alignment horizontal="center"/>
      <protection locked="0"/>
    </xf>
    <xf numFmtId="0" fontId="41" fillId="0" borderId="2" xfId="0" applyFont="1" applyBorder="1" applyAlignment="1">
      <alignment horizontal="center"/>
    </xf>
    <xf numFmtId="0" fontId="41" fillId="0" borderId="2" xfId="0" applyFont="1" applyFill="1" applyBorder="1" applyAlignment="1">
      <alignment horizontal="center"/>
    </xf>
    <xf numFmtId="1" fontId="41" fillId="0" borderId="2" xfId="0" applyNumberFormat="1" applyFont="1" applyFill="1" applyBorder="1" applyAlignment="1">
      <alignment horizontal="center"/>
    </xf>
    <xf numFmtId="4" fontId="47" fillId="22" borderId="34" xfId="0" applyNumberFormat="1" applyFont="1" applyFill="1" applyBorder="1" applyAlignment="1">
      <alignment horizontal="center"/>
    </xf>
    <xf numFmtId="4" fontId="47" fillId="22" borderId="36" xfId="0" applyNumberFormat="1" applyFont="1" applyFill="1" applyBorder="1" applyAlignment="1">
      <alignment horizontal="center"/>
    </xf>
    <xf numFmtId="4" fontId="48" fillId="22" borderId="34" xfId="0" applyNumberFormat="1" applyFont="1" applyFill="1" applyBorder="1" applyAlignment="1">
      <alignment horizontal="center"/>
    </xf>
    <xf numFmtId="4" fontId="48" fillId="22" borderId="36" xfId="0" applyNumberFormat="1" applyFont="1" applyFill="1" applyBorder="1" applyAlignment="1">
      <alignment horizontal="center"/>
    </xf>
    <xf numFmtId="1" fontId="52" fillId="18" borderId="34" xfId="0" applyNumberFormat="1" applyFont="1" applyFill="1" applyBorder="1" applyAlignment="1">
      <alignment horizontal="center"/>
    </xf>
    <xf numFmtId="1" fontId="52" fillId="18" borderId="13" xfId="0" applyNumberFormat="1" applyFont="1" applyFill="1" applyBorder="1" applyAlignment="1">
      <alignment horizontal="center"/>
    </xf>
    <xf numFmtId="1" fontId="53" fillId="18" borderId="34" xfId="0" applyNumberFormat="1" applyFont="1" applyFill="1" applyBorder="1" applyAlignment="1">
      <alignment horizontal="center"/>
    </xf>
    <xf numFmtId="1" fontId="53" fillId="18" borderId="13" xfId="0" applyNumberFormat="1" applyFont="1" applyFill="1" applyBorder="1" applyAlignment="1">
      <alignment horizontal="center"/>
    </xf>
    <xf numFmtId="3" fontId="53" fillId="18" borderId="34" xfId="0" applyNumberFormat="1" applyFont="1" applyFill="1" applyBorder="1" applyAlignment="1">
      <alignment horizontal="center"/>
    </xf>
    <xf numFmtId="3" fontId="53" fillId="18" borderId="13" xfId="0" applyNumberFormat="1" applyFont="1" applyFill="1" applyBorder="1" applyAlignment="1">
      <alignment horizontal="center"/>
    </xf>
    <xf numFmtId="4" fontId="46" fillId="22" borderId="34" xfId="0" applyNumberFormat="1" applyFont="1" applyFill="1" applyBorder="1" applyAlignment="1">
      <alignment horizontal="center"/>
    </xf>
    <xf numFmtId="4" fontId="46" fillId="22" borderId="36" xfId="0" applyNumberFormat="1" applyFont="1" applyFill="1" applyBorder="1" applyAlignment="1">
      <alignment horizontal="center"/>
    </xf>
    <xf numFmtId="4" fontId="41" fillId="20" borderId="0" xfId="0" applyNumberFormat="1" applyFont="1" applyFill="1" applyBorder="1" applyAlignment="1">
      <alignment horizontal="center"/>
    </xf>
    <xf numFmtId="0" fontId="41" fillId="20" borderId="0" xfId="0" applyFont="1" applyFill="1" applyBorder="1" applyAlignment="1">
      <alignment horizontal="center"/>
    </xf>
    <xf numFmtId="4" fontId="52" fillId="18" borderId="34" xfId="0" applyNumberFormat="1" applyFont="1" applyFill="1" applyBorder="1" applyAlignment="1">
      <alignment horizontal="center"/>
    </xf>
    <xf numFmtId="4" fontId="52" fillId="18" borderId="13" xfId="0" applyNumberFormat="1" applyFont="1" applyFill="1" applyBorder="1" applyAlignment="1">
      <alignment horizontal="center"/>
    </xf>
    <xf numFmtId="4" fontId="53" fillId="18" borderId="34" xfId="0" applyNumberFormat="1" applyFont="1" applyFill="1" applyBorder="1" applyAlignment="1">
      <alignment horizontal="center"/>
    </xf>
    <xf numFmtId="4" fontId="53" fillId="18" borderId="13" xfId="0" applyNumberFormat="1" applyFont="1" applyFill="1" applyBorder="1" applyAlignment="1">
      <alignment horizontal="center"/>
    </xf>
    <xf numFmtId="4" fontId="54" fillId="18" borderId="34" xfId="0" applyNumberFormat="1" applyFont="1" applyFill="1" applyBorder="1" applyAlignment="1">
      <alignment horizontal="center"/>
    </xf>
    <xf numFmtId="4" fontId="54" fillId="18" borderId="13" xfId="0" applyNumberFormat="1" applyFont="1" applyFill="1" applyBorder="1" applyAlignment="1">
      <alignment horizontal="center"/>
    </xf>
    <xf numFmtId="4" fontId="54" fillId="18" borderId="36" xfId="0" applyNumberFormat="1" applyFont="1" applyFill="1" applyBorder="1" applyAlignment="1">
      <alignment horizontal="center"/>
    </xf>
    <xf numFmtId="0" fontId="86" fillId="11" borderId="144" xfId="2" applyFont="1" applyFill="1" applyBorder="1" applyAlignment="1">
      <alignment horizontal="center" vertical="center"/>
    </xf>
    <xf numFmtId="0" fontId="86" fillId="11" borderId="67" xfId="2" applyFont="1" applyFill="1" applyBorder="1" applyAlignment="1">
      <alignment horizontal="center" vertical="center" wrapText="1"/>
    </xf>
    <xf numFmtId="166" fontId="85" fillId="11" borderId="34" xfId="2" applyNumberFormat="1" applyFont="1" applyFill="1" applyBorder="1" applyAlignment="1">
      <alignment horizontal="center" vertical="center" wrapText="1"/>
    </xf>
    <xf numFmtId="166" fontId="85" fillId="11" borderId="36" xfId="2" applyNumberFormat="1" applyFont="1" applyFill="1" applyBorder="1" applyAlignment="1">
      <alignment horizontal="center" vertical="center" wrapText="1"/>
    </xf>
    <xf numFmtId="0" fontId="86" fillId="11" borderId="145" xfId="2" applyFont="1" applyFill="1" applyBorder="1" applyAlignment="1">
      <alignment horizontal="center" vertical="center" wrapText="1"/>
    </xf>
    <xf numFmtId="0" fontId="85" fillId="8" borderId="147" xfId="2" applyFont="1" applyFill="1" applyBorder="1" applyAlignment="1" applyProtection="1">
      <alignment horizontal="center" vertical="center" wrapText="1"/>
      <protection locked="0"/>
    </xf>
    <xf numFmtId="0" fontId="85" fillId="8" borderId="148" xfId="2" applyFont="1" applyFill="1" applyBorder="1" applyAlignment="1" applyProtection="1">
      <alignment horizontal="center" vertical="center" wrapText="1"/>
      <protection locked="0"/>
    </xf>
    <xf numFmtId="0" fontId="86" fillId="11" borderId="104" xfId="2" applyFont="1" applyFill="1" applyBorder="1" applyAlignment="1">
      <alignment horizontal="center" vertical="center" wrapText="1"/>
    </xf>
    <xf numFmtId="0" fontId="86" fillId="11" borderId="70" xfId="2" applyFont="1" applyFill="1" applyBorder="1" applyAlignment="1">
      <alignment horizontal="center" vertical="center" wrapText="1"/>
    </xf>
    <xf numFmtId="0" fontId="85" fillId="10" borderId="68" xfId="2" applyFont="1" applyFill="1" applyBorder="1" applyAlignment="1">
      <alignment horizontal="center" vertical="center" wrapText="1"/>
    </xf>
    <xf numFmtId="0" fontId="85" fillId="10" borderId="146" xfId="2" applyFont="1" applyFill="1" applyBorder="1" applyAlignment="1">
      <alignment horizontal="center" vertical="center" wrapText="1"/>
    </xf>
    <xf numFmtId="0" fontId="85" fillId="8" borderId="107" xfId="2" applyFont="1" applyFill="1" applyBorder="1" applyAlignment="1">
      <alignment horizontal="center" vertical="center" wrapText="1"/>
    </xf>
    <xf numFmtId="0" fontId="85" fillId="11" borderId="7" xfId="2" applyFont="1" applyFill="1" applyBorder="1" applyAlignment="1">
      <alignment horizontal="center" vertical="center" wrapText="1"/>
    </xf>
    <xf numFmtId="0" fontId="85" fillId="11" borderId="149" xfId="2" applyFont="1" applyFill="1" applyBorder="1" applyAlignment="1">
      <alignment horizontal="center" vertical="center" wrapText="1"/>
    </xf>
    <xf numFmtId="0" fontId="85" fillId="11" borderId="10" xfId="2" applyFont="1" applyFill="1" applyBorder="1" applyAlignment="1">
      <alignment horizontal="center" vertical="center"/>
    </xf>
    <xf numFmtId="0" fontId="85" fillId="11" borderId="150" xfId="2" applyFont="1" applyFill="1" applyBorder="1" applyAlignment="1">
      <alignment horizontal="center" vertical="center"/>
    </xf>
    <xf numFmtId="0" fontId="85" fillId="11" borderId="141" xfId="2" applyFont="1" applyFill="1" applyBorder="1" applyAlignment="1">
      <alignment horizontal="center" vertical="center"/>
    </xf>
    <xf numFmtId="1" fontId="85" fillId="10" borderId="142" xfId="2" applyNumberFormat="1" applyFont="1" applyFill="1" applyBorder="1" applyAlignment="1">
      <alignment horizontal="center" vertical="center"/>
    </xf>
    <xf numFmtId="0" fontId="86" fillId="11" borderId="143" xfId="2" applyFont="1" applyFill="1" applyBorder="1" applyAlignment="1">
      <alignment horizontal="center" vertical="center" wrapText="1"/>
    </xf>
    <xf numFmtId="0" fontId="115" fillId="32" borderId="151" xfId="2" applyFont="1" applyFill="1" applyBorder="1" applyAlignment="1" applyProtection="1">
      <alignment horizontal="center"/>
      <protection locked="0"/>
    </xf>
    <xf numFmtId="0" fontId="115" fillId="32" borderId="152" xfId="2" applyFont="1" applyFill="1" applyBorder="1" applyAlignment="1" applyProtection="1">
      <alignment horizontal="center"/>
      <protection locked="0"/>
    </xf>
    <xf numFmtId="0" fontId="87" fillId="8" borderId="79" xfId="2" applyFont="1" applyFill="1" applyBorder="1" applyAlignment="1">
      <alignment horizontal="center"/>
    </xf>
    <xf numFmtId="0" fontId="85" fillId="10" borderId="61" xfId="2" applyFont="1" applyFill="1" applyBorder="1" applyAlignment="1">
      <alignment horizontal="center" vertical="center" wrapText="1"/>
    </xf>
    <xf numFmtId="0" fontId="145" fillId="31" borderId="34" xfId="1" applyFont="1" applyFill="1" applyBorder="1" applyAlignment="1" applyProtection="1">
      <alignment horizontal="center" vertical="center"/>
      <protection locked="0"/>
    </xf>
    <xf numFmtId="0" fontId="145" fillId="31" borderId="36" xfId="1" applyFont="1" applyFill="1" applyBorder="1" applyAlignment="1" applyProtection="1">
      <alignment horizontal="center" vertical="center"/>
      <protection locked="0"/>
    </xf>
    <xf numFmtId="166" fontId="85" fillId="10" borderId="60" xfId="2" applyNumberFormat="1" applyFont="1" applyFill="1" applyBorder="1" applyAlignment="1">
      <alignment horizontal="center" vertical="center" wrapText="1"/>
    </xf>
    <xf numFmtId="0" fontId="115" fillId="32" borderId="34" xfId="2" applyFont="1" applyFill="1" applyBorder="1" applyAlignment="1" applyProtection="1">
      <alignment horizontal="center"/>
      <protection locked="0"/>
    </xf>
    <xf numFmtId="0" fontId="115" fillId="32" borderId="36" xfId="2" applyFont="1" applyFill="1" applyBorder="1" applyAlignment="1" applyProtection="1">
      <alignment horizontal="center"/>
      <protection locked="0"/>
    </xf>
    <xf numFmtId="1" fontId="85" fillId="11" borderId="34" xfId="2" applyNumberFormat="1" applyFont="1" applyFill="1" applyBorder="1" applyAlignment="1">
      <alignment horizontal="center" vertical="center" wrapText="1"/>
    </xf>
    <xf numFmtId="1" fontId="85" fillId="11" borderId="36" xfId="2" applyNumberFormat="1" applyFont="1" applyFill="1" applyBorder="1" applyAlignment="1">
      <alignment horizontal="center" vertical="center" wrapText="1"/>
    </xf>
    <xf numFmtId="0" fontId="42" fillId="0" borderId="0" xfId="0" applyFont="1" applyBorder="1" applyAlignment="1">
      <alignment horizontal="center"/>
    </xf>
    <xf numFmtId="0" fontId="41" fillId="0" borderId="3"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22" borderId="34" xfId="0" applyFont="1" applyFill="1" applyBorder="1" applyAlignment="1">
      <alignment horizontal="left"/>
    </xf>
    <xf numFmtId="0" fontId="41" fillId="22" borderId="13" xfId="0" applyFont="1" applyFill="1" applyBorder="1" applyAlignment="1">
      <alignment horizontal="left"/>
    </xf>
    <xf numFmtId="0" fontId="127" fillId="27" borderId="7" xfId="1" applyFont="1" applyFill="1" applyBorder="1" applyAlignment="1" applyProtection="1">
      <alignment horizontal="center" vertical="center"/>
      <protection locked="0"/>
    </xf>
    <xf numFmtId="0" fontId="127" fillId="27" borderId="8" xfId="1" applyFont="1" applyFill="1" applyBorder="1" applyAlignment="1" applyProtection="1">
      <alignment horizontal="center" vertical="center"/>
      <protection locked="0"/>
    </xf>
    <xf numFmtId="0" fontId="127" fillId="27" borderId="12" xfId="1" applyFont="1" applyFill="1" applyBorder="1" applyAlignment="1" applyProtection="1">
      <alignment horizontal="center" vertical="center"/>
      <protection locked="0"/>
    </xf>
    <xf numFmtId="0" fontId="127" fillId="27" borderId="10" xfId="1" applyFont="1" applyFill="1" applyBorder="1" applyAlignment="1" applyProtection="1">
      <alignment horizontal="center" vertical="center"/>
      <protection locked="0"/>
    </xf>
    <xf numFmtId="0" fontId="127" fillId="27" borderId="2" xfId="1" applyFont="1" applyFill="1" applyBorder="1" applyAlignment="1" applyProtection="1">
      <alignment horizontal="center" vertical="center"/>
      <protection locked="0"/>
    </xf>
    <xf numFmtId="0" fontId="127" fillId="27" borderId="11" xfId="1" applyFont="1" applyFill="1" applyBorder="1" applyAlignment="1" applyProtection="1">
      <alignment horizontal="center" vertical="center"/>
      <protection locked="0"/>
    </xf>
    <xf numFmtId="0" fontId="41" fillId="0" borderId="0" xfId="0" applyFont="1" applyBorder="1" applyAlignment="1">
      <alignment horizontal="center"/>
    </xf>
    <xf numFmtId="1" fontId="41" fillId="5" borderId="34" xfId="0" applyNumberFormat="1" applyFont="1" applyFill="1" applyBorder="1" applyAlignment="1">
      <alignment horizontal="center"/>
    </xf>
    <xf numFmtId="1" fontId="41" fillId="5" borderId="36" xfId="0" applyNumberFormat="1" applyFont="1" applyFill="1" applyBorder="1" applyAlignment="1">
      <alignment horizontal="center"/>
    </xf>
    <xf numFmtId="0" fontId="41" fillId="22" borderId="36" xfId="0" applyFont="1" applyFill="1" applyBorder="1" applyAlignment="1">
      <alignment horizontal="left"/>
    </xf>
    <xf numFmtId="0" fontId="41" fillId="20" borderId="34" xfId="0" applyFont="1" applyFill="1" applyBorder="1" applyAlignment="1">
      <alignment horizontal="center"/>
    </xf>
    <xf numFmtId="0" fontId="41" fillId="20" borderId="36" xfId="0" applyFont="1" applyFill="1" applyBorder="1" applyAlignment="1">
      <alignment horizontal="center"/>
    </xf>
    <xf numFmtId="1" fontId="39" fillId="23" borderId="34" xfId="0" applyNumberFormat="1" applyFont="1" applyFill="1" applyBorder="1" applyAlignment="1">
      <alignment horizontal="center"/>
    </xf>
    <xf numFmtId="1" fontId="39" fillId="23" borderId="36" xfId="0" applyNumberFormat="1" applyFont="1" applyFill="1" applyBorder="1" applyAlignment="1">
      <alignment horizontal="center"/>
    </xf>
    <xf numFmtId="0" fontId="41" fillId="23" borderId="34" xfId="0" applyFont="1" applyFill="1" applyBorder="1" applyAlignment="1">
      <alignment horizontal="center"/>
    </xf>
    <xf numFmtId="0" fontId="41" fillId="23" borderId="13" xfId="0" applyFont="1" applyFill="1" applyBorder="1" applyAlignment="1">
      <alignment horizontal="center"/>
    </xf>
    <xf numFmtId="3" fontId="39" fillId="23" borderId="13" xfId="0" applyNumberFormat="1" applyFont="1" applyFill="1" applyBorder="1" applyAlignment="1">
      <alignment horizontal="center"/>
    </xf>
    <xf numFmtId="3" fontId="39" fillId="23" borderId="36" xfId="0" applyNumberFormat="1" applyFont="1" applyFill="1" applyBorder="1" applyAlignment="1">
      <alignment horizontal="center"/>
    </xf>
    <xf numFmtId="1" fontId="41" fillId="20" borderId="34" xfId="0" applyNumberFormat="1" applyFont="1" applyFill="1" applyBorder="1" applyAlignment="1">
      <alignment horizontal="center"/>
    </xf>
    <xf numFmtId="1" fontId="41" fillId="20" borderId="36" xfId="0" applyNumberFormat="1" applyFont="1" applyFill="1" applyBorder="1" applyAlignment="1">
      <alignment horizontal="center"/>
    </xf>
    <xf numFmtId="0" fontId="146" fillId="27" borderId="7" xfId="1" applyFont="1" applyFill="1" applyBorder="1" applyAlignment="1" applyProtection="1">
      <alignment horizontal="center" vertical="center" wrapText="1"/>
    </xf>
    <xf numFmtId="0" fontId="96" fillId="27" borderId="8" xfId="1" applyFill="1" applyBorder="1" applyAlignment="1" applyProtection="1">
      <alignment horizontal="center" vertical="center" wrapText="1"/>
    </xf>
    <xf numFmtId="0" fontId="96" fillId="27" borderId="2" xfId="1" applyFill="1" applyBorder="1" applyAlignment="1" applyProtection="1">
      <alignment horizontal="center" vertical="center" wrapText="1"/>
    </xf>
    <xf numFmtId="0" fontId="39" fillId="23" borderId="34" xfId="0" applyFont="1" applyFill="1" applyBorder="1" applyAlignment="1">
      <alignment horizontal="center"/>
    </xf>
    <xf numFmtId="0" fontId="39" fillId="23" borderId="13" xfId="0" applyFont="1" applyFill="1" applyBorder="1" applyAlignment="1">
      <alignment horizontal="center"/>
    </xf>
    <xf numFmtId="0" fontId="39" fillId="23" borderId="36" xfId="0" applyFont="1" applyFill="1" applyBorder="1" applyAlignment="1">
      <alignment horizontal="center"/>
    </xf>
    <xf numFmtId="0" fontId="99" fillId="22" borderId="3" xfId="0" applyFont="1" applyFill="1" applyBorder="1" applyAlignment="1">
      <alignment horizontal="center" vertical="center"/>
    </xf>
    <xf numFmtId="0" fontId="99" fillId="22" borderId="0" xfId="0" applyFont="1" applyFill="1" applyBorder="1" applyAlignment="1">
      <alignment horizontal="center" vertical="center"/>
    </xf>
    <xf numFmtId="0" fontId="99" fillId="22" borderId="9" xfId="0" applyFont="1" applyFill="1" applyBorder="1" applyAlignment="1">
      <alignment horizontal="center" vertical="center"/>
    </xf>
    <xf numFmtId="0" fontId="99" fillId="22" borderId="10" xfId="0" applyFont="1" applyFill="1" applyBorder="1" applyAlignment="1">
      <alignment horizontal="center" vertical="center"/>
    </xf>
    <xf numFmtId="0" fontId="99" fillId="22" borderId="2" xfId="0" applyFont="1" applyFill="1" applyBorder="1" applyAlignment="1">
      <alignment horizontal="center" vertical="center"/>
    </xf>
    <xf numFmtId="0" fontId="99" fillId="22" borderId="11" xfId="0" applyFont="1" applyFill="1" applyBorder="1" applyAlignment="1">
      <alignment horizontal="center" vertical="center"/>
    </xf>
    <xf numFmtId="0" fontId="39" fillId="22" borderId="7" xfId="0" applyFont="1" applyFill="1" applyBorder="1" applyAlignment="1">
      <alignment horizontal="center" vertical="center"/>
    </xf>
    <xf numFmtId="0" fontId="99" fillId="22" borderId="8" xfId="0" applyFont="1" applyFill="1" applyBorder="1" applyAlignment="1">
      <alignment horizontal="center" vertical="center"/>
    </xf>
    <xf numFmtId="0" fontId="99" fillId="22" borderId="12" xfId="0" applyFont="1" applyFill="1" applyBorder="1" applyAlignment="1">
      <alignment horizontal="center" vertical="center"/>
    </xf>
    <xf numFmtId="0" fontId="74" fillId="22" borderId="3" xfId="0" applyFont="1" applyFill="1" applyBorder="1" applyAlignment="1">
      <alignment horizontal="center" wrapText="1"/>
    </xf>
    <xf numFmtId="0" fontId="99" fillId="22" borderId="9" xfId="0" applyFont="1" applyFill="1" applyBorder="1" applyAlignment="1">
      <alignment horizontal="center"/>
    </xf>
    <xf numFmtId="0" fontId="99" fillId="22" borderId="3" xfId="0" applyFont="1" applyFill="1" applyBorder="1" applyAlignment="1">
      <alignment horizontal="center"/>
    </xf>
    <xf numFmtId="0" fontId="99" fillId="22" borderId="10" xfId="0" applyFont="1" applyFill="1" applyBorder="1" applyAlignment="1">
      <alignment horizontal="center"/>
    </xf>
    <xf numFmtId="0" fontId="99" fillId="22" borderId="11" xfId="0" applyFont="1" applyFill="1" applyBorder="1" applyAlignment="1">
      <alignment horizontal="center"/>
    </xf>
    <xf numFmtId="0" fontId="99" fillId="22" borderId="7" xfId="0" applyFont="1" applyFill="1" applyBorder="1" applyAlignment="1">
      <alignment horizontal="center" vertical="center"/>
    </xf>
    <xf numFmtId="0" fontId="100" fillId="22" borderId="7" xfId="1" applyFont="1" applyFill="1" applyBorder="1" applyAlignment="1" applyProtection="1">
      <alignment horizontal="left" vertical="top"/>
    </xf>
    <xf numFmtId="0" fontId="99" fillId="22" borderId="8" xfId="0" applyFont="1" applyFill="1" applyBorder="1" applyAlignment="1">
      <alignment horizontal="left" vertical="top"/>
    </xf>
    <xf numFmtId="0" fontId="99" fillId="22" borderId="12" xfId="0" applyFont="1" applyFill="1" applyBorder="1" applyAlignment="1">
      <alignment horizontal="left" vertical="top"/>
    </xf>
    <xf numFmtId="0" fontId="99" fillId="22" borderId="3" xfId="0" applyFont="1" applyFill="1" applyBorder="1" applyAlignment="1">
      <alignment horizontal="left" vertical="top"/>
    </xf>
    <xf numFmtId="0" fontId="99" fillId="22" borderId="0" xfId="0" applyFont="1" applyFill="1" applyBorder="1" applyAlignment="1">
      <alignment horizontal="left" vertical="top"/>
    </xf>
    <xf numFmtId="0" fontId="99" fillId="22" borderId="9" xfId="0" applyFont="1" applyFill="1" applyBorder="1" applyAlignment="1">
      <alignment horizontal="left" vertical="top"/>
    </xf>
    <xf numFmtId="0" fontId="99" fillId="22" borderId="10" xfId="0" applyFont="1" applyFill="1" applyBorder="1" applyAlignment="1">
      <alignment horizontal="left" vertical="top"/>
    </xf>
    <xf numFmtId="0" fontId="99" fillId="22" borderId="2" xfId="0" applyFont="1" applyFill="1" applyBorder="1" applyAlignment="1">
      <alignment horizontal="left" vertical="top"/>
    </xf>
    <xf numFmtId="0" fontId="99" fillId="22" borderId="11" xfId="0" applyFont="1" applyFill="1" applyBorder="1" applyAlignment="1">
      <alignment horizontal="left" vertical="top"/>
    </xf>
    <xf numFmtId="0" fontId="99" fillId="22" borderId="7" xfId="0" applyFont="1" applyFill="1" applyBorder="1" applyAlignment="1">
      <alignment horizontal="center" vertical="center" wrapText="1"/>
    </xf>
    <xf numFmtId="0" fontId="99" fillId="22" borderId="8" xfId="0" applyFont="1" applyFill="1" applyBorder="1" applyAlignment="1">
      <alignment horizontal="center" vertical="center" wrapText="1"/>
    </xf>
    <xf numFmtId="0" fontId="99" fillId="22" borderId="12" xfId="0" applyFont="1" applyFill="1" applyBorder="1" applyAlignment="1">
      <alignment horizontal="center" vertical="center" wrapText="1"/>
    </xf>
    <xf numFmtId="0" fontId="99" fillId="22" borderId="3" xfId="0" applyFont="1" applyFill="1" applyBorder="1" applyAlignment="1">
      <alignment horizontal="center" vertical="center" wrapText="1"/>
    </xf>
    <xf numFmtId="0" fontId="99" fillId="22" borderId="0" xfId="0" applyFont="1" applyFill="1" applyBorder="1" applyAlignment="1">
      <alignment horizontal="center" vertical="center" wrapText="1"/>
    </xf>
    <xf numFmtId="0" fontId="99" fillId="22" borderId="9" xfId="0" applyFont="1" applyFill="1" applyBorder="1" applyAlignment="1">
      <alignment horizontal="center" vertical="center" wrapText="1"/>
    </xf>
    <xf numFmtId="0" fontId="99" fillId="22" borderId="10" xfId="0" applyFont="1" applyFill="1" applyBorder="1" applyAlignment="1">
      <alignment horizontal="center" vertical="center" wrapText="1"/>
    </xf>
    <xf numFmtId="0" fontId="99" fillId="22" borderId="2" xfId="0" applyFont="1" applyFill="1" applyBorder="1" applyAlignment="1">
      <alignment horizontal="center" vertical="center" wrapText="1"/>
    </xf>
    <xf numFmtId="0" fontId="99" fillId="22" borderId="11" xfId="0" applyFont="1" applyFill="1" applyBorder="1" applyAlignment="1">
      <alignment horizontal="center" vertical="center" wrapText="1"/>
    </xf>
    <xf numFmtId="0" fontId="99" fillId="22" borderId="7" xfId="0" applyFont="1" applyFill="1" applyBorder="1" applyAlignment="1">
      <alignment horizontal="left" wrapText="1"/>
    </xf>
    <xf numFmtId="0" fontId="99" fillId="22" borderId="8" xfId="0" applyFont="1" applyFill="1" applyBorder="1" applyAlignment="1">
      <alignment horizontal="left" wrapText="1"/>
    </xf>
    <xf numFmtId="0" fontId="99" fillId="22" borderId="12" xfId="0" applyFont="1" applyFill="1" applyBorder="1" applyAlignment="1">
      <alignment horizontal="left" wrapText="1"/>
    </xf>
    <xf numFmtId="0" fontId="99" fillId="22" borderId="3" xfId="0" applyFont="1" applyFill="1" applyBorder="1" applyAlignment="1">
      <alignment horizontal="left" wrapText="1"/>
    </xf>
    <xf numFmtId="0" fontId="99" fillId="22" borderId="0" xfId="0" applyFont="1" applyFill="1" applyBorder="1" applyAlignment="1">
      <alignment horizontal="left" wrapText="1"/>
    </xf>
    <xf numFmtId="0" fontId="99" fillId="22" borderId="9" xfId="0" applyFont="1" applyFill="1" applyBorder="1" applyAlignment="1">
      <alignment horizontal="left" wrapText="1"/>
    </xf>
    <xf numFmtId="0" fontId="99" fillId="22" borderId="7" xfId="0" applyFont="1" applyFill="1" applyBorder="1" applyAlignment="1">
      <alignment horizontal="center"/>
    </xf>
    <xf numFmtId="0" fontId="99" fillId="22" borderId="8" xfId="0" applyFont="1" applyFill="1" applyBorder="1" applyAlignment="1">
      <alignment horizontal="center"/>
    </xf>
    <xf numFmtId="0" fontId="99" fillId="22" borderId="12" xfId="0" applyFont="1" applyFill="1" applyBorder="1" applyAlignment="1">
      <alignment horizontal="center"/>
    </xf>
    <xf numFmtId="0" fontId="58" fillId="22" borderId="3" xfId="0" applyFont="1" applyFill="1" applyBorder="1" applyAlignment="1">
      <alignment horizontal="left" wrapText="1"/>
    </xf>
    <xf numFmtId="0" fontId="58" fillId="22" borderId="0" xfId="0" applyFont="1" applyFill="1" applyBorder="1" applyAlignment="1">
      <alignment horizontal="left" wrapText="1"/>
    </xf>
    <xf numFmtId="0" fontId="58" fillId="22" borderId="9" xfId="0" applyFont="1" applyFill="1" applyBorder="1" applyAlignment="1">
      <alignment horizontal="left" wrapText="1"/>
    </xf>
    <xf numFmtId="0" fontId="100" fillId="22" borderId="7" xfId="1" applyFont="1" applyFill="1" applyBorder="1" applyAlignment="1" applyProtection="1">
      <alignment horizontal="center"/>
    </xf>
    <xf numFmtId="0" fontId="99" fillId="22" borderId="7" xfId="0" applyFont="1" applyFill="1" applyBorder="1" applyAlignment="1">
      <alignment horizontal="left" vertical="top" wrapText="1"/>
    </xf>
    <xf numFmtId="0" fontId="99" fillId="22" borderId="8" xfId="0" applyFont="1" applyFill="1" applyBorder="1" applyAlignment="1">
      <alignment horizontal="left" vertical="top" wrapText="1"/>
    </xf>
    <xf numFmtId="0" fontId="99" fillId="22" borderId="12" xfId="0" applyFont="1" applyFill="1" applyBorder="1" applyAlignment="1">
      <alignment horizontal="left" vertical="top" wrapText="1"/>
    </xf>
    <xf numFmtId="0" fontId="99" fillId="22" borderId="3" xfId="0" applyFont="1" applyFill="1" applyBorder="1" applyAlignment="1">
      <alignment horizontal="left" vertical="top" wrapText="1"/>
    </xf>
    <xf numFmtId="0" fontId="99" fillId="22" borderId="0" xfId="0" applyFont="1" applyFill="1" applyBorder="1" applyAlignment="1">
      <alignment horizontal="left" vertical="top" wrapText="1"/>
    </xf>
    <xf numFmtId="0" fontId="99" fillId="22" borderId="9" xfId="0" applyFont="1" applyFill="1" applyBorder="1" applyAlignment="1">
      <alignment horizontal="left" vertical="top" wrapText="1"/>
    </xf>
    <xf numFmtId="0" fontId="99" fillId="22" borderId="10" xfId="0" applyFont="1" applyFill="1" applyBorder="1" applyAlignment="1">
      <alignment horizontal="left" vertical="top" wrapText="1"/>
    </xf>
    <xf numFmtId="0" fontId="99" fillId="22" borderId="2" xfId="0" applyFont="1" applyFill="1" applyBorder="1" applyAlignment="1">
      <alignment horizontal="left" vertical="top" wrapText="1"/>
    </xf>
    <xf numFmtId="0" fontId="99" fillId="22" borderId="11" xfId="0" applyFont="1" applyFill="1" applyBorder="1" applyAlignment="1">
      <alignment horizontal="left" vertical="top" wrapText="1"/>
    </xf>
    <xf numFmtId="0" fontId="99" fillId="22" borderId="7" xfId="0" applyFont="1" applyFill="1" applyBorder="1" applyAlignment="1">
      <alignment horizontal="center" wrapText="1"/>
    </xf>
    <xf numFmtId="0" fontId="99" fillId="22" borderId="8" xfId="0" applyFont="1" applyFill="1" applyBorder="1" applyAlignment="1">
      <alignment horizontal="center" wrapText="1"/>
    </xf>
    <xf numFmtId="0" fontId="99" fillId="22" borderId="12" xfId="0" applyFont="1" applyFill="1" applyBorder="1" applyAlignment="1">
      <alignment horizontal="center" wrapText="1"/>
    </xf>
    <xf numFmtId="0" fontId="99" fillId="22" borderId="3" xfId="0" applyFont="1" applyFill="1" applyBorder="1" applyAlignment="1">
      <alignment horizontal="center" wrapText="1"/>
    </xf>
    <xf numFmtId="0" fontId="99" fillId="22" borderId="0" xfId="0" applyFont="1" applyFill="1" applyBorder="1" applyAlignment="1">
      <alignment horizontal="center" wrapText="1"/>
    </xf>
    <xf numFmtId="0" fontId="99" fillId="22" borderId="9" xfId="0" applyFont="1" applyFill="1" applyBorder="1" applyAlignment="1">
      <alignment horizontal="center" wrapText="1"/>
    </xf>
    <xf numFmtId="0" fontId="99" fillId="22" borderId="10" xfId="0" applyFont="1" applyFill="1" applyBorder="1" applyAlignment="1">
      <alignment horizontal="left" wrapText="1"/>
    </xf>
    <xf numFmtId="0" fontId="99" fillId="22" borderId="2" xfId="0" applyFont="1" applyFill="1" applyBorder="1" applyAlignment="1">
      <alignment horizontal="left" wrapText="1"/>
    </xf>
    <xf numFmtId="0" fontId="99" fillId="22" borderId="11" xfId="0" applyFont="1" applyFill="1" applyBorder="1" applyAlignment="1">
      <alignment horizontal="left" wrapText="1"/>
    </xf>
    <xf numFmtId="0" fontId="100" fillId="22" borderId="7" xfId="1" applyFont="1" applyFill="1" applyBorder="1" applyAlignment="1" applyProtection="1">
      <alignment horizontal="left" vertical="top" wrapText="1"/>
    </xf>
    <xf numFmtId="0" fontId="99" fillId="22" borderId="10" xfId="0" applyFont="1" applyFill="1" applyBorder="1" applyAlignment="1">
      <alignment horizontal="center" wrapText="1"/>
    </xf>
    <xf numFmtId="0" fontId="99" fillId="22" borderId="2" xfId="0" applyFont="1" applyFill="1" applyBorder="1" applyAlignment="1">
      <alignment horizontal="center" wrapText="1"/>
    </xf>
    <xf numFmtId="0" fontId="99" fillId="22" borderId="11" xfId="0" applyFont="1" applyFill="1" applyBorder="1" applyAlignment="1">
      <alignment horizontal="center" wrapText="1"/>
    </xf>
    <xf numFmtId="0" fontId="100" fillId="22" borderId="7" xfId="1" applyFont="1" applyFill="1" applyBorder="1" applyAlignment="1" applyProtection="1">
      <alignment horizontal="left" wrapText="1"/>
    </xf>
    <xf numFmtId="0" fontId="100" fillId="22" borderId="8" xfId="1" applyFont="1" applyFill="1" applyBorder="1" applyAlignment="1" applyProtection="1">
      <alignment horizontal="left" wrapText="1"/>
    </xf>
    <xf numFmtId="0" fontId="100" fillId="22" borderId="12" xfId="1" applyFont="1" applyFill="1" applyBorder="1" applyAlignment="1" applyProtection="1">
      <alignment horizontal="left" wrapText="1"/>
    </xf>
    <xf numFmtId="0" fontId="100" fillId="22" borderId="3" xfId="1" applyFont="1" applyFill="1" applyBorder="1" applyAlignment="1" applyProtection="1">
      <alignment horizontal="left" wrapText="1"/>
    </xf>
    <xf numFmtId="0" fontId="100" fillId="22" borderId="0" xfId="1" applyFont="1" applyFill="1" applyBorder="1" applyAlignment="1" applyProtection="1">
      <alignment horizontal="left" wrapText="1"/>
    </xf>
    <xf numFmtId="0" fontId="100" fillId="22" borderId="9" xfId="1" applyFont="1" applyFill="1" applyBorder="1" applyAlignment="1" applyProtection="1">
      <alignment horizontal="left" wrapText="1"/>
    </xf>
    <xf numFmtId="0" fontId="99" fillId="22" borderId="7" xfId="0" applyFont="1" applyFill="1" applyBorder="1" applyAlignment="1">
      <alignment horizontal="center" vertical="top" wrapText="1"/>
    </xf>
    <xf numFmtId="0" fontId="99" fillId="22" borderId="8" xfId="0" applyFont="1" applyFill="1" applyBorder="1" applyAlignment="1">
      <alignment horizontal="center" vertical="top" wrapText="1"/>
    </xf>
    <xf numFmtId="0" fontId="99" fillId="22" borderId="12" xfId="0" applyFont="1" applyFill="1" applyBorder="1" applyAlignment="1">
      <alignment horizontal="center" vertical="top" wrapText="1"/>
    </xf>
    <xf numFmtId="0" fontId="99" fillId="22" borderId="3" xfId="0" applyFont="1" applyFill="1" applyBorder="1" applyAlignment="1">
      <alignment horizontal="center" vertical="top" wrapText="1"/>
    </xf>
    <xf numFmtId="0" fontId="99" fillId="22" borderId="0" xfId="0" applyFont="1" applyFill="1" applyBorder="1" applyAlignment="1">
      <alignment horizontal="center" vertical="top" wrapText="1"/>
    </xf>
    <xf numFmtId="0" fontId="99" fillId="22" borderId="9" xfId="0" applyFont="1" applyFill="1" applyBorder="1" applyAlignment="1">
      <alignment horizontal="center" vertical="top" wrapText="1"/>
    </xf>
    <xf numFmtId="0" fontId="99" fillId="22" borderId="10" xfId="0" applyFont="1" applyFill="1" applyBorder="1" applyAlignment="1">
      <alignment horizontal="center" vertical="top" wrapText="1"/>
    </xf>
    <xf numFmtId="0" fontId="99" fillId="22" borderId="2" xfId="0" applyFont="1" applyFill="1" applyBorder="1" applyAlignment="1">
      <alignment horizontal="center" vertical="top" wrapText="1"/>
    </xf>
    <xf numFmtId="0" fontId="99" fillId="22" borderId="11" xfId="0" applyFont="1" applyFill="1" applyBorder="1" applyAlignment="1">
      <alignment horizontal="center" vertical="top" wrapText="1"/>
    </xf>
    <xf numFmtId="0" fontId="99" fillId="22" borderId="8" xfId="0" applyFont="1" applyFill="1" applyBorder="1" applyAlignment="1">
      <alignment horizontal="left"/>
    </xf>
    <xf numFmtId="0" fontId="99" fillId="22" borderId="12" xfId="0" applyFont="1" applyFill="1" applyBorder="1" applyAlignment="1">
      <alignment horizontal="left"/>
    </xf>
    <xf numFmtId="0" fontId="99" fillId="22" borderId="3" xfId="0" applyFont="1" applyFill="1" applyBorder="1" applyAlignment="1">
      <alignment horizontal="left"/>
    </xf>
    <xf numFmtId="0" fontId="99" fillId="22" borderId="0" xfId="0" applyFont="1" applyFill="1" applyBorder="1" applyAlignment="1">
      <alignment horizontal="left"/>
    </xf>
    <xf numFmtId="0" fontId="99" fillId="22" borderId="9" xfId="0" applyFont="1" applyFill="1" applyBorder="1" applyAlignment="1">
      <alignment horizontal="left"/>
    </xf>
    <xf numFmtId="0" fontId="41" fillId="22" borderId="3" xfId="0" applyFont="1" applyFill="1" applyBorder="1" applyAlignment="1">
      <alignment horizontal="center" vertical="top" wrapText="1"/>
    </xf>
    <xf numFmtId="0" fontId="73" fillId="0" borderId="0" xfId="0" applyFont="1" applyFill="1" applyBorder="1" applyAlignment="1">
      <alignment horizontal="center"/>
    </xf>
    <xf numFmtId="0" fontId="100" fillId="22" borderId="8" xfId="1" applyFont="1" applyFill="1" applyBorder="1" applyAlignment="1" applyProtection="1">
      <alignment horizontal="left" vertical="top" wrapText="1"/>
    </xf>
    <xf numFmtId="0" fontId="100" fillId="22" borderId="12" xfId="1" applyFont="1" applyFill="1" applyBorder="1" applyAlignment="1" applyProtection="1">
      <alignment horizontal="left" vertical="top" wrapText="1"/>
    </xf>
    <xf numFmtId="0" fontId="100" fillId="22" borderId="3" xfId="1" applyFont="1" applyFill="1" applyBorder="1" applyAlignment="1" applyProtection="1">
      <alignment horizontal="left" vertical="top" wrapText="1"/>
    </xf>
    <xf numFmtId="0" fontId="100" fillId="22" borderId="0" xfId="1" applyFont="1" applyFill="1" applyBorder="1" applyAlignment="1" applyProtection="1">
      <alignment horizontal="left" vertical="top" wrapText="1"/>
    </xf>
    <xf numFmtId="0" fontId="100" fillId="22" borderId="9" xfId="1" applyFont="1" applyFill="1" applyBorder="1" applyAlignment="1" applyProtection="1">
      <alignment horizontal="left" vertical="top" wrapText="1"/>
    </xf>
    <xf numFmtId="0" fontId="99" fillId="22" borderId="3" xfId="0" applyFont="1" applyFill="1" applyBorder="1" applyAlignment="1">
      <alignment horizontal="left" vertical="center" wrapText="1"/>
    </xf>
    <xf numFmtId="0" fontId="99" fillId="22" borderId="0" xfId="0" applyFont="1" applyFill="1" applyBorder="1" applyAlignment="1">
      <alignment horizontal="left" vertical="center" wrapText="1"/>
    </xf>
    <xf numFmtId="0" fontId="99" fillId="22" borderId="9" xfId="0" applyFont="1" applyFill="1" applyBorder="1" applyAlignment="1">
      <alignment horizontal="left" vertical="center" wrapText="1"/>
    </xf>
    <xf numFmtId="0" fontId="99" fillId="22" borderId="8" xfId="0" applyFont="1" applyFill="1" applyBorder="1"/>
    <xf numFmtId="0" fontId="99" fillId="22" borderId="12" xfId="0" applyFont="1" applyFill="1" applyBorder="1"/>
    <xf numFmtId="0" fontId="99" fillId="22" borderId="3" xfId="0" applyFont="1" applyFill="1" applyBorder="1"/>
    <xf numFmtId="0" fontId="99" fillId="22" borderId="0" xfId="0" applyFont="1" applyFill="1" applyBorder="1"/>
    <xf numFmtId="0" fontId="99" fillId="22" borderId="9" xfId="0" applyFont="1" applyFill="1" applyBorder="1"/>
    <xf numFmtId="0" fontId="58" fillId="22" borderId="10" xfId="0" applyFont="1" applyFill="1" applyBorder="1" applyAlignment="1">
      <alignment horizontal="left" wrapText="1"/>
    </xf>
    <xf numFmtId="0" fontId="58" fillId="22" borderId="2" xfId="0" applyFont="1" applyFill="1" applyBorder="1" applyAlignment="1">
      <alignment horizontal="left" wrapText="1"/>
    </xf>
    <xf numFmtId="0" fontId="58" fillId="22" borderId="11" xfId="0" applyFont="1" applyFill="1" applyBorder="1" applyAlignment="1">
      <alignment horizontal="left" wrapText="1"/>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0" fillId="5" borderId="10" xfId="0" applyFont="1" applyFill="1" applyBorder="1" applyAlignment="1">
      <alignment horizontal="center" vertical="center"/>
    </xf>
    <xf numFmtId="0" fontId="20" fillId="5" borderId="2"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1" xfId="0" applyFont="1" applyFill="1" applyBorder="1" applyAlignment="1">
      <alignment horizontal="center" vertical="center"/>
    </xf>
    <xf numFmtId="0" fontId="111" fillId="27" borderId="7" xfId="1" applyFont="1" applyFill="1" applyBorder="1" applyAlignment="1" applyProtection="1">
      <alignment horizontal="center" vertical="center" wrapText="1"/>
      <protection locked="0"/>
    </xf>
    <xf numFmtId="0" fontId="111" fillId="27" borderId="12" xfId="1" applyFont="1" applyFill="1" applyBorder="1" applyAlignment="1" applyProtection="1">
      <alignment horizontal="center" vertical="center" wrapText="1"/>
      <protection locked="0"/>
    </xf>
    <xf numFmtId="0" fontId="111" fillId="27" borderId="10" xfId="1" applyFont="1" applyFill="1" applyBorder="1" applyAlignment="1" applyProtection="1">
      <alignment horizontal="center" vertical="center" wrapText="1"/>
      <protection locked="0"/>
    </xf>
    <xf numFmtId="0" fontId="111" fillId="27" borderId="11" xfId="1" applyFont="1" applyFill="1" applyBorder="1" applyAlignment="1" applyProtection="1">
      <alignment horizontal="center" vertical="center" wrapText="1"/>
      <protection locked="0"/>
    </xf>
    <xf numFmtId="0" fontId="147" fillId="22" borderId="3" xfId="0" applyFont="1" applyFill="1" applyBorder="1" applyAlignment="1">
      <alignment horizontal="right" vertical="top"/>
    </xf>
    <xf numFmtId="0" fontId="147" fillId="22" borderId="0" xfId="0" applyFont="1" applyFill="1" applyBorder="1" applyAlignment="1">
      <alignment horizontal="right" vertical="top"/>
    </xf>
    <xf numFmtId="0" fontId="147" fillId="22" borderId="126" xfId="0" applyFont="1" applyFill="1" applyBorder="1" applyAlignment="1">
      <alignment horizontal="right" vertical="top"/>
    </xf>
    <xf numFmtId="0" fontId="108" fillId="22" borderId="3" xfId="0" applyFont="1" applyFill="1" applyBorder="1" applyAlignment="1">
      <alignment horizontal="right"/>
    </xf>
    <xf numFmtId="0" fontId="108" fillId="22" borderId="0" xfId="0" applyFont="1" applyFill="1" applyBorder="1" applyAlignment="1">
      <alignment horizontal="right"/>
    </xf>
    <xf numFmtId="0" fontId="146" fillId="27" borderId="7" xfId="1" applyFont="1" applyFill="1" applyBorder="1" applyAlignment="1" applyProtection="1">
      <alignment horizontal="center" vertical="center" wrapText="1"/>
      <protection locked="0"/>
    </xf>
    <xf numFmtId="0" fontId="96" fillId="27" borderId="8" xfId="1" applyFill="1" applyBorder="1" applyAlignment="1" applyProtection="1">
      <alignment horizontal="center" vertical="center" wrapText="1"/>
      <protection locked="0"/>
    </xf>
    <xf numFmtId="0" fontId="96" fillId="27" borderId="12" xfId="1" applyFill="1" applyBorder="1" applyAlignment="1" applyProtection="1">
      <alignment horizontal="center" vertical="center" wrapText="1"/>
      <protection locked="0"/>
    </xf>
    <xf numFmtId="0" fontId="96" fillId="27" borderId="3" xfId="1" applyFill="1" applyBorder="1" applyAlignment="1" applyProtection="1">
      <alignment horizontal="center" vertical="center" wrapText="1"/>
      <protection locked="0"/>
    </xf>
    <xf numFmtId="0" fontId="96" fillId="27" borderId="0" xfId="1" applyFill="1" applyBorder="1" applyAlignment="1" applyProtection="1">
      <alignment horizontal="center" vertical="center" wrapText="1"/>
      <protection locked="0"/>
    </xf>
    <xf numFmtId="0" fontId="96" fillId="27" borderId="9" xfId="1" applyFill="1" applyBorder="1" applyAlignment="1" applyProtection="1">
      <alignment horizontal="center" vertical="center" wrapText="1"/>
      <protection locked="0"/>
    </xf>
    <xf numFmtId="0" fontId="96" fillId="27" borderId="10" xfId="1" applyFill="1" applyBorder="1" applyAlignment="1" applyProtection="1">
      <alignment horizontal="center" vertical="center" wrapText="1"/>
      <protection locked="0"/>
    </xf>
    <xf numFmtId="0" fontId="96" fillId="27" borderId="2" xfId="1" applyFill="1" applyBorder="1" applyAlignment="1" applyProtection="1">
      <alignment horizontal="center" vertical="center" wrapText="1"/>
      <protection locked="0"/>
    </xf>
    <xf numFmtId="0" fontId="96" fillId="27" borderId="11" xfId="1" applyFill="1" applyBorder="1" applyAlignment="1" applyProtection="1">
      <alignment horizontal="center" vertical="center" wrapText="1"/>
      <protection locked="0"/>
    </xf>
    <xf numFmtId="0" fontId="135" fillId="0" borderId="0" xfId="0" applyFont="1" applyBorder="1" applyAlignment="1">
      <alignment horizontal="center" vertical="center"/>
    </xf>
    <xf numFmtId="0" fontId="121" fillId="22" borderId="3" xfId="0" applyFont="1" applyFill="1" applyBorder="1" applyAlignment="1">
      <alignment horizontal="right"/>
    </xf>
    <xf numFmtId="0" fontId="121" fillId="22" borderId="0" xfId="0" applyFont="1" applyFill="1" applyBorder="1" applyAlignment="1">
      <alignment horizontal="right"/>
    </xf>
    <xf numFmtId="0" fontId="108" fillId="22" borderId="7" xfId="0" applyFont="1" applyFill="1" applyBorder="1" applyAlignment="1">
      <alignment horizontal="right"/>
    </xf>
    <xf numFmtId="0" fontId="108" fillId="22" borderId="8" xfId="0" applyFont="1" applyFill="1" applyBorder="1" applyAlignment="1">
      <alignment horizontal="right"/>
    </xf>
    <xf numFmtId="0" fontId="108" fillId="22" borderId="3" xfId="0" applyFont="1" applyFill="1" applyBorder="1" applyAlignment="1">
      <alignment horizontal="center"/>
    </xf>
    <xf numFmtId="0" fontId="108" fillId="22" borderId="0" xfId="0" applyFont="1" applyFill="1" applyBorder="1" applyAlignment="1">
      <alignment horizontal="center"/>
    </xf>
    <xf numFmtId="0" fontId="120" fillId="20" borderId="34" xfId="0" applyFont="1" applyFill="1" applyBorder="1" applyAlignment="1" applyProtection="1">
      <alignment horizontal="center"/>
      <protection locked="0"/>
    </xf>
    <xf numFmtId="0" fontId="120" fillId="20" borderId="36" xfId="0" applyFont="1" applyFill="1" applyBorder="1" applyAlignment="1" applyProtection="1">
      <alignment horizontal="center"/>
      <protection locked="0"/>
    </xf>
  </cellXfs>
  <cellStyles count="4">
    <cellStyle name="Hyperlink" xfId="1" builtinId="8"/>
    <cellStyle name="Normal" xfId="0" builtinId="0"/>
    <cellStyle name="Normal 2" xfId="2"/>
    <cellStyle name="Separador de milhares" xfId="3"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Design Heat Losses (kW)</a:t>
            </a:r>
          </a:p>
        </c:rich>
      </c:tx>
    </c:title>
    <c:plotArea>
      <c:layout/>
      <c:lineChart>
        <c:grouping val="standard"/>
        <c:ser>
          <c:idx val="0"/>
          <c:order val="0"/>
          <c:tx>
            <c:v>Design Heat Losses</c:v>
          </c:tx>
          <c:marker>
            <c:symbol val="none"/>
          </c:marker>
          <c:cat>
            <c:strRef>
              <c:f>'Heat Demand Model'!$L$30:$L$41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'Heat Demand Model'!$M$30:$M$41</c:f>
              <c:numCache>
                <c:formatCode>#,##0</c:formatCode>
                <c:ptCount val="12"/>
                <c:pt idx="0">
                  <c:v>32.567257099999999</c:v>
                </c:pt>
                <c:pt idx="1">
                  <c:v>32.459788700000004</c:v>
                </c:pt>
                <c:pt idx="2">
                  <c:v>30.686560100000005</c:v>
                </c:pt>
                <c:pt idx="3">
                  <c:v>27.865514600000008</c:v>
                </c:pt>
                <c:pt idx="4">
                  <c:v>24.077253500000001</c:v>
                </c:pt>
                <c:pt idx="5">
                  <c:v>20.73229955</c:v>
                </c:pt>
                <c:pt idx="6">
                  <c:v>18.341127650000004</c:v>
                </c:pt>
                <c:pt idx="7">
                  <c:v>18.475463150000003</c:v>
                </c:pt>
                <c:pt idx="8">
                  <c:v>20.786033750000001</c:v>
                </c:pt>
                <c:pt idx="9">
                  <c:v>25.487776250000003</c:v>
                </c:pt>
                <c:pt idx="10">
                  <c:v>29.598442549999998</c:v>
                </c:pt>
                <c:pt idx="11">
                  <c:v>32.446355149999995</c:v>
                </c:pt>
              </c:numCache>
            </c:numRef>
          </c:val>
        </c:ser>
        <c:marker val="1"/>
        <c:axId val="33443200"/>
        <c:axId val="33465472"/>
      </c:lineChart>
      <c:catAx>
        <c:axId val="33443200"/>
        <c:scaling>
          <c:orientation val="minMax"/>
        </c:scaling>
        <c:axPos val="b"/>
        <c:numFmt formatCode="General" sourceLinked="1"/>
        <c:tickLblPos val="nextTo"/>
        <c:crossAx val="33465472"/>
        <c:crosses val="autoZero"/>
        <c:auto val="1"/>
        <c:lblAlgn val="ctr"/>
        <c:lblOffset val="100"/>
      </c:catAx>
      <c:valAx>
        <c:axId val="33465472"/>
        <c:scaling>
          <c:orientation val="minMax"/>
        </c:scaling>
        <c:axPos val="l"/>
        <c:majorGridlines/>
        <c:numFmt formatCode="#,##0" sourceLinked="1"/>
        <c:tickLblPos val="nextTo"/>
        <c:crossAx val="33443200"/>
        <c:crosses val="autoZero"/>
        <c:crossBetween val="between"/>
      </c:valAx>
    </c:plotArea>
    <c:plotVisOnly val="1"/>
    <c:dispBlanksAs val="gap"/>
  </c:chart>
  <c:printSettings>
    <c:headerFooter/>
    <c:pageMargins b="0.78740157499999996" l="0.511811024" r="0.511811024" t="0.78740157499999996" header="0.31496062000000025" footer="0.3149606200000002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'Fuel Comparator and Consumption'!$P$84:$S$84</c:f>
              <c:strCache>
                <c:ptCount val="1"/>
                <c:pt idx="0">
                  <c:v>Monthly   Fuel Cost - GBP</c:v>
                </c:pt>
              </c:strCache>
            </c:strRef>
          </c:tx>
          <c:dLbls>
            <c:spPr>
              <a:noFill/>
              <a:ln w="25400">
                <a:noFill/>
              </a:ln>
            </c:spPr>
            <c:showVal val="1"/>
          </c:dLbls>
          <c:cat>
            <c:strRef>
              <c:f>'Fuel Comparator and Consumption'!$C$44:$C$55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'Fuel Comparator and Consumption'!$AC$75:$AC$86</c:f>
            </c:numRef>
          </c:val>
        </c:ser>
        <c:dLbls>
          <c:showVal val="1"/>
        </c:dLbls>
        <c:gapWidth val="75"/>
        <c:axId val="38296960"/>
        <c:axId val="38323328"/>
      </c:barChart>
      <c:catAx>
        <c:axId val="38296960"/>
        <c:scaling>
          <c:orientation val="minMax"/>
        </c:scaling>
        <c:axPos val="b"/>
        <c:numFmt formatCode="General" sourceLinked="1"/>
        <c:majorTickMark val="none"/>
        <c:tickLblPos val="nextTo"/>
        <c:crossAx val="38323328"/>
        <c:crosses val="autoZero"/>
        <c:auto val="1"/>
        <c:lblAlgn val="ctr"/>
        <c:lblOffset val="100"/>
      </c:catAx>
      <c:valAx>
        <c:axId val="38323328"/>
        <c:scaling>
          <c:orientation val="minMax"/>
        </c:scaling>
        <c:axPos val="l"/>
        <c:numFmt formatCode="0.00" sourceLinked="1"/>
        <c:majorTickMark val="none"/>
        <c:tickLblPos val="nextTo"/>
        <c:crossAx val="38296960"/>
        <c:crosses val="autoZero"/>
        <c:crossBetween val="between"/>
      </c:valAx>
    </c:plotArea>
    <c:plotVisOnly val="1"/>
    <c:dispBlanksAs val="gap"/>
  </c:chart>
  <c:printSettings>
    <c:headerFooter/>
    <c:pageMargins b="0.78740157499999996" l="0.511811024" r="0.511811024" t="0.78740157499999996" header="0.31496062000000064" footer="0.3149606200000006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'Fuel Comparator and Consumption'!$G$17:$I$17</c:f>
              <c:strCache>
                <c:ptCount val="1"/>
                <c:pt idx="0">
                  <c:v>Woodchip1</c:v>
                </c:pt>
              </c:strCache>
            </c:strRef>
          </c:tx>
          <c:cat>
            <c:numRef>
              <c:f>'Fuel Comparator and Consumption'!$R$10</c:f>
              <c:numCache>
                <c:formatCode>General</c:formatCode>
                <c:ptCount val="1"/>
              </c:numCache>
            </c:numRef>
          </c:cat>
          <c:val>
            <c:numRef>
              <c:f>'Fuel Comparator and Consumption'!$J$17:$K$17</c:f>
              <c:numCache>
                <c:formatCode>0.0</c:formatCode>
                <c:ptCount val="2"/>
                <c:pt idx="0">
                  <c:v>1.3102517271500038</c:v>
                </c:pt>
              </c:numCache>
            </c:numRef>
          </c:val>
        </c:ser>
        <c:ser>
          <c:idx val="1"/>
          <c:order val="1"/>
          <c:tx>
            <c:strRef>
              <c:f>'Fuel Comparator and Consumption'!$G$18:$I$18</c:f>
              <c:strCache>
                <c:ptCount val="1"/>
                <c:pt idx="0">
                  <c:v>Pellet1</c:v>
                </c:pt>
              </c:strCache>
            </c:strRef>
          </c:tx>
          <c:cat>
            <c:numRef>
              <c:f>'Fuel Comparator and Consumption'!$R$10</c:f>
              <c:numCache>
                <c:formatCode>General</c:formatCode>
                <c:ptCount val="1"/>
              </c:numCache>
            </c:numRef>
          </c:cat>
          <c:val>
            <c:numRef>
              <c:f>'Fuel Comparator and Consumption'!$J$18:$K$18</c:f>
              <c:numCache>
                <c:formatCode>0.0</c:formatCode>
                <c:ptCount val="2"/>
                <c:pt idx="0">
                  <c:v>2.6357584563917147</c:v>
                </c:pt>
              </c:numCache>
            </c:numRef>
          </c:val>
        </c:ser>
        <c:ser>
          <c:idx val="2"/>
          <c:order val="2"/>
          <c:tx>
            <c:strRef>
              <c:f>'Fuel Comparator and Consumption'!$G$19</c:f>
              <c:strCache>
                <c:ptCount val="1"/>
                <c:pt idx="0">
                  <c:v>Heating Oil</c:v>
                </c:pt>
              </c:strCache>
            </c:strRef>
          </c:tx>
          <c:cat>
            <c:numRef>
              <c:f>'Fuel Comparator and Consumption'!$R$10</c:f>
              <c:numCache>
                <c:formatCode>General</c:formatCode>
                <c:ptCount val="1"/>
              </c:numCache>
            </c:numRef>
          </c:cat>
          <c:val>
            <c:numRef>
              <c:f>'Fuel Comparator and Consumption'!$J$19:$K$19</c:f>
              <c:numCache>
                <c:formatCode>0.0</c:formatCode>
                <c:ptCount val="2"/>
                <c:pt idx="0">
                  <c:v>3.75</c:v>
                </c:pt>
              </c:numCache>
            </c:numRef>
          </c:val>
        </c:ser>
        <c:ser>
          <c:idx val="3"/>
          <c:order val="3"/>
          <c:tx>
            <c:strRef>
              <c:f>'Fuel Comparator and Consumption'!$H$20:$I$20</c:f>
              <c:strCache>
                <c:ptCount val="1"/>
                <c:pt idx="0">
                  <c:v>19 kg propane</c:v>
                </c:pt>
              </c:strCache>
            </c:strRef>
          </c:tx>
          <c:cat>
            <c:numRef>
              <c:f>'Fuel Comparator and Consumption'!$R$10</c:f>
              <c:numCache>
                <c:formatCode>General</c:formatCode>
                <c:ptCount val="1"/>
              </c:numCache>
            </c:numRef>
          </c:cat>
          <c:val>
            <c:numRef>
              <c:f>'Fuel Comparator and Consumption'!$J$20:$K$20</c:f>
              <c:numCache>
                <c:formatCode>0.0</c:formatCode>
                <c:ptCount val="2"/>
                <c:pt idx="0">
                  <c:v>8.26</c:v>
                </c:pt>
              </c:numCache>
            </c:numRef>
          </c:val>
        </c:ser>
        <c:ser>
          <c:idx val="4"/>
          <c:order val="4"/>
          <c:tx>
            <c:strRef>
              <c:f>'Fuel Comparator and Consumption'!$H$21:$I$21</c:f>
              <c:strCache>
                <c:ptCount val="1"/>
                <c:pt idx="0">
                  <c:v>47 kg propane</c:v>
                </c:pt>
              </c:strCache>
            </c:strRef>
          </c:tx>
          <c:cat>
            <c:numRef>
              <c:f>'Fuel Comparator and Consumption'!$R$10</c:f>
              <c:numCache>
                <c:formatCode>General</c:formatCode>
                <c:ptCount val="1"/>
              </c:numCache>
            </c:numRef>
          </c:cat>
          <c:val>
            <c:numRef>
              <c:f>'Fuel Comparator and Consumption'!$J$21:$K$21</c:f>
              <c:numCache>
                <c:formatCode>0.0</c:formatCode>
                <c:ptCount val="2"/>
                <c:pt idx="0">
                  <c:v>6.76</c:v>
                </c:pt>
              </c:numCache>
            </c:numRef>
          </c:val>
        </c:ser>
        <c:ser>
          <c:idx val="5"/>
          <c:order val="5"/>
          <c:tx>
            <c:strRef>
              <c:f>'Fuel Comparator and Consumption'!$H$22:$I$22</c:f>
              <c:strCache>
                <c:ptCount val="1"/>
                <c:pt idx="0">
                  <c:v>LPG Domestic</c:v>
                </c:pt>
              </c:strCache>
            </c:strRef>
          </c:tx>
          <c:cat>
            <c:numRef>
              <c:f>'Fuel Comparator and Consumption'!$R$10</c:f>
              <c:numCache>
                <c:formatCode>General</c:formatCode>
                <c:ptCount val="1"/>
              </c:numCache>
            </c:numRef>
          </c:cat>
          <c:val>
            <c:numRef>
              <c:f>'Fuel Comparator and Consumption'!$J$22:$K$22</c:f>
              <c:numCache>
                <c:formatCode>0.0</c:formatCode>
                <c:ptCount val="2"/>
                <c:pt idx="0">
                  <c:v>4.68</c:v>
                </c:pt>
              </c:numCache>
            </c:numRef>
          </c:val>
        </c:ser>
        <c:ser>
          <c:idx val="6"/>
          <c:order val="6"/>
          <c:tx>
            <c:strRef>
              <c:f>'Fuel Comparator and Consumption'!$H$23:$I$23</c:f>
              <c:strCache>
                <c:ptCount val="1"/>
                <c:pt idx="0">
                  <c:v>LPG Commercial</c:v>
                </c:pt>
              </c:strCache>
            </c:strRef>
          </c:tx>
          <c:cat>
            <c:numRef>
              <c:f>'Fuel Comparator and Consumption'!$R$10</c:f>
              <c:numCache>
                <c:formatCode>General</c:formatCode>
                <c:ptCount val="1"/>
              </c:numCache>
            </c:numRef>
          </c:cat>
          <c:val>
            <c:numRef>
              <c:f>'Fuel Comparator and Consumption'!$J$23:$K$23</c:f>
              <c:numCache>
                <c:formatCode>0.0</c:formatCode>
                <c:ptCount val="2"/>
                <c:pt idx="0">
                  <c:v>3.51</c:v>
                </c:pt>
              </c:numCache>
            </c:numRef>
          </c:val>
        </c:ser>
        <c:ser>
          <c:idx val="7"/>
          <c:order val="7"/>
          <c:tx>
            <c:strRef>
              <c:f>'Fuel Comparator and Consumption'!$G$24:$I$24</c:f>
              <c:strCache>
                <c:ptCount val="1"/>
                <c:pt idx="0">
                  <c:v>Electricity</c:v>
                </c:pt>
              </c:strCache>
            </c:strRef>
          </c:tx>
          <c:cat>
            <c:numRef>
              <c:f>'Fuel Comparator and Consumption'!$R$10</c:f>
              <c:numCache>
                <c:formatCode>General</c:formatCode>
                <c:ptCount val="1"/>
              </c:numCache>
            </c:numRef>
          </c:cat>
          <c:val>
            <c:numRef>
              <c:f>'Fuel Comparator and Consumption'!$J$24:$K$24</c:f>
              <c:numCache>
                <c:formatCode>0.0</c:formatCode>
                <c:ptCount val="2"/>
                <c:pt idx="0">
                  <c:v>10</c:v>
                </c:pt>
              </c:numCache>
            </c:numRef>
          </c:val>
        </c:ser>
        <c:ser>
          <c:idx val="8"/>
          <c:order val="8"/>
          <c:tx>
            <c:strRef>
              <c:f>'Fuel Comparator and Consumption'!$G$25:$I$25</c:f>
              <c:strCache>
                <c:ptCount val="1"/>
                <c:pt idx="0">
                  <c:v>Mains Gas</c:v>
                </c:pt>
              </c:strCache>
            </c:strRef>
          </c:tx>
          <c:cat>
            <c:numRef>
              <c:f>'Fuel Comparator and Consumption'!$R$10</c:f>
              <c:numCache>
                <c:formatCode>General</c:formatCode>
                <c:ptCount val="1"/>
              </c:numCache>
            </c:numRef>
          </c:cat>
          <c:val>
            <c:numRef>
              <c:f>'Fuel Comparator and Consumption'!$J$25:$K$25</c:f>
              <c:numCache>
                <c:formatCode>0.0</c:formatCode>
                <c:ptCount val="2"/>
                <c:pt idx="0">
                  <c:v>3</c:v>
                </c:pt>
              </c:numCache>
            </c:numRef>
          </c:val>
        </c:ser>
        <c:ser>
          <c:idx val="9"/>
          <c:order val="9"/>
          <c:tx>
            <c:strRef>
              <c:f>'Fuel Comparator and Consumption'!$H$26:$I$26</c:f>
              <c:strCache>
                <c:ptCount val="1"/>
                <c:pt idx="0">
                  <c:v>house coal</c:v>
                </c:pt>
              </c:strCache>
            </c:strRef>
          </c:tx>
          <c:cat>
            <c:numRef>
              <c:f>'Fuel Comparator and Consumption'!$R$10</c:f>
              <c:numCache>
                <c:formatCode>General</c:formatCode>
                <c:ptCount val="1"/>
              </c:numCache>
            </c:numRef>
          </c:cat>
          <c:val>
            <c:numRef>
              <c:f>'Fuel Comparator and Consumption'!$J$26:$K$26</c:f>
              <c:numCache>
                <c:formatCode>0.0</c:formatCode>
                <c:ptCount val="2"/>
                <c:pt idx="0">
                  <c:v>2.57</c:v>
                </c:pt>
              </c:numCache>
            </c:numRef>
          </c:val>
        </c:ser>
        <c:ser>
          <c:idx val="10"/>
          <c:order val="10"/>
          <c:tx>
            <c:strRef>
              <c:f>'Fuel Comparator and Consumption'!$H$27:$I$27</c:f>
              <c:strCache>
                <c:ptCount val="1"/>
                <c:pt idx="0">
                  <c:v>Coalite</c:v>
                </c:pt>
              </c:strCache>
            </c:strRef>
          </c:tx>
          <c:cat>
            <c:numRef>
              <c:f>'Fuel Comparator and Consumption'!$R$10</c:f>
              <c:numCache>
                <c:formatCode>General</c:formatCode>
                <c:ptCount val="1"/>
              </c:numCache>
            </c:numRef>
          </c:cat>
          <c:val>
            <c:numRef>
              <c:f>'Fuel Comparator and Consumption'!$J$27:$K$27</c:f>
              <c:numCache>
                <c:formatCode>0.0</c:formatCode>
                <c:ptCount val="2"/>
                <c:pt idx="0">
                  <c:v>4.09</c:v>
                </c:pt>
              </c:numCache>
            </c:numRef>
          </c:val>
        </c:ser>
        <c:gapWidth val="300"/>
        <c:axId val="38346752"/>
        <c:axId val="38348288"/>
      </c:barChart>
      <c:catAx>
        <c:axId val="38346752"/>
        <c:scaling>
          <c:orientation val="minMax"/>
        </c:scaling>
        <c:axPos val="b"/>
        <c:numFmt formatCode="General" sourceLinked="1"/>
        <c:majorTickMark val="none"/>
        <c:tickLblPos val="nextTo"/>
        <c:crossAx val="38348288"/>
        <c:crosses val="autoZero"/>
        <c:auto val="1"/>
        <c:lblAlgn val="ctr"/>
        <c:lblOffset val="100"/>
      </c:catAx>
      <c:valAx>
        <c:axId val="38348288"/>
        <c:scaling>
          <c:orientation val="minMax"/>
        </c:scaling>
        <c:axPos val="l"/>
        <c:majorGridlines/>
        <c:minorGridlines/>
        <c:title>
          <c:tx>
            <c:rich>
              <a:bodyPr/>
              <a:lstStyle/>
              <a:p>
                <a:pPr>
                  <a:defRPr/>
                </a:pPr>
                <a:r>
                  <a:rPr lang="en-US"/>
                  <a:t>Price (pence per kWh)</a:t>
                </a:r>
              </a:p>
            </c:rich>
          </c:tx>
        </c:title>
        <c:numFmt formatCode="0.0" sourceLinked="1"/>
        <c:tickLblPos val="nextTo"/>
        <c:crossAx val="38346752"/>
        <c:crosses val="autoZero"/>
        <c:crossBetween val="between"/>
      </c:valAx>
    </c:plotArea>
    <c:legend>
      <c:legendPos val="r"/>
    </c:legend>
    <c:plotVisOnly val="1"/>
    <c:dispBlanksAs val="gap"/>
  </c:chart>
  <c:printSettings>
    <c:headerFooter/>
    <c:pageMargins b="0.78740157499999996" l="0.511811024" r="0.511811024" t="0.78740157499999996" header="0.31496062000000041" footer="0.3149606200000004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200"/>
              <a:t>Monthly Consumption (GBP)</a:t>
            </a:r>
          </a:p>
        </c:rich>
      </c:tx>
    </c:title>
    <c:plotArea>
      <c:layout>
        <c:manualLayout>
          <c:layoutTarget val="inner"/>
          <c:xMode val="edge"/>
          <c:yMode val="edge"/>
          <c:x val="0.10949484784815312"/>
          <c:y val="0.28308354131423008"/>
          <c:w val="0.86774459700040119"/>
          <c:h val="0.32081335997133592"/>
        </c:manualLayout>
      </c:layout>
      <c:barChart>
        <c:barDir val="col"/>
        <c:grouping val="clustered"/>
        <c:ser>
          <c:idx val="0"/>
          <c:order val="0"/>
          <c:tx>
            <c:v>Monthly Consumption</c:v>
          </c:tx>
          <c:cat>
            <c:multiLvlStrRef>
              <c:f>Results!$D$60:$D$71</c:f>
            </c:multiLvlStrRef>
          </c:cat>
          <c:val>
            <c:numRef>
              <c:f>Results!$C$60:$C$71</c:f>
            </c:numRef>
          </c:val>
        </c:ser>
        <c:gapWidth val="75"/>
        <c:overlap val="-25"/>
        <c:axId val="38658816"/>
        <c:axId val="38660352"/>
      </c:barChart>
      <c:catAx>
        <c:axId val="38658816"/>
        <c:scaling>
          <c:orientation val="minMax"/>
        </c:scaling>
        <c:axPos val="b"/>
        <c:numFmt formatCode="General" sourceLinked="1"/>
        <c:majorTickMark val="none"/>
        <c:tickLblPos val="nextTo"/>
        <c:crossAx val="38660352"/>
        <c:crosses val="autoZero"/>
        <c:auto val="1"/>
        <c:lblAlgn val="ctr"/>
        <c:lblOffset val="100"/>
      </c:catAx>
      <c:valAx>
        <c:axId val="38660352"/>
        <c:scaling>
          <c:orientation val="minMax"/>
        </c:scaling>
        <c:axPos val="l"/>
        <c:majorGridlines/>
        <c:numFmt formatCode="General" sourceLinked="1"/>
        <c:majorTickMark val="none"/>
        <c:tickLblPos val="nextTo"/>
        <c:spPr>
          <a:ln w="9525">
            <a:noFill/>
          </a:ln>
        </c:spPr>
        <c:crossAx val="38658816"/>
        <c:crosses val="autoZero"/>
        <c:crossBetween val="between"/>
      </c:valAx>
    </c:plotArea>
    <c:plotVisOnly val="1"/>
    <c:dispBlanksAs val="gap"/>
  </c:chart>
  <c:printSettings>
    <c:headerFooter/>
    <c:pageMargins b="0.78740157499999996" l="0.511811024" r="0.511811024" t="0.78740157499999996" header="0.31496062000000025" footer="0.3149606200000002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Energy Demand (kWh)</a:t>
            </a:r>
          </a:p>
        </c:rich>
      </c:tx>
    </c:title>
    <c:plotArea>
      <c:layout/>
      <c:lineChart>
        <c:grouping val="standard"/>
        <c:ser>
          <c:idx val="0"/>
          <c:order val="0"/>
          <c:tx>
            <c:v>Energy Demand</c:v>
          </c:tx>
          <c:marker>
            <c:symbol val="none"/>
          </c:marker>
          <c:cat>
            <c:strRef>
              <c:f>'Heat Demand Model'!$L$30:$L$41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'Heat Demand Model'!$N$30:$N$41</c:f>
              <c:numCache>
                <c:formatCode>#,##0</c:formatCode>
                <c:ptCount val="12"/>
                <c:pt idx="0">
                  <c:v>21601.735802955769</c:v>
                </c:pt>
                <c:pt idx="1">
                  <c:v>19758.736848424527</c:v>
                </c:pt>
                <c:pt idx="2">
                  <c:v>17996.962204168467</c:v>
                </c:pt>
                <c:pt idx="3">
                  <c:v>15971.149602997248</c:v>
                </c:pt>
                <c:pt idx="4">
                  <c:v>13788.016345435894</c:v>
                </c:pt>
                <c:pt idx="5">
                  <c:v>9640.478994359175</c:v>
                </c:pt>
                <c:pt idx="6">
                  <c:v>6988.8</c:v>
                </c:pt>
                <c:pt idx="7">
                  <c:v>6988.8</c:v>
                </c:pt>
                <c:pt idx="8">
                  <c:v>10728.371978234236</c:v>
                </c:pt>
                <c:pt idx="9">
                  <c:v>13884.22588454902</c:v>
                </c:pt>
                <c:pt idx="10">
                  <c:v>17213.549866848829</c:v>
                </c:pt>
                <c:pt idx="11">
                  <c:v>21841.733527076169</c:v>
                </c:pt>
              </c:numCache>
            </c:numRef>
          </c:val>
        </c:ser>
        <c:marker val="1"/>
        <c:axId val="34022144"/>
        <c:axId val="34023680"/>
      </c:lineChart>
      <c:catAx>
        <c:axId val="34022144"/>
        <c:scaling>
          <c:orientation val="minMax"/>
        </c:scaling>
        <c:axPos val="b"/>
        <c:numFmt formatCode="General" sourceLinked="1"/>
        <c:tickLblPos val="nextTo"/>
        <c:crossAx val="34023680"/>
        <c:crosses val="autoZero"/>
        <c:auto val="1"/>
        <c:lblAlgn val="ctr"/>
        <c:lblOffset val="100"/>
      </c:catAx>
      <c:valAx>
        <c:axId val="34023680"/>
        <c:scaling>
          <c:orientation val="minMax"/>
        </c:scaling>
        <c:axPos val="l"/>
        <c:majorGridlines/>
        <c:numFmt formatCode="#,##0" sourceLinked="1"/>
        <c:tickLblPos val="nextTo"/>
        <c:crossAx val="34022144"/>
        <c:crosses val="autoZero"/>
        <c:crossBetween val="between"/>
      </c:valAx>
    </c:plotArea>
    <c:plotVisOnly val="1"/>
    <c:dispBlanksAs val="gap"/>
  </c:chart>
  <c:printSettings>
    <c:headerFooter/>
    <c:pageMargins b="0.78740157499999996" l="0.511811024" r="0.511811024" t="0.78740157499999996" header="0.31496062000000025" footer="0.3149606200000002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800" b="1" i="0" u="none" strike="noStrike" baseline="0">
                <a:solidFill>
                  <a:srgbClr val="000000"/>
                </a:solidFill>
                <a:latin typeface="Calibri"/>
                <a:ea typeface="Calibri"/>
                <a:cs typeface="Calibri"/>
              </a:defRPr>
            </a:pPr>
            <a:r>
              <a:rPr lang="en-GB"/>
              <a:t>Average Mean Temperature</a:t>
            </a:r>
          </a:p>
        </c:rich>
      </c:tx>
      <c:layout>
        <c:manualLayout>
          <c:xMode val="edge"/>
          <c:yMode val="edge"/>
          <c:x val="0.20412371134020618"/>
          <c:y val="3.7931185874492991E-2"/>
        </c:manualLayout>
      </c:layout>
    </c:title>
    <c:plotArea>
      <c:layout>
        <c:manualLayout>
          <c:layoutTarget val="inner"/>
          <c:xMode val="edge"/>
          <c:yMode val="edge"/>
          <c:x val="9.0613298337707787E-2"/>
          <c:y val="0.16239610673665789"/>
          <c:w val="0.63053937007874061"/>
          <c:h val="0.53607210557013707"/>
        </c:manualLayout>
      </c:layout>
      <c:lineChart>
        <c:grouping val="standard"/>
        <c:ser>
          <c:idx val="0"/>
          <c:order val="0"/>
          <c:tx>
            <c:v>North Scotland </c:v>
          </c:tx>
          <c:marker>
            <c:symbol val="none"/>
          </c:marker>
          <c:cat>
            <c:strRef>
              <c:f>'Temperature Data Scotland'!$C$28:$C$39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'Temperature Data Scotland'!$D$28:$D$39</c:f>
              <c:numCache>
                <c:formatCode>General</c:formatCode>
                <c:ptCount val="12"/>
                <c:pt idx="0">
                  <c:v>3.3</c:v>
                </c:pt>
                <c:pt idx="1">
                  <c:v>3.15</c:v>
                </c:pt>
                <c:pt idx="2">
                  <c:v>4.34</c:v>
                </c:pt>
                <c:pt idx="3">
                  <c:v>6.3699999999999992</c:v>
                </c:pt>
                <c:pt idx="4">
                  <c:v>8.82</c:v>
                </c:pt>
                <c:pt idx="5">
                  <c:v>11.12</c:v>
                </c:pt>
                <c:pt idx="6">
                  <c:v>12.830000000000002</c:v>
                </c:pt>
                <c:pt idx="7">
                  <c:v>12.810000000000002</c:v>
                </c:pt>
                <c:pt idx="8">
                  <c:v>11.349999999999998</c:v>
                </c:pt>
                <c:pt idx="9">
                  <c:v>8.16</c:v>
                </c:pt>
                <c:pt idx="10">
                  <c:v>5.3900000000000015</c:v>
                </c:pt>
                <c:pt idx="11">
                  <c:v>3.22</c:v>
                </c:pt>
              </c:numCache>
            </c:numRef>
          </c:val>
        </c:ser>
        <c:ser>
          <c:idx val="1"/>
          <c:order val="1"/>
          <c:tx>
            <c:v>East Scotland</c:v>
          </c:tx>
          <c:marker>
            <c:symbol val="none"/>
          </c:marker>
          <c:cat>
            <c:strRef>
              <c:f>'Temperature Data Scotland'!$C$28:$C$39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'Temperature Data Scotland'!$E$28:$E$39</c:f>
              <c:numCache>
                <c:formatCode>General</c:formatCode>
                <c:ptCount val="12"/>
                <c:pt idx="0">
                  <c:v>2.9800000000000004</c:v>
                </c:pt>
                <c:pt idx="1">
                  <c:v>3.06</c:v>
                </c:pt>
                <c:pt idx="2">
                  <c:v>4.379999999999999</c:v>
                </c:pt>
                <c:pt idx="3">
                  <c:v>6.4799999999999986</c:v>
                </c:pt>
                <c:pt idx="4">
                  <c:v>9.2999999999999989</c:v>
                </c:pt>
                <c:pt idx="5">
                  <c:v>11.790000000000003</c:v>
                </c:pt>
                <c:pt idx="6">
                  <c:v>13.569999999999999</c:v>
                </c:pt>
                <c:pt idx="7">
                  <c:v>13.469999999999999</c:v>
                </c:pt>
                <c:pt idx="8">
                  <c:v>11.75</c:v>
                </c:pt>
                <c:pt idx="9">
                  <c:v>8.25</c:v>
                </c:pt>
                <c:pt idx="10">
                  <c:v>5.19</c:v>
                </c:pt>
                <c:pt idx="11">
                  <c:v>3.0699999999999994</c:v>
                </c:pt>
              </c:numCache>
            </c:numRef>
          </c:val>
        </c:ser>
        <c:ser>
          <c:idx val="2"/>
          <c:order val="2"/>
          <c:tx>
            <c:v>West Scotland</c:v>
          </c:tx>
          <c:marker>
            <c:symbol val="none"/>
          </c:marker>
          <c:cat>
            <c:strRef>
              <c:f>'Temperature Data Scotland'!$C$28:$C$39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'Temperature Data Scotland'!$F$28:$F$39</c:f>
              <c:numCache>
                <c:formatCode>General</c:formatCode>
                <c:ptCount val="12"/>
                <c:pt idx="0">
                  <c:v>4</c:v>
                </c:pt>
                <c:pt idx="1">
                  <c:v>4.1000000000000005</c:v>
                </c:pt>
                <c:pt idx="2">
                  <c:v>5.2200000000000006</c:v>
                </c:pt>
                <c:pt idx="3">
                  <c:v>7.18</c:v>
                </c:pt>
                <c:pt idx="4">
                  <c:v>10.030000000000001</c:v>
                </c:pt>
                <c:pt idx="5">
                  <c:v>12.27</c:v>
                </c:pt>
                <c:pt idx="6">
                  <c:v>13.9</c:v>
                </c:pt>
                <c:pt idx="7">
                  <c:v>13.9</c:v>
                </c:pt>
                <c:pt idx="8">
                  <c:v>12.309999999999999</c:v>
                </c:pt>
                <c:pt idx="9">
                  <c:v>9.0399999999999974</c:v>
                </c:pt>
                <c:pt idx="10">
                  <c:v>6.24</c:v>
                </c:pt>
                <c:pt idx="11">
                  <c:v>3.9899999999999998</c:v>
                </c:pt>
              </c:numCache>
            </c:numRef>
          </c:val>
        </c:ser>
        <c:marker val="1"/>
        <c:axId val="36654080"/>
        <c:axId val="36680448"/>
      </c:lineChart>
      <c:catAx>
        <c:axId val="36654080"/>
        <c:scaling>
          <c:orientation val="minMax"/>
        </c:scaling>
        <c:axPos val="b"/>
        <c:numFmt formatCode="General" sourceLinked="1"/>
        <c:maj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36680448"/>
        <c:crosses val="autoZero"/>
        <c:auto val="1"/>
        <c:lblAlgn val="ctr"/>
        <c:lblOffset val="100"/>
      </c:catAx>
      <c:valAx>
        <c:axId val="36680448"/>
        <c:scaling>
          <c:orientation val="minMax"/>
        </c:scaling>
        <c:axPos val="l"/>
        <c:majorGridlines/>
        <c:title>
          <c:tx>
            <c:rich>
              <a:bodyPr/>
              <a:lstStyle/>
              <a:p>
                <a:pPr>
                  <a:defRPr sz="1000" b="1" i="0" u="none" strike="noStrike" baseline="0">
                    <a:solidFill>
                      <a:srgbClr val="000000"/>
                    </a:solidFill>
                    <a:latin typeface="Calibri"/>
                    <a:ea typeface="Calibri"/>
                    <a:cs typeface="Calibri"/>
                  </a:defRPr>
                </a:pPr>
                <a:r>
                  <a:rPr lang="en-GB"/>
                  <a:t>C</a:t>
                </a:r>
              </a:p>
            </c:rich>
          </c:tx>
          <c:layout>
            <c:manualLayout>
              <c:xMode val="edge"/>
              <c:yMode val="edge"/>
              <c:x val="3.0555510458099969E-2"/>
              <c:y val="7.3267859699355758E-2"/>
            </c:manualLayout>
          </c:layout>
        </c:title>
        <c:numFmt formatCode="General" sourceLinked="1"/>
        <c:maj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654080"/>
        <c:crosses val="autoZero"/>
        <c:crossBetween val="between"/>
      </c:valAx>
    </c:plotArea>
    <c:legend>
      <c:legendPos val="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400"/>
              <a:t>Fuel Cost in GBP per kWh</a:t>
            </a:r>
          </a:p>
        </c:rich>
      </c:tx>
      <c:layout>
        <c:manualLayout>
          <c:xMode val="edge"/>
          <c:yMode val="edge"/>
          <c:x val="0.20738573132903843"/>
          <c:y val="4.2253247755795233E-2"/>
        </c:manualLayout>
      </c:layout>
      <c:spPr>
        <a:noFill/>
        <a:ln w="25400">
          <a:noFill/>
        </a:ln>
      </c:spPr>
    </c:title>
    <c:plotArea>
      <c:layout>
        <c:manualLayout>
          <c:layoutTarget val="inner"/>
          <c:xMode val="edge"/>
          <c:yMode val="edge"/>
          <c:x val="5.4545454545454522E-2"/>
          <c:y val="0.43644067796610192"/>
          <c:w val="0.89090909090909121"/>
          <c:h val="0.44067796610169491"/>
        </c:manualLayout>
      </c:layout>
      <c:barChart>
        <c:barDir val="col"/>
        <c:grouping val="clustered"/>
        <c:ser>
          <c:idx val="0"/>
          <c:order val="0"/>
          <c:tx>
            <c:strRef>
              <c:f>Woodchip!$C$8</c:f>
              <c:strCache>
                <c:ptCount val="1"/>
                <c:pt idx="0">
                  <c:v>Woodchip1</c:v>
                </c:pt>
              </c:strCache>
            </c:strRef>
          </c:tx>
          <c:dLbls>
            <c:spPr>
              <a:noFill/>
              <a:ln w="25400">
                <a:noFill/>
              </a:ln>
            </c:spPr>
            <c:showVal val="1"/>
          </c:dLbls>
          <c:cat>
            <c:numRef>
              <c:f>Woodchip!$T$22</c:f>
              <c:numCache>
                <c:formatCode>General</c:formatCode>
                <c:ptCount val="1"/>
              </c:numCache>
            </c:numRef>
          </c:cat>
          <c:val>
            <c:numRef>
              <c:f>Woodchip!$S$8</c:f>
              <c:numCache>
                <c:formatCode>#,##0.000</c:formatCode>
                <c:ptCount val="1"/>
                <c:pt idx="0">
                  <c:v>1.3102517271500039E-2</c:v>
                </c:pt>
              </c:numCache>
            </c:numRef>
          </c:val>
        </c:ser>
        <c:ser>
          <c:idx val="1"/>
          <c:order val="1"/>
          <c:tx>
            <c:strRef>
              <c:f>Woodchip!$C$10</c:f>
              <c:strCache>
                <c:ptCount val="1"/>
                <c:pt idx="0">
                  <c:v>Woodchip2</c:v>
                </c:pt>
              </c:strCache>
            </c:strRef>
          </c:tx>
          <c:dLbls>
            <c:spPr>
              <a:noFill/>
              <a:ln w="25400">
                <a:noFill/>
              </a:ln>
            </c:spPr>
            <c:showVal val="1"/>
          </c:dLbls>
          <c:cat>
            <c:numRef>
              <c:f>Woodchip!$T$22</c:f>
              <c:numCache>
                <c:formatCode>General</c:formatCode>
                <c:ptCount val="1"/>
              </c:numCache>
            </c:numRef>
          </c:cat>
          <c:val>
            <c:numRef>
              <c:f>Woodchip!$S$10</c:f>
              <c:numCache>
                <c:formatCode>#,##0.000</c:formatCode>
                <c:ptCount val="1"/>
                <c:pt idx="0">
                  <c:v>1.3102517271500039E-2</c:v>
                </c:pt>
              </c:numCache>
            </c:numRef>
          </c:val>
        </c:ser>
        <c:ser>
          <c:idx val="2"/>
          <c:order val="2"/>
          <c:tx>
            <c:strRef>
              <c:f>Woodchip!$C$12</c:f>
              <c:strCache>
                <c:ptCount val="1"/>
                <c:pt idx="0">
                  <c:v>WoodChip3</c:v>
                </c:pt>
              </c:strCache>
            </c:strRef>
          </c:tx>
          <c:dLbls>
            <c:spPr>
              <a:noFill/>
              <a:ln w="25400">
                <a:noFill/>
              </a:ln>
            </c:spPr>
            <c:showVal val="1"/>
          </c:dLbls>
          <c:cat>
            <c:numRef>
              <c:f>Woodchip!$T$22</c:f>
              <c:numCache>
                <c:formatCode>General</c:formatCode>
                <c:ptCount val="1"/>
              </c:numCache>
            </c:numRef>
          </c:cat>
          <c:val>
            <c:numRef>
              <c:f>Woodchip!$S$12</c:f>
              <c:numCache>
                <c:formatCode>#,##0.000</c:formatCode>
                <c:ptCount val="1"/>
                <c:pt idx="0">
                  <c:v>1.3102517271500039E-2</c:v>
                </c:pt>
              </c:numCache>
            </c:numRef>
          </c:val>
        </c:ser>
        <c:dLbls>
          <c:showVal val="1"/>
        </c:dLbls>
        <c:overlap val="-25"/>
        <c:axId val="36521472"/>
        <c:axId val="36523008"/>
      </c:barChart>
      <c:catAx>
        <c:axId val="36521472"/>
        <c:scaling>
          <c:orientation val="minMax"/>
        </c:scaling>
        <c:axPos val="b"/>
        <c:numFmt formatCode="General" sourceLinked="1"/>
        <c:majorTickMark val="none"/>
        <c:tickLblPos val="nextTo"/>
        <c:crossAx val="36523008"/>
        <c:crosses val="autoZero"/>
        <c:auto val="1"/>
        <c:lblAlgn val="ctr"/>
        <c:lblOffset val="100"/>
      </c:catAx>
      <c:valAx>
        <c:axId val="36523008"/>
        <c:scaling>
          <c:orientation val="minMax"/>
        </c:scaling>
        <c:delete val="1"/>
        <c:axPos val="l"/>
        <c:numFmt formatCode="#,##0.000" sourceLinked="1"/>
        <c:tickLblPos val="nextTo"/>
        <c:crossAx val="36521472"/>
        <c:crosses val="autoZero"/>
        <c:crossBetween val="between"/>
      </c:valAx>
    </c:plotArea>
    <c:legend>
      <c:legendPos val="r"/>
      <c:layout>
        <c:manualLayout>
          <c:xMode val="edge"/>
          <c:yMode val="edge"/>
          <c:x val="4.7272345502266756E-2"/>
          <c:y val="0.23305101568186329"/>
          <c:w val="0.89818181818181853"/>
          <c:h val="0.10169522927281165"/>
        </c:manualLayout>
      </c:layout>
    </c:legend>
    <c:plotVisOnly val="1"/>
    <c:dispBlanksAs val="gap"/>
  </c:chart>
  <c:spPr>
    <a:ln>
      <a:noFill/>
    </a:ln>
  </c:spPr>
  <c:printSettings>
    <c:headerFooter/>
    <c:pageMargins b="0.78740157499999996" l="0.511811024" r="0.511811024" t="0.78740157499999996" header="0.31496062000000041" footer="0.3149606200000004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400" b="1" i="0" baseline="0"/>
              <a:t>Fuel Cost in GBP per kWh</a:t>
            </a:r>
            <a:endParaRPr lang="en-GB" sz="1400"/>
          </a:p>
        </c:rich>
      </c:tx>
      <c:layout>
        <c:manualLayout>
          <c:xMode val="edge"/>
          <c:yMode val="edge"/>
          <c:x val="0.16612357771632433"/>
          <c:y val="4.0000000000000022E-2"/>
        </c:manualLayout>
      </c:layout>
      <c:spPr>
        <a:noFill/>
        <a:ln w="25400">
          <a:noFill/>
        </a:ln>
      </c:spPr>
    </c:title>
    <c:plotArea>
      <c:layout>
        <c:manualLayout>
          <c:layoutTarget val="inner"/>
          <c:xMode val="edge"/>
          <c:yMode val="edge"/>
          <c:x val="3.2171581769436998E-2"/>
          <c:y val="0.21228200842277248"/>
          <c:w val="0.73866120622321718"/>
          <c:h val="0.56677491369085475"/>
        </c:manualLayout>
      </c:layout>
      <c:barChart>
        <c:barDir val="col"/>
        <c:grouping val="clustered"/>
        <c:ser>
          <c:idx val="0"/>
          <c:order val="0"/>
          <c:tx>
            <c:strRef>
              <c:f>Pellet!$C$8</c:f>
              <c:strCache>
                <c:ptCount val="1"/>
                <c:pt idx="0">
                  <c:v>Pellet1</c:v>
                </c:pt>
              </c:strCache>
            </c:strRef>
          </c:tx>
          <c:dLbls>
            <c:spPr>
              <a:noFill/>
              <a:ln w="25400">
                <a:noFill/>
              </a:ln>
            </c:spPr>
            <c:txPr>
              <a:bodyPr/>
              <a:lstStyle/>
              <a:p>
                <a:pPr>
                  <a:defRPr sz="800"/>
                </a:pPr>
                <a:endParaRPr lang="en-US"/>
              </a:p>
            </c:txPr>
            <c:showVal val="1"/>
          </c:dLbls>
          <c:cat>
            <c:numRef>
              <c:f>Pellet!$B$7</c:f>
              <c:numCache>
                <c:formatCode>General</c:formatCode>
                <c:ptCount val="1"/>
              </c:numCache>
            </c:numRef>
          </c:cat>
          <c:val>
            <c:numRef>
              <c:f>Pellet!$Q$8</c:f>
              <c:numCache>
                <c:formatCode>0.000</c:formatCode>
                <c:ptCount val="1"/>
                <c:pt idx="0">
                  <c:v>2.6357584563917145E-2</c:v>
                </c:pt>
              </c:numCache>
            </c:numRef>
          </c:val>
        </c:ser>
        <c:ser>
          <c:idx val="1"/>
          <c:order val="1"/>
          <c:tx>
            <c:strRef>
              <c:f>Pellet!$C$10</c:f>
              <c:strCache>
                <c:ptCount val="1"/>
                <c:pt idx="0">
                  <c:v>Pellet2</c:v>
                </c:pt>
              </c:strCache>
            </c:strRef>
          </c:tx>
          <c:dLbls>
            <c:spPr>
              <a:noFill/>
              <a:ln w="25400">
                <a:noFill/>
              </a:ln>
            </c:spPr>
            <c:txPr>
              <a:bodyPr/>
              <a:lstStyle/>
              <a:p>
                <a:pPr>
                  <a:defRPr sz="800"/>
                </a:pPr>
                <a:endParaRPr lang="en-US"/>
              </a:p>
            </c:txPr>
            <c:showVal val="1"/>
          </c:dLbls>
          <c:cat>
            <c:numRef>
              <c:f>Pellet!$B$7</c:f>
              <c:numCache>
                <c:formatCode>General</c:formatCode>
                <c:ptCount val="1"/>
              </c:numCache>
            </c:numRef>
          </c:cat>
          <c:val>
            <c:numRef>
              <c:f>Pellet!$Q$10</c:f>
              <c:numCache>
                <c:formatCode>0.000</c:formatCode>
                <c:ptCount val="1"/>
                <c:pt idx="0">
                  <c:v>2.6357584563917145E-2</c:v>
                </c:pt>
              </c:numCache>
            </c:numRef>
          </c:val>
        </c:ser>
        <c:ser>
          <c:idx val="2"/>
          <c:order val="2"/>
          <c:tx>
            <c:strRef>
              <c:f>Pellet!$C$12</c:f>
              <c:strCache>
                <c:ptCount val="1"/>
                <c:pt idx="0">
                  <c:v>Pellet3</c:v>
                </c:pt>
              </c:strCache>
            </c:strRef>
          </c:tx>
          <c:dLbls>
            <c:spPr>
              <a:noFill/>
              <a:ln w="25400">
                <a:noFill/>
              </a:ln>
            </c:spPr>
            <c:txPr>
              <a:bodyPr/>
              <a:lstStyle/>
              <a:p>
                <a:pPr>
                  <a:defRPr sz="800"/>
                </a:pPr>
                <a:endParaRPr lang="en-US"/>
              </a:p>
            </c:txPr>
            <c:showVal val="1"/>
          </c:dLbls>
          <c:cat>
            <c:numRef>
              <c:f>Pellet!$B$7</c:f>
              <c:numCache>
                <c:formatCode>General</c:formatCode>
                <c:ptCount val="1"/>
              </c:numCache>
            </c:numRef>
          </c:cat>
          <c:val>
            <c:numRef>
              <c:f>Pellet!$Q$12</c:f>
              <c:numCache>
                <c:formatCode>0.000</c:formatCode>
                <c:ptCount val="1"/>
                <c:pt idx="0">
                  <c:v>2.6357584563917145E-2</c:v>
                </c:pt>
              </c:numCache>
            </c:numRef>
          </c:val>
        </c:ser>
        <c:dLbls>
          <c:showVal val="1"/>
        </c:dLbls>
        <c:overlap val="-25"/>
        <c:axId val="36774272"/>
        <c:axId val="36775808"/>
      </c:barChart>
      <c:catAx>
        <c:axId val="36774272"/>
        <c:scaling>
          <c:orientation val="minMax"/>
        </c:scaling>
        <c:axPos val="b"/>
        <c:numFmt formatCode="General" sourceLinked="1"/>
        <c:majorTickMark val="none"/>
        <c:tickLblPos val="nextTo"/>
        <c:crossAx val="36775808"/>
        <c:crosses val="autoZero"/>
        <c:auto val="1"/>
        <c:lblAlgn val="ctr"/>
        <c:lblOffset val="100"/>
      </c:catAx>
      <c:valAx>
        <c:axId val="36775808"/>
        <c:scaling>
          <c:orientation val="minMax"/>
        </c:scaling>
        <c:delete val="1"/>
        <c:axPos val="l"/>
        <c:numFmt formatCode="0.000" sourceLinked="1"/>
        <c:tickLblPos val="nextTo"/>
        <c:crossAx val="36774272"/>
        <c:crosses val="autoZero"/>
        <c:crossBetween val="between"/>
      </c:valAx>
    </c:plotArea>
    <c:legend>
      <c:legendPos val="r"/>
      <c:layout>
        <c:manualLayout>
          <c:xMode val="edge"/>
          <c:yMode val="edge"/>
          <c:x val="0.10998599705867866"/>
          <c:y val="0.88118073612891401"/>
          <c:w val="0.63175670065370571"/>
          <c:h val="9.638576573277155E-2"/>
        </c:manualLayout>
      </c:layout>
    </c:legend>
    <c:plotVisOnly val="1"/>
    <c:dispBlanksAs val="gap"/>
  </c:chart>
  <c:spPr>
    <a:ln>
      <a:noFill/>
    </a:ln>
  </c:spPr>
  <c:printSettings>
    <c:headerFooter/>
    <c:pageMargins b="0.78740157499999996" l="0.511811024" r="0.511811024" t="0.78740157499999996" header="0.31496062000000064" footer="0.3149606200000006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plotArea>
      <c:layout/>
      <c:lineChart>
        <c:grouping val="standard"/>
        <c:ser>
          <c:idx val="0"/>
          <c:order val="0"/>
          <c:tx>
            <c:strRef>
              <c:f>'Boiler '!$D$24</c:f>
              <c:strCache>
                <c:ptCount val="1"/>
                <c:pt idx="0">
                  <c:v>Load Profile</c:v>
                </c:pt>
              </c:strCache>
            </c:strRef>
          </c:tx>
          <c:marker>
            <c:symbol val="none"/>
          </c:marker>
          <c:cat>
            <c:strRef>
              <c:f>'Boiler '!$C$25:$C$36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'Heat Demand Model'!$M$30:$M$41</c:f>
              <c:numCache>
                <c:formatCode>#,##0</c:formatCode>
                <c:ptCount val="12"/>
                <c:pt idx="0">
                  <c:v>32.567257099999999</c:v>
                </c:pt>
                <c:pt idx="1">
                  <c:v>32.459788700000004</c:v>
                </c:pt>
                <c:pt idx="2">
                  <c:v>30.686560100000005</c:v>
                </c:pt>
                <c:pt idx="3">
                  <c:v>27.865514600000008</c:v>
                </c:pt>
                <c:pt idx="4">
                  <c:v>24.077253500000001</c:v>
                </c:pt>
                <c:pt idx="5">
                  <c:v>20.73229955</c:v>
                </c:pt>
                <c:pt idx="6">
                  <c:v>18.341127650000004</c:v>
                </c:pt>
                <c:pt idx="7">
                  <c:v>18.475463150000003</c:v>
                </c:pt>
                <c:pt idx="8">
                  <c:v>20.786033750000001</c:v>
                </c:pt>
                <c:pt idx="9">
                  <c:v>25.487776250000003</c:v>
                </c:pt>
                <c:pt idx="10">
                  <c:v>29.598442549999998</c:v>
                </c:pt>
                <c:pt idx="11">
                  <c:v>32.446355149999995</c:v>
                </c:pt>
              </c:numCache>
            </c:numRef>
          </c:val>
        </c:ser>
        <c:ser>
          <c:idx val="1"/>
          <c:order val="1"/>
          <c:tx>
            <c:strRef>
              <c:f>'Boiler '!$J$90</c:f>
              <c:strCache>
                <c:ptCount val="1"/>
                <c:pt idx="0">
                  <c:v>Boiler Cap.</c:v>
                </c:pt>
              </c:strCache>
            </c:strRef>
          </c:tx>
          <c:marker>
            <c:symbol val="none"/>
          </c:marker>
          <c:cat>
            <c:strRef>
              <c:f>'Boiler '!$C$25:$C$36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'Boiler '!$J$91:$J$102</c:f>
            </c:numRef>
          </c:val>
        </c:ser>
        <c:ser>
          <c:idx val="2"/>
          <c:order val="2"/>
          <c:tx>
            <c:strRef>
              <c:f>'Boiler '!$C$13</c:f>
              <c:strCache>
                <c:ptCount val="1"/>
                <c:pt idx="0">
                  <c:v>Minimum power output</c:v>
                </c:pt>
              </c:strCache>
            </c:strRef>
          </c:tx>
          <c:marker>
            <c:symbol val="none"/>
          </c:marker>
          <c:cat>
            <c:strRef>
              <c:f>'Boiler '!$C$25:$C$36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'Boiler '!$C$116:$C$127</c:f>
            </c:numRef>
          </c:val>
        </c:ser>
        <c:ser>
          <c:idx val="3"/>
          <c:order val="3"/>
          <c:tx>
            <c:v>Mean Load</c:v>
          </c:tx>
          <c:marker>
            <c:symbol val="none"/>
          </c:marker>
          <c:cat>
            <c:strRef>
              <c:f>'Boiler '!$C$25:$C$36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'Boiler '!$G$91:$G$102</c:f>
            </c:numRef>
          </c:val>
        </c:ser>
        <c:ser>
          <c:idx val="4"/>
          <c:order val="4"/>
          <c:tx>
            <c:strRef>
              <c:f>'Boiler '!$J$107</c:f>
              <c:strCache>
                <c:ptCount val="1"/>
                <c:pt idx="0">
                  <c:v> </c:v>
                </c:pt>
              </c:strCache>
            </c:strRef>
          </c:tx>
          <c:marker>
            <c:symbol val="none"/>
          </c:marker>
          <c:val>
            <c:numRef>
              <c:f>'Boiler '!$J$108:$J$119</c:f>
            </c:numRef>
          </c:val>
        </c:ser>
        <c:marker val="1"/>
        <c:axId val="38159488"/>
        <c:axId val="38161024"/>
      </c:lineChart>
      <c:catAx>
        <c:axId val="38159488"/>
        <c:scaling>
          <c:orientation val="minMax"/>
        </c:scaling>
        <c:axPos val="b"/>
        <c:numFmt formatCode="General" sourceLinked="1"/>
        <c:majorTickMark val="none"/>
        <c:tickLblPos val="nextTo"/>
        <c:crossAx val="38161024"/>
        <c:crosses val="autoZero"/>
        <c:auto val="1"/>
        <c:lblAlgn val="ctr"/>
        <c:lblOffset val="100"/>
      </c:catAx>
      <c:valAx>
        <c:axId val="38161024"/>
        <c:scaling>
          <c:orientation val="minMax"/>
        </c:scaling>
        <c:axPos val="l"/>
        <c:majorGridlines/>
        <c:title>
          <c:tx>
            <c:rich>
              <a:bodyPr/>
              <a:lstStyle/>
              <a:p>
                <a:pPr>
                  <a:defRPr/>
                </a:pPr>
                <a:r>
                  <a:rPr lang="en-GB" sz="1200"/>
                  <a:t>Power</a:t>
                </a:r>
                <a:r>
                  <a:rPr lang="en-GB" sz="1200" baseline="0"/>
                  <a:t> kW</a:t>
                </a:r>
                <a:endParaRPr lang="en-GB" sz="1200"/>
              </a:p>
            </c:rich>
          </c:tx>
        </c:title>
        <c:numFmt formatCode="#,##0" sourceLinked="1"/>
        <c:majorTickMark val="none"/>
        <c:tickLblPos val="nextTo"/>
        <c:crossAx val="38159488"/>
        <c:crosses val="autoZero"/>
        <c:crossBetween val="between"/>
      </c:valAx>
    </c:plotArea>
    <c:legend>
      <c:legendPos val="r"/>
    </c:legend>
    <c:plotVisOnly val="1"/>
    <c:dispBlanksAs val="gap"/>
  </c:chart>
  <c:printSettings>
    <c:headerFooter/>
    <c:pageMargins b="0.78740157499999996" l="0.511811024" r="0.511811024" t="0.78740157499999996" header="0.31496062000000052" footer="0.3149606200000005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baseline="0"/>
              <a:t>Total Fuel Cost - GBP</a:t>
            </a:r>
          </a:p>
        </c:rich>
      </c:tx>
      <c:layout>
        <c:manualLayout>
          <c:xMode val="edge"/>
          <c:yMode val="edge"/>
          <c:x val="0.27526892836426098"/>
          <c:y val="4.1095418628227028E-2"/>
        </c:manualLayout>
      </c:layout>
      <c:spPr>
        <a:noFill/>
        <a:ln w="25400">
          <a:noFill/>
        </a:ln>
      </c:spPr>
    </c:title>
    <c:plotArea>
      <c:layout/>
      <c:barChart>
        <c:barDir val="col"/>
        <c:grouping val="clustered"/>
        <c:ser>
          <c:idx val="0"/>
          <c:order val="0"/>
          <c:tx>
            <c:strRef>
              <c:f>'Fuel Comparator and Consumption'!$D$42</c:f>
              <c:strCache>
                <c:ptCount val="1"/>
                <c:pt idx="0">
                  <c:v>Woodchip1</c:v>
                </c:pt>
              </c:strCache>
            </c:strRef>
          </c:tx>
          <c:cat>
            <c:numRef>
              <c:f>'Fuel Comparator and Consumption'!$B$37</c:f>
              <c:numCache>
                <c:formatCode>General</c:formatCode>
                <c:ptCount val="1"/>
              </c:numCache>
            </c:numRef>
          </c:cat>
          <c:val>
            <c:numRef>
              <c:f>'Fuel Comparator and Consumption'!$F$56:$G$56</c:f>
              <c:numCache>
                <c:formatCode>0</c:formatCode>
                <c:ptCount val="2"/>
                <c:pt idx="0">
                  <c:v>2889.1470037007798</c:v>
                </c:pt>
              </c:numCache>
            </c:numRef>
          </c:val>
        </c:ser>
        <c:ser>
          <c:idx val="1"/>
          <c:order val="1"/>
          <c:tx>
            <c:strRef>
              <c:f>'Fuel Comparator and Consumption'!$H$42</c:f>
              <c:strCache>
                <c:ptCount val="1"/>
                <c:pt idx="0">
                  <c:v>Woodchip2</c:v>
                </c:pt>
              </c:strCache>
            </c:strRef>
          </c:tx>
          <c:cat>
            <c:numRef>
              <c:f>'Fuel Comparator and Consumption'!$B$37</c:f>
              <c:numCache>
                <c:formatCode>General</c:formatCode>
                <c:ptCount val="1"/>
              </c:numCache>
            </c:numRef>
          </c:cat>
          <c:val>
            <c:numRef>
              <c:f>'Fuel Comparator and Consumption'!$J$56:$K$56</c:f>
              <c:numCache>
                <c:formatCode>#,##0</c:formatCode>
                <c:ptCount val="2"/>
                <c:pt idx="0">
                  <c:v>2889.1470037007798</c:v>
                </c:pt>
              </c:numCache>
            </c:numRef>
          </c:val>
        </c:ser>
        <c:ser>
          <c:idx val="2"/>
          <c:order val="2"/>
          <c:tx>
            <c:strRef>
              <c:f>'Fuel Comparator and Consumption'!$L$42</c:f>
              <c:strCache>
                <c:ptCount val="1"/>
                <c:pt idx="0">
                  <c:v>WoodChip3</c:v>
                </c:pt>
              </c:strCache>
            </c:strRef>
          </c:tx>
          <c:cat>
            <c:numRef>
              <c:f>'Fuel Comparator and Consumption'!$B$37</c:f>
              <c:numCache>
                <c:formatCode>General</c:formatCode>
                <c:ptCount val="1"/>
              </c:numCache>
            </c:numRef>
          </c:cat>
          <c:val>
            <c:numRef>
              <c:f>'Fuel Comparator and Consumption'!$N$56:$O$56</c:f>
              <c:numCache>
                <c:formatCode>0</c:formatCode>
                <c:ptCount val="2"/>
                <c:pt idx="0">
                  <c:v>2889.1470037007798</c:v>
                </c:pt>
              </c:numCache>
            </c:numRef>
          </c:val>
        </c:ser>
        <c:gapWidth val="75"/>
        <c:overlap val="-25"/>
        <c:axId val="37029760"/>
        <c:axId val="37031296"/>
      </c:barChart>
      <c:catAx>
        <c:axId val="37029760"/>
        <c:scaling>
          <c:orientation val="minMax"/>
        </c:scaling>
        <c:axPos val="b"/>
        <c:numFmt formatCode="General" sourceLinked="1"/>
        <c:majorTickMark val="none"/>
        <c:tickLblPos val="nextTo"/>
        <c:crossAx val="37031296"/>
        <c:crosses val="autoZero"/>
        <c:auto val="1"/>
        <c:lblAlgn val="ctr"/>
        <c:lblOffset val="100"/>
      </c:catAx>
      <c:valAx>
        <c:axId val="37031296"/>
        <c:scaling>
          <c:orientation val="minMax"/>
        </c:scaling>
        <c:axPos val="l"/>
        <c:majorGridlines/>
        <c:numFmt formatCode="0" sourceLinked="1"/>
        <c:majorTickMark val="none"/>
        <c:tickLblPos val="nextTo"/>
        <c:spPr>
          <a:ln w="9525">
            <a:noFill/>
          </a:ln>
        </c:spPr>
        <c:crossAx val="37029760"/>
        <c:crosses val="autoZero"/>
        <c:crossBetween val="between"/>
      </c:valAx>
      <c:spPr>
        <a:ln w="25400">
          <a:noFill/>
        </a:ln>
      </c:spPr>
    </c:plotArea>
    <c:legend>
      <c:legendPos val="r"/>
      <c:layout>
        <c:manualLayout>
          <c:xMode val="edge"/>
          <c:yMode val="edge"/>
          <c:wMode val="edge"/>
          <c:hMode val="edge"/>
          <c:x val="0.17441904007075709"/>
          <c:y val="0.8316343790359535"/>
          <c:w val="0.82325723507756277"/>
          <c:h val="0.95408351733811092"/>
        </c:manualLayout>
      </c:layout>
    </c:legend>
    <c:plotVisOnly val="1"/>
    <c:dispBlanksAs val="gap"/>
  </c:chart>
  <c:printSettings>
    <c:headerFooter/>
    <c:pageMargins b="0.78740157499999996" l="0.511811024" r="0.511811024" t="0.78740157499999996" header="0.31496062000000064" footer="0.3149606200000006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400"/>
            </a:pPr>
            <a:r>
              <a:rPr lang="en-US"/>
              <a:t>Monthly    Consumption - tonnes </a:t>
            </a:r>
          </a:p>
        </c:rich>
      </c:tx>
    </c:title>
    <c:plotArea>
      <c:layout/>
      <c:barChart>
        <c:barDir val="col"/>
        <c:grouping val="clustered"/>
        <c:ser>
          <c:idx val="0"/>
          <c:order val="0"/>
          <c:tx>
            <c:strRef>
              <c:f>'Fuel Comparator and Consumption'!$P$50:$T$50</c:f>
              <c:strCache>
                <c:ptCount val="1"/>
                <c:pt idx="0">
                  <c:v>Monthly   Wood Consumption - tonnes Woodchip2</c:v>
                </c:pt>
              </c:strCache>
            </c:strRef>
          </c:tx>
          <c:dLbls>
            <c:showVal val="1"/>
          </c:dLbls>
          <c:cat>
            <c:strRef>
              <c:f>'Fuel Comparator and Consumption'!$C$44:$C$55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'Fuel Comparator and Consumption'!$AC$41:$AC$52</c:f>
            </c:numRef>
          </c:val>
        </c:ser>
        <c:dLbls>
          <c:showVal val="1"/>
        </c:dLbls>
        <c:overlap val="-25"/>
        <c:axId val="37055872"/>
        <c:axId val="37061760"/>
      </c:barChart>
      <c:catAx>
        <c:axId val="37055872"/>
        <c:scaling>
          <c:orientation val="minMax"/>
        </c:scaling>
        <c:axPos val="b"/>
        <c:numFmt formatCode="General" sourceLinked="1"/>
        <c:majorTickMark val="none"/>
        <c:tickLblPos val="nextTo"/>
        <c:crossAx val="37061760"/>
        <c:crosses val="autoZero"/>
        <c:auto val="1"/>
        <c:lblAlgn val="ctr"/>
        <c:lblOffset val="100"/>
      </c:catAx>
      <c:valAx>
        <c:axId val="37061760"/>
        <c:scaling>
          <c:orientation val="minMax"/>
        </c:scaling>
        <c:delete val="1"/>
        <c:axPos val="l"/>
        <c:tickLblPos val="nextTo"/>
        <c:crossAx val="37055872"/>
        <c:crosses val="autoZero"/>
        <c:crossBetween val="between"/>
      </c:valAx>
    </c:plotArea>
    <c:plotVisOnly val="1"/>
    <c:dispBlanksAs val="gap"/>
  </c:chart>
  <c:printSettings>
    <c:headerFooter/>
    <c:pageMargins b="0.78740157499999996" l="0.511811024" r="0.511811024" t="0.78740157499999996" header="0.31496062000000052" footer="0.3149606200000005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baseline="0"/>
              <a:t>Total Fuel Cost - GBP</a:t>
            </a:r>
          </a:p>
        </c:rich>
      </c:tx>
      <c:layout>
        <c:manualLayout>
          <c:xMode val="edge"/>
          <c:yMode val="edge"/>
          <c:x val="0.27526879599340293"/>
          <c:y val="4.6152901100128478E-2"/>
        </c:manualLayout>
      </c:layout>
      <c:spPr>
        <a:noFill/>
        <a:ln w="25400">
          <a:noFill/>
        </a:ln>
      </c:spPr>
    </c:title>
    <c:plotArea>
      <c:layout/>
      <c:barChart>
        <c:barDir val="col"/>
        <c:grouping val="clustered"/>
        <c:ser>
          <c:idx val="0"/>
          <c:order val="0"/>
          <c:tx>
            <c:strRef>
              <c:f>'Fuel Comparator and Consumption'!$D$76:$G$76</c:f>
              <c:strCache>
                <c:ptCount val="1"/>
                <c:pt idx="0">
                  <c:v>Pellet1</c:v>
                </c:pt>
              </c:strCache>
            </c:strRef>
          </c:tx>
          <c:cat>
            <c:numRef>
              <c:f>'Fuel Comparator and Consumption'!$B$37</c:f>
              <c:numCache>
                <c:formatCode>General</c:formatCode>
                <c:ptCount val="1"/>
              </c:numCache>
            </c:numRef>
          </c:cat>
          <c:val>
            <c:numRef>
              <c:f>'Fuel Comparator and Consumption'!$F$90:$G$90</c:f>
              <c:numCache>
                <c:formatCode>#,##0.00</c:formatCode>
                <c:ptCount val="2"/>
                <c:pt idx="0">
                  <c:v>5811.9317753750256</c:v>
                </c:pt>
              </c:numCache>
            </c:numRef>
          </c:val>
        </c:ser>
        <c:ser>
          <c:idx val="1"/>
          <c:order val="1"/>
          <c:tx>
            <c:strRef>
              <c:f>'Fuel Comparator and Consumption'!$H$76:$K$76</c:f>
              <c:strCache>
                <c:ptCount val="1"/>
                <c:pt idx="0">
                  <c:v>Pellet2</c:v>
                </c:pt>
              </c:strCache>
            </c:strRef>
          </c:tx>
          <c:cat>
            <c:numRef>
              <c:f>'Fuel Comparator and Consumption'!$B$37</c:f>
              <c:numCache>
                <c:formatCode>General</c:formatCode>
                <c:ptCount val="1"/>
              </c:numCache>
            </c:numRef>
          </c:cat>
          <c:val>
            <c:numRef>
              <c:f>'Fuel Comparator and Consumption'!$J$90:$K$90</c:f>
              <c:numCache>
                <c:formatCode>#,##0.00</c:formatCode>
                <c:ptCount val="2"/>
                <c:pt idx="0">
                  <c:v>5811.9317753750256</c:v>
                </c:pt>
              </c:numCache>
            </c:numRef>
          </c:val>
        </c:ser>
        <c:ser>
          <c:idx val="2"/>
          <c:order val="2"/>
          <c:tx>
            <c:strRef>
              <c:f>'Fuel Comparator and Consumption'!$L$76:$O$76</c:f>
              <c:strCache>
                <c:ptCount val="1"/>
                <c:pt idx="0">
                  <c:v>Pellet3</c:v>
                </c:pt>
              </c:strCache>
            </c:strRef>
          </c:tx>
          <c:cat>
            <c:numRef>
              <c:f>'Fuel Comparator and Consumption'!$B$37</c:f>
              <c:numCache>
                <c:formatCode>General</c:formatCode>
                <c:ptCount val="1"/>
              </c:numCache>
            </c:numRef>
          </c:cat>
          <c:val>
            <c:numRef>
              <c:f>'Fuel Comparator and Consumption'!$N$90:$O$90</c:f>
              <c:numCache>
                <c:formatCode>#,##0.00</c:formatCode>
                <c:ptCount val="2"/>
                <c:pt idx="0">
                  <c:v>5811.9317753750256</c:v>
                </c:pt>
              </c:numCache>
            </c:numRef>
          </c:val>
        </c:ser>
        <c:gapWidth val="75"/>
        <c:overlap val="-25"/>
        <c:axId val="38283136"/>
        <c:axId val="38284672"/>
      </c:barChart>
      <c:catAx>
        <c:axId val="38283136"/>
        <c:scaling>
          <c:orientation val="minMax"/>
        </c:scaling>
        <c:axPos val="b"/>
        <c:numFmt formatCode="General" sourceLinked="1"/>
        <c:majorTickMark val="none"/>
        <c:tickLblPos val="nextTo"/>
        <c:crossAx val="38284672"/>
        <c:crosses val="autoZero"/>
        <c:auto val="1"/>
        <c:lblAlgn val="ctr"/>
        <c:lblOffset val="100"/>
      </c:catAx>
      <c:valAx>
        <c:axId val="38284672"/>
        <c:scaling>
          <c:orientation val="minMax"/>
        </c:scaling>
        <c:axPos val="l"/>
        <c:majorGridlines/>
        <c:numFmt formatCode="#,##0.00" sourceLinked="1"/>
        <c:majorTickMark val="none"/>
        <c:tickLblPos val="nextTo"/>
        <c:spPr>
          <a:ln w="9525">
            <a:noFill/>
          </a:ln>
        </c:spPr>
        <c:crossAx val="38283136"/>
        <c:crosses val="autoZero"/>
        <c:crossBetween val="between"/>
      </c:valAx>
    </c:plotArea>
    <c:legend>
      <c:legendPos val="r"/>
      <c:layout>
        <c:manualLayout>
          <c:xMode val="edge"/>
          <c:yMode val="edge"/>
          <c:wMode val="edge"/>
          <c:hMode val="edge"/>
          <c:x val="0.28604123858212904"/>
          <c:y val="0.82353157982911707"/>
          <c:w val="0.71395876141787074"/>
          <c:h val="0.95187468587703128"/>
        </c:manualLayout>
      </c:layout>
    </c:legend>
    <c:plotVisOnly val="1"/>
    <c:dispBlanksAs val="gap"/>
  </c:chart>
  <c:printSettings>
    <c:headerFooter/>
    <c:pageMargins b="0.78740157499999996" l="0.511811024" r="0.511811024" t="0.78740157499999996" header="0.31496062000000086" footer="0.3149606200000008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4.png"/><Relationship Id="rId4" Type="http://schemas.openxmlformats.org/officeDocument/2006/relationships/image" Target="../media/image18.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4.png"/><Relationship Id="rId1" Type="http://schemas.openxmlformats.org/officeDocument/2006/relationships/hyperlink" Target="http://www.strath.ac.uk/" TargetMode="External"/><Relationship Id="rId4" Type="http://schemas.openxmlformats.org/officeDocument/2006/relationships/image" Target="../media/image20.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4.png"/><Relationship Id="rId1" Type="http://schemas.openxmlformats.org/officeDocument/2006/relationships/hyperlink" Target="http://www.strath.ac.uk/"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2.jpe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hyperlink" Target="http://www.strath.ac.uk/" TargetMode="External"/><Relationship Id="rId6" Type="http://schemas.openxmlformats.org/officeDocument/2006/relationships/image" Target="../media/image6.jpeg"/><Relationship Id="rId5" Type="http://schemas.openxmlformats.org/officeDocument/2006/relationships/image" Target="../media/image5.em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4.png"/><Relationship Id="rId1" Type="http://schemas.openxmlformats.org/officeDocument/2006/relationships/hyperlink" Target="http://www.strath.ac.uk/"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strath.ac.uk/" TargetMode="External"/><Relationship Id="rId1" Type="http://schemas.openxmlformats.org/officeDocument/2006/relationships/chart" Target="../charts/chart3.xml"/><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4.png"/><Relationship Id="rId1" Type="http://schemas.openxmlformats.org/officeDocument/2006/relationships/hyperlink" Target="http://www.strath.ac.uk/"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4.png"/><Relationship Id="rId1" Type="http://schemas.openxmlformats.org/officeDocument/2006/relationships/hyperlink" Target="http://www.strath.ac.uk/" TargetMode="External"/><Relationship Id="rId5" Type="http://schemas.openxmlformats.org/officeDocument/2006/relationships/image" Target="../media/image9.jpeg"/><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hyperlink" Target="http://www.strath.ac.uk/" TargetMode="External"/><Relationship Id="rId2" Type="http://schemas.openxmlformats.org/officeDocument/2006/relationships/chart" Target="../charts/chart5.xml"/><Relationship Id="rId1" Type="http://schemas.openxmlformats.org/officeDocument/2006/relationships/image" Target="../media/image11.jpeg"/><Relationship Id="rId5" Type="http://schemas.openxmlformats.org/officeDocument/2006/relationships/image" Target="../media/image12.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4.png"/><Relationship Id="rId1" Type="http://schemas.openxmlformats.org/officeDocument/2006/relationships/hyperlink" Target="http://www.strath.ac.uk/" TargetMode="External"/><Relationship Id="rId4" Type="http://schemas.openxmlformats.org/officeDocument/2006/relationships/image" Target="../media/image9.jpeg"/></Relationships>
</file>

<file path=xl/drawings/_rels/drawing9.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7.xml"/><Relationship Id="rId7" Type="http://schemas.openxmlformats.org/officeDocument/2006/relationships/image" Target="../media/image13.jpeg"/><Relationship Id="rId2" Type="http://schemas.openxmlformats.org/officeDocument/2006/relationships/image" Target="../media/image4.png"/><Relationship Id="rId1" Type="http://schemas.openxmlformats.org/officeDocument/2006/relationships/hyperlink" Target="http://www.strath.ac.uk/" TargetMode="External"/><Relationship Id="rId6" Type="http://schemas.openxmlformats.org/officeDocument/2006/relationships/chart" Target="../charts/chart10.xml"/><Relationship Id="rId5" Type="http://schemas.openxmlformats.org/officeDocument/2006/relationships/chart" Target="../charts/chart9.xml"/><Relationship Id="rId10" Type="http://schemas.openxmlformats.org/officeDocument/2006/relationships/image" Target="../media/image15.jpeg"/><Relationship Id="rId4" Type="http://schemas.openxmlformats.org/officeDocument/2006/relationships/chart" Target="../charts/chart8.xml"/><Relationship Id="rId9"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4</xdr:col>
      <xdr:colOff>95250</xdr:colOff>
      <xdr:row>25</xdr:row>
      <xdr:rowOff>314325</xdr:rowOff>
    </xdr:from>
    <xdr:to>
      <xdr:col>5</xdr:col>
      <xdr:colOff>381000</xdr:colOff>
      <xdr:row>29</xdr:row>
      <xdr:rowOff>152400</xdr:rowOff>
    </xdr:to>
    <xdr:pic>
      <xdr:nvPicPr>
        <xdr:cNvPr id="10805297" name="Picture 1" descr="CPp Logo cropped"/>
        <xdr:cNvPicPr>
          <a:picLocks noChangeAspect="1" noChangeArrowheads="1"/>
        </xdr:cNvPicPr>
      </xdr:nvPicPr>
      <xdr:blipFill>
        <a:blip xmlns:r="http://schemas.openxmlformats.org/officeDocument/2006/relationships" r:embed="rId1"/>
        <a:srcRect/>
        <a:stretch>
          <a:fillRect/>
        </a:stretch>
      </xdr:blipFill>
      <xdr:spPr bwMode="auto">
        <a:xfrm>
          <a:off x="1638300" y="7248525"/>
          <a:ext cx="895350" cy="895350"/>
        </a:xfrm>
        <a:prstGeom prst="rect">
          <a:avLst/>
        </a:prstGeom>
        <a:noFill/>
        <a:ln w="9525">
          <a:noFill/>
          <a:miter lim="800000"/>
          <a:headEnd/>
          <a:tailEnd/>
        </a:ln>
      </xdr:spPr>
    </xdr:pic>
    <xdr:clientData/>
  </xdr:twoCellAnchor>
  <xdr:twoCellAnchor editAs="oneCell">
    <xdr:from>
      <xdr:col>3</xdr:col>
      <xdr:colOff>571500</xdr:colOff>
      <xdr:row>20</xdr:row>
      <xdr:rowOff>152400</xdr:rowOff>
    </xdr:from>
    <xdr:to>
      <xdr:col>5</xdr:col>
      <xdr:colOff>495300</xdr:colOff>
      <xdr:row>24</xdr:row>
      <xdr:rowOff>161925</xdr:rowOff>
    </xdr:to>
    <xdr:pic>
      <xdr:nvPicPr>
        <xdr:cNvPr id="10805298" name="Picture 2"/>
        <xdr:cNvPicPr>
          <a:picLocks noChangeAspect="1" noChangeArrowheads="1"/>
        </xdr:cNvPicPr>
      </xdr:nvPicPr>
      <xdr:blipFill>
        <a:blip xmlns:r="http://schemas.openxmlformats.org/officeDocument/2006/relationships" r:embed="rId2"/>
        <a:srcRect/>
        <a:stretch>
          <a:fillRect/>
        </a:stretch>
      </xdr:blipFill>
      <xdr:spPr bwMode="auto">
        <a:xfrm>
          <a:off x="1504950" y="6115050"/>
          <a:ext cx="1143000" cy="790575"/>
        </a:xfrm>
        <a:prstGeom prst="rect">
          <a:avLst/>
        </a:prstGeom>
        <a:noFill/>
        <a:ln w="1">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190500</xdr:colOff>
      <xdr:row>1</xdr:row>
      <xdr:rowOff>76200</xdr:rowOff>
    </xdr:from>
    <xdr:to>
      <xdr:col>2</xdr:col>
      <xdr:colOff>771525</xdr:colOff>
      <xdr:row>3</xdr:row>
      <xdr:rowOff>209550</xdr:rowOff>
    </xdr:to>
    <xdr:pic>
      <xdr:nvPicPr>
        <xdr:cNvPr id="11111424" name="Picture 1"/>
        <xdr:cNvPicPr>
          <a:picLocks noChangeAspect="1" noChangeArrowheads="1"/>
        </xdr:cNvPicPr>
      </xdr:nvPicPr>
      <xdr:blipFill>
        <a:blip xmlns:r="http://schemas.openxmlformats.org/officeDocument/2006/relationships" r:embed="rId1"/>
        <a:srcRect/>
        <a:stretch>
          <a:fillRect/>
        </a:stretch>
      </xdr:blipFill>
      <xdr:spPr bwMode="auto">
        <a:xfrm>
          <a:off x="476250" y="266700"/>
          <a:ext cx="1019175" cy="657225"/>
        </a:xfrm>
        <a:prstGeom prst="rect">
          <a:avLst/>
        </a:prstGeom>
        <a:noFill/>
        <a:ln w="9525">
          <a:noFill/>
          <a:round/>
          <a:headEnd/>
          <a:tailEnd/>
        </a:ln>
      </xdr:spPr>
    </xdr:pic>
    <xdr:clientData/>
  </xdr:twoCellAnchor>
  <xdr:twoCellAnchor editAs="oneCell">
    <xdr:from>
      <xdr:col>15</xdr:col>
      <xdr:colOff>66675</xdr:colOff>
      <xdr:row>2</xdr:row>
      <xdr:rowOff>161925</xdr:rowOff>
    </xdr:from>
    <xdr:to>
      <xdr:col>19</xdr:col>
      <xdr:colOff>0</xdr:colOff>
      <xdr:row>5</xdr:row>
      <xdr:rowOff>0</xdr:rowOff>
    </xdr:to>
    <xdr:pic>
      <xdr:nvPicPr>
        <xdr:cNvPr id="11111425" name="Picture 14"/>
        <xdr:cNvPicPr>
          <a:picLocks noChangeAspect="1" noChangeArrowheads="1"/>
        </xdr:cNvPicPr>
      </xdr:nvPicPr>
      <xdr:blipFill>
        <a:blip xmlns:r="http://schemas.openxmlformats.org/officeDocument/2006/relationships" r:embed="rId2"/>
        <a:srcRect/>
        <a:stretch>
          <a:fillRect/>
        </a:stretch>
      </xdr:blipFill>
      <xdr:spPr bwMode="auto">
        <a:xfrm>
          <a:off x="9744075" y="685800"/>
          <a:ext cx="2181225" cy="1019175"/>
        </a:xfrm>
        <a:prstGeom prst="rect">
          <a:avLst/>
        </a:prstGeom>
        <a:noFill/>
        <a:ln w="9525">
          <a:solidFill>
            <a:srgbClr val="000000"/>
          </a:solidFill>
          <a:miter lim="800000"/>
          <a:headEnd/>
          <a:tailEnd/>
        </a:ln>
      </xdr:spPr>
    </xdr:pic>
    <xdr:clientData/>
  </xdr:twoCellAnchor>
  <xdr:twoCellAnchor editAs="oneCell">
    <xdr:from>
      <xdr:col>15</xdr:col>
      <xdr:colOff>66675</xdr:colOff>
      <xdr:row>6</xdr:row>
      <xdr:rowOff>95250</xdr:rowOff>
    </xdr:from>
    <xdr:to>
      <xdr:col>19</xdr:col>
      <xdr:colOff>57150</xdr:colOff>
      <xdr:row>9</xdr:row>
      <xdr:rowOff>0</xdr:rowOff>
    </xdr:to>
    <xdr:pic>
      <xdr:nvPicPr>
        <xdr:cNvPr id="11111426" name="Picture 18"/>
        <xdr:cNvPicPr>
          <a:picLocks noChangeAspect="1" noChangeArrowheads="1"/>
        </xdr:cNvPicPr>
      </xdr:nvPicPr>
      <xdr:blipFill>
        <a:blip xmlns:r="http://schemas.openxmlformats.org/officeDocument/2006/relationships" r:embed="rId3"/>
        <a:srcRect/>
        <a:stretch>
          <a:fillRect/>
        </a:stretch>
      </xdr:blipFill>
      <xdr:spPr bwMode="auto">
        <a:xfrm>
          <a:off x="9744075" y="1990725"/>
          <a:ext cx="2238375" cy="1066800"/>
        </a:xfrm>
        <a:prstGeom prst="rect">
          <a:avLst/>
        </a:prstGeom>
        <a:noFill/>
        <a:ln w="9525">
          <a:solidFill>
            <a:srgbClr val="000000"/>
          </a:solidFill>
          <a:miter lim="800000"/>
          <a:headEnd/>
          <a:tailEnd/>
        </a:ln>
      </xdr:spPr>
    </xdr:pic>
    <xdr:clientData/>
  </xdr:twoCellAnchor>
  <xdr:twoCellAnchor>
    <xdr:from>
      <xdr:col>20</xdr:col>
      <xdr:colOff>361950</xdr:colOff>
      <xdr:row>1</xdr:row>
      <xdr:rowOff>76200</xdr:rowOff>
    </xdr:from>
    <xdr:to>
      <xdr:col>22</xdr:col>
      <xdr:colOff>0</xdr:colOff>
      <xdr:row>3</xdr:row>
      <xdr:rowOff>171450</xdr:rowOff>
    </xdr:to>
    <xdr:pic>
      <xdr:nvPicPr>
        <xdr:cNvPr id="11111427" name="Picture 1" descr="CPp Logo cropped"/>
        <xdr:cNvPicPr>
          <a:picLocks noChangeAspect="1" noChangeArrowheads="1"/>
        </xdr:cNvPicPr>
      </xdr:nvPicPr>
      <xdr:blipFill>
        <a:blip xmlns:r="http://schemas.openxmlformats.org/officeDocument/2006/relationships" r:embed="rId4" cstate="print"/>
        <a:srcRect/>
        <a:stretch>
          <a:fillRect/>
        </a:stretch>
      </xdr:blipFill>
      <xdr:spPr bwMode="auto">
        <a:xfrm>
          <a:off x="12915900" y="266700"/>
          <a:ext cx="628650" cy="619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266700</xdr:colOff>
      <xdr:row>1</xdr:row>
      <xdr:rowOff>85725</xdr:rowOff>
    </xdr:from>
    <xdr:to>
      <xdr:col>4</xdr:col>
      <xdr:colOff>57150</xdr:colOff>
      <xdr:row>4</xdr:row>
      <xdr:rowOff>114300</xdr:rowOff>
    </xdr:to>
    <xdr:pic>
      <xdr:nvPicPr>
        <xdr:cNvPr id="10839104"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4350" y="276225"/>
          <a:ext cx="971550" cy="666750"/>
        </a:xfrm>
        <a:prstGeom prst="rect">
          <a:avLst/>
        </a:prstGeom>
        <a:noFill/>
        <a:ln w="9525">
          <a:noFill/>
          <a:miter lim="800000"/>
          <a:headEnd/>
          <a:tailEnd/>
        </a:ln>
      </xdr:spPr>
    </xdr:pic>
    <xdr:clientData/>
  </xdr:twoCellAnchor>
  <xdr:twoCellAnchor editAs="oneCell">
    <xdr:from>
      <xdr:col>10</xdr:col>
      <xdr:colOff>285750</xdr:colOff>
      <xdr:row>28</xdr:row>
      <xdr:rowOff>123825</xdr:rowOff>
    </xdr:from>
    <xdr:to>
      <xdr:col>12</xdr:col>
      <xdr:colOff>66675</xdr:colOff>
      <xdr:row>33</xdr:row>
      <xdr:rowOff>57150</xdr:rowOff>
    </xdr:to>
    <xdr:pic>
      <xdr:nvPicPr>
        <xdr:cNvPr id="10839105" name="Picture 957"/>
        <xdr:cNvPicPr>
          <a:picLocks noChangeAspect="1" noChangeArrowheads="1"/>
        </xdr:cNvPicPr>
      </xdr:nvPicPr>
      <xdr:blipFill>
        <a:blip xmlns:r="http://schemas.openxmlformats.org/officeDocument/2006/relationships" r:embed="rId3"/>
        <a:srcRect/>
        <a:stretch>
          <a:fillRect/>
        </a:stretch>
      </xdr:blipFill>
      <xdr:spPr bwMode="auto">
        <a:xfrm>
          <a:off x="5381625" y="5591175"/>
          <a:ext cx="1209675" cy="876300"/>
        </a:xfrm>
        <a:prstGeom prst="rect">
          <a:avLst/>
        </a:prstGeom>
        <a:noFill/>
        <a:ln w="9525">
          <a:noFill/>
          <a:miter lim="800000"/>
          <a:headEnd/>
          <a:tailEnd/>
        </a:ln>
      </xdr:spPr>
    </xdr:pic>
    <xdr:clientData/>
  </xdr:twoCellAnchor>
  <xdr:twoCellAnchor>
    <xdr:from>
      <xdr:col>20</xdr:col>
      <xdr:colOff>0</xdr:colOff>
      <xdr:row>1</xdr:row>
      <xdr:rowOff>133350</xdr:rowOff>
    </xdr:from>
    <xdr:to>
      <xdr:col>21</xdr:col>
      <xdr:colOff>19050</xdr:colOff>
      <xdr:row>4</xdr:row>
      <xdr:rowOff>114300</xdr:rowOff>
    </xdr:to>
    <xdr:pic>
      <xdr:nvPicPr>
        <xdr:cNvPr id="10839106" name="Picture 1" descr="CPp Logo cropped"/>
        <xdr:cNvPicPr>
          <a:picLocks noChangeAspect="1" noChangeArrowheads="1"/>
        </xdr:cNvPicPr>
      </xdr:nvPicPr>
      <xdr:blipFill>
        <a:blip xmlns:r="http://schemas.openxmlformats.org/officeDocument/2006/relationships" r:embed="rId4" cstate="print"/>
        <a:srcRect/>
        <a:stretch>
          <a:fillRect/>
        </a:stretch>
      </xdr:blipFill>
      <xdr:spPr bwMode="auto">
        <a:xfrm>
          <a:off x="11458575" y="323850"/>
          <a:ext cx="619125" cy="619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38100</xdr:rowOff>
    </xdr:from>
    <xdr:to>
      <xdr:col>3</xdr:col>
      <xdr:colOff>247650</xdr:colOff>
      <xdr:row>4</xdr:row>
      <xdr:rowOff>19050</xdr:rowOff>
    </xdr:to>
    <xdr:pic>
      <xdr:nvPicPr>
        <xdr:cNvPr id="5559745"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76250" y="228600"/>
          <a:ext cx="857250" cy="609600"/>
        </a:xfrm>
        <a:prstGeom prst="rect">
          <a:avLst/>
        </a:prstGeom>
        <a:noFill/>
        <a:ln w="9525">
          <a:noFill/>
          <a:miter lim="800000"/>
          <a:headEnd/>
          <a:tailEnd/>
        </a:ln>
      </xdr:spPr>
    </xdr:pic>
    <xdr:clientData/>
  </xdr:twoCellAnchor>
  <xdr:twoCellAnchor>
    <xdr:from>
      <xdr:col>18</xdr:col>
      <xdr:colOff>85725</xdr:colOff>
      <xdr:row>1</xdr:row>
      <xdr:rowOff>38100</xdr:rowOff>
    </xdr:from>
    <xdr:to>
      <xdr:col>19</xdr:col>
      <xdr:colOff>0</xdr:colOff>
      <xdr:row>4</xdr:row>
      <xdr:rowOff>28575</xdr:rowOff>
    </xdr:to>
    <xdr:pic>
      <xdr:nvPicPr>
        <xdr:cNvPr id="5559746" name="Picture 1" descr="CPp Logo cropped"/>
        <xdr:cNvPicPr>
          <a:picLocks noChangeAspect="1" noChangeArrowheads="1"/>
        </xdr:cNvPicPr>
      </xdr:nvPicPr>
      <xdr:blipFill>
        <a:blip xmlns:r="http://schemas.openxmlformats.org/officeDocument/2006/relationships" r:embed="rId3" cstate="print"/>
        <a:srcRect/>
        <a:stretch>
          <a:fillRect/>
        </a:stretch>
      </xdr:blipFill>
      <xdr:spPr bwMode="auto">
        <a:xfrm>
          <a:off x="10410825" y="228600"/>
          <a:ext cx="619125" cy="619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4</xdr:row>
      <xdr:rowOff>0</xdr:rowOff>
    </xdr:from>
    <xdr:to>
      <xdr:col>15</xdr:col>
      <xdr:colOff>9525</xdr:colOff>
      <xdr:row>7</xdr:row>
      <xdr:rowOff>19050</xdr:rowOff>
    </xdr:to>
    <xdr:pic>
      <xdr:nvPicPr>
        <xdr:cNvPr id="12391" name="Picture 1" descr="CPp Logo cropped"/>
        <xdr:cNvPicPr>
          <a:picLocks noChangeAspect="1" noChangeArrowheads="1"/>
        </xdr:cNvPicPr>
      </xdr:nvPicPr>
      <xdr:blipFill>
        <a:blip xmlns:r="http://schemas.openxmlformats.org/officeDocument/2006/relationships" r:embed="rId1" cstate="print"/>
        <a:srcRect/>
        <a:stretch>
          <a:fillRect/>
        </a:stretch>
      </xdr:blipFill>
      <xdr:spPr bwMode="auto">
        <a:xfrm>
          <a:off x="9610725" y="857250"/>
          <a:ext cx="619125" cy="6096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19050</xdr:colOff>
      <xdr:row>18</xdr:row>
      <xdr:rowOff>180975</xdr:rowOff>
    </xdr:from>
    <xdr:to>
      <xdr:col>8</xdr:col>
      <xdr:colOff>542925</xdr:colOff>
      <xdr:row>28</xdr:row>
      <xdr:rowOff>123825</xdr:rowOff>
    </xdr:to>
    <xdr:graphicFrame macro="">
      <xdr:nvGraphicFramePr>
        <xdr:cNvPr id="629903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552450</xdr:colOff>
      <xdr:row>1</xdr:row>
      <xdr:rowOff>0</xdr:rowOff>
    </xdr:from>
    <xdr:to>
      <xdr:col>19</xdr:col>
      <xdr:colOff>0</xdr:colOff>
      <xdr:row>4</xdr:row>
      <xdr:rowOff>66675</xdr:rowOff>
    </xdr:to>
    <xdr:pic>
      <xdr:nvPicPr>
        <xdr:cNvPr id="6299035" name="Picture 1" descr="CPp Logo cropped"/>
        <xdr:cNvPicPr>
          <a:picLocks noChangeAspect="1" noChangeArrowheads="1"/>
        </xdr:cNvPicPr>
      </xdr:nvPicPr>
      <xdr:blipFill>
        <a:blip xmlns:r="http://schemas.openxmlformats.org/officeDocument/2006/relationships" r:embed="rId2" cstate="print"/>
        <a:srcRect/>
        <a:stretch>
          <a:fillRect/>
        </a:stretch>
      </xdr:blipFill>
      <xdr:spPr bwMode="auto">
        <a:xfrm>
          <a:off x="10039350" y="114300"/>
          <a:ext cx="790575" cy="771525"/>
        </a:xfrm>
        <a:prstGeom prst="rect">
          <a:avLst/>
        </a:prstGeom>
        <a:noFill/>
        <a:ln w="9525">
          <a:noFill/>
          <a:miter lim="800000"/>
          <a:headEnd/>
          <a:tailEnd/>
        </a:ln>
      </xdr:spPr>
    </xdr:pic>
    <xdr:clientData/>
  </xdr:twoCellAnchor>
  <xdr:twoCellAnchor editAs="oneCell">
    <xdr:from>
      <xdr:col>1</xdr:col>
      <xdr:colOff>0</xdr:colOff>
      <xdr:row>1</xdr:row>
      <xdr:rowOff>0</xdr:rowOff>
    </xdr:from>
    <xdr:to>
      <xdr:col>3</xdr:col>
      <xdr:colOff>276225</xdr:colOff>
      <xdr:row>4</xdr:row>
      <xdr:rowOff>9525</xdr:rowOff>
    </xdr:to>
    <xdr:pic>
      <xdr:nvPicPr>
        <xdr:cNvPr id="6299036" name="Picture 2"/>
        <xdr:cNvPicPr>
          <a:picLocks noChangeAspect="1" noChangeArrowheads="1"/>
        </xdr:cNvPicPr>
      </xdr:nvPicPr>
      <xdr:blipFill>
        <a:blip xmlns:r="http://schemas.openxmlformats.org/officeDocument/2006/relationships" r:embed="rId3"/>
        <a:srcRect/>
        <a:stretch>
          <a:fillRect/>
        </a:stretch>
      </xdr:blipFill>
      <xdr:spPr bwMode="auto">
        <a:xfrm>
          <a:off x="161925" y="114300"/>
          <a:ext cx="1038225" cy="7143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xdr:colOff>
      <xdr:row>1</xdr:row>
      <xdr:rowOff>66675</xdr:rowOff>
    </xdr:from>
    <xdr:to>
      <xdr:col>2</xdr:col>
      <xdr:colOff>1352550</xdr:colOff>
      <xdr:row>5</xdr:row>
      <xdr:rowOff>0</xdr:rowOff>
    </xdr:to>
    <xdr:pic>
      <xdr:nvPicPr>
        <xdr:cNvPr id="11013155"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52450" y="257175"/>
          <a:ext cx="990600" cy="695325"/>
        </a:xfrm>
        <a:prstGeom prst="rect">
          <a:avLst/>
        </a:prstGeom>
        <a:noFill/>
        <a:ln w="9525">
          <a:noFill/>
          <a:miter lim="800000"/>
          <a:headEnd/>
          <a:tailEnd/>
        </a:ln>
      </xdr:spPr>
    </xdr:pic>
    <xdr:clientData/>
  </xdr:twoCellAnchor>
  <xdr:twoCellAnchor>
    <xdr:from>
      <xdr:col>9</xdr:col>
      <xdr:colOff>0</xdr:colOff>
      <xdr:row>45</xdr:row>
      <xdr:rowOff>0</xdr:rowOff>
    </xdr:from>
    <xdr:to>
      <xdr:col>13</xdr:col>
      <xdr:colOff>723900</xdr:colOff>
      <xdr:row>56</xdr:row>
      <xdr:rowOff>9525</xdr:rowOff>
    </xdr:to>
    <xdr:graphicFrame macro="">
      <xdr:nvGraphicFramePr>
        <xdr:cNvPr id="1101315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723900</xdr:colOff>
      <xdr:row>45</xdr:row>
      <xdr:rowOff>0</xdr:rowOff>
    </xdr:from>
    <xdr:to>
      <xdr:col>16</xdr:col>
      <xdr:colOff>523875</xdr:colOff>
      <xdr:row>56</xdr:row>
      <xdr:rowOff>9525</xdr:rowOff>
    </xdr:to>
    <xdr:graphicFrame macro="">
      <xdr:nvGraphicFramePr>
        <xdr:cNvPr id="1101315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39</xdr:col>
      <xdr:colOff>47625</xdr:colOff>
      <xdr:row>22</xdr:row>
      <xdr:rowOff>19050</xdr:rowOff>
    </xdr:from>
    <xdr:to>
      <xdr:col>48</xdr:col>
      <xdr:colOff>333375</xdr:colOff>
      <xdr:row>39</xdr:row>
      <xdr:rowOff>47625</xdr:rowOff>
    </xdr:to>
    <xdr:pic>
      <xdr:nvPicPr>
        <xdr:cNvPr id="11013158" name="Picture 523"/>
        <xdr:cNvPicPr>
          <a:picLocks noChangeAspect="1" noChangeArrowheads="1"/>
        </xdr:cNvPicPr>
      </xdr:nvPicPr>
      <xdr:blipFill>
        <a:blip xmlns:r="http://schemas.openxmlformats.org/officeDocument/2006/relationships" r:embed="rId5"/>
        <a:srcRect/>
        <a:stretch>
          <a:fillRect/>
        </a:stretch>
      </xdr:blipFill>
      <xdr:spPr bwMode="auto">
        <a:xfrm>
          <a:off x="38928675" y="4286250"/>
          <a:ext cx="5772150" cy="3781425"/>
        </a:xfrm>
        <a:prstGeom prst="rect">
          <a:avLst/>
        </a:prstGeom>
        <a:noFill/>
        <a:ln w="9525">
          <a:noFill/>
          <a:miter lim="800000"/>
          <a:headEnd/>
          <a:tailEnd/>
        </a:ln>
      </xdr:spPr>
    </xdr:pic>
    <xdr:clientData/>
  </xdr:twoCellAnchor>
  <xdr:twoCellAnchor>
    <xdr:from>
      <xdr:col>15</xdr:col>
      <xdr:colOff>476250</xdr:colOff>
      <xdr:row>1</xdr:row>
      <xdr:rowOff>85725</xdr:rowOff>
    </xdr:from>
    <xdr:to>
      <xdr:col>15</xdr:col>
      <xdr:colOff>1095375</xdr:colOff>
      <xdr:row>4</xdr:row>
      <xdr:rowOff>133350</xdr:rowOff>
    </xdr:to>
    <xdr:pic>
      <xdr:nvPicPr>
        <xdr:cNvPr id="11013159" name="Picture 1" descr="CPp Logo cropped"/>
        <xdr:cNvPicPr>
          <a:picLocks noChangeAspect="1" noChangeArrowheads="1"/>
        </xdr:cNvPicPr>
      </xdr:nvPicPr>
      <xdr:blipFill>
        <a:blip xmlns:r="http://schemas.openxmlformats.org/officeDocument/2006/relationships" r:embed="rId6" cstate="print"/>
        <a:srcRect/>
        <a:stretch>
          <a:fillRect/>
        </a:stretch>
      </xdr:blipFill>
      <xdr:spPr bwMode="auto">
        <a:xfrm>
          <a:off x="14906625" y="276225"/>
          <a:ext cx="619125" cy="619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xdr:row>
      <xdr:rowOff>19050</xdr:rowOff>
    </xdr:from>
    <xdr:to>
      <xdr:col>2</xdr:col>
      <xdr:colOff>476250</xdr:colOff>
      <xdr:row>4</xdr:row>
      <xdr:rowOff>0</xdr:rowOff>
    </xdr:to>
    <xdr:pic>
      <xdr:nvPicPr>
        <xdr:cNvPr id="7156080"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04850" y="219075"/>
          <a:ext cx="990600" cy="695325"/>
        </a:xfrm>
        <a:prstGeom prst="rect">
          <a:avLst/>
        </a:prstGeom>
        <a:noFill/>
        <a:ln w="9525">
          <a:noFill/>
          <a:miter lim="800000"/>
          <a:headEnd/>
          <a:tailEnd/>
        </a:ln>
      </xdr:spPr>
    </xdr:pic>
    <xdr:clientData/>
  </xdr:twoCellAnchor>
  <xdr:twoCellAnchor>
    <xdr:from>
      <xdr:col>11</xdr:col>
      <xdr:colOff>34739</xdr:colOff>
      <xdr:row>1</xdr:row>
      <xdr:rowOff>130548</xdr:rowOff>
    </xdr:from>
    <xdr:to>
      <xdr:col>12</xdr:col>
      <xdr:colOff>58272</xdr:colOff>
      <xdr:row>4</xdr:row>
      <xdr:rowOff>32497</xdr:rowOff>
    </xdr:to>
    <xdr:pic>
      <xdr:nvPicPr>
        <xdr:cNvPr id="7156081" name="Picture 1" descr="CPp Logo cropped"/>
        <xdr:cNvPicPr>
          <a:picLocks noChangeAspect="1" noChangeArrowheads="1"/>
        </xdr:cNvPicPr>
      </xdr:nvPicPr>
      <xdr:blipFill>
        <a:blip xmlns:r="http://schemas.openxmlformats.org/officeDocument/2006/relationships" r:embed="rId3" cstate="print"/>
        <a:srcRect/>
        <a:stretch>
          <a:fillRect/>
        </a:stretch>
      </xdr:blipFill>
      <xdr:spPr bwMode="auto">
        <a:xfrm>
          <a:off x="11879357" y="332254"/>
          <a:ext cx="628650"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xdr:colOff>
      <xdr:row>25</xdr:row>
      <xdr:rowOff>0</xdr:rowOff>
    </xdr:from>
    <xdr:to>
      <xdr:col>12</xdr:col>
      <xdr:colOff>419100</xdr:colOff>
      <xdr:row>39</xdr:row>
      <xdr:rowOff>66675</xdr:rowOff>
    </xdr:to>
    <xdr:graphicFrame macro="">
      <xdr:nvGraphicFramePr>
        <xdr:cNvPr id="71573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47625</xdr:colOff>
      <xdr:row>1</xdr:row>
      <xdr:rowOff>95250</xdr:rowOff>
    </xdr:from>
    <xdr:to>
      <xdr:col>2</xdr:col>
      <xdr:colOff>704850</xdr:colOff>
      <xdr:row>4</xdr:row>
      <xdr:rowOff>85725</xdr:rowOff>
    </xdr:to>
    <xdr:pic>
      <xdr:nvPicPr>
        <xdr:cNvPr id="7157376" name="Picture 7" descr="university of strathclyde">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276225" y="285750"/>
          <a:ext cx="981075" cy="695325"/>
        </a:xfrm>
        <a:prstGeom prst="rect">
          <a:avLst/>
        </a:prstGeom>
        <a:noFill/>
        <a:ln w="9525">
          <a:noFill/>
          <a:miter lim="800000"/>
          <a:headEnd/>
          <a:tailEnd/>
        </a:ln>
      </xdr:spPr>
    </xdr:pic>
    <xdr:clientData/>
  </xdr:twoCellAnchor>
  <xdr:twoCellAnchor>
    <xdr:from>
      <xdr:col>12</xdr:col>
      <xdr:colOff>542925</xdr:colOff>
      <xdr:row>1</xdr:row>
      <xdr:rowOff>95250</xdr:rowOff>
    </xdr:from>
    <xdr:to>
      <xdr:col>13</xdr:col>
      <xdr:colOff>285750</xdr:colOff>
      <xdr:row>4</xdr:row>
      <xdr:rowOff>9525</xdr:rowOff>
    </xdr:to>
    <xdr:pic>
      <xdr:nvPicPr>
        <xdr:cNvPr id="7157377" name="Picture 1" descr="CPp Logo cropped"/>
        <xdr:cNvPicPr>
          <a:picLocks noChangeAspect="1" noChangeArrowheads="1"/>
        </xdr:cNvPicPr>
      </xdr:nvPicPr>
      <xdr:blipFill>
        <a:blip xmlns:r="http://schemas.openxmlformats.org/officeDocument/2006/relationships" r:embed="rId4" cstate="print"/>
        <a:srcRect/>
        <a:stretch>
          <a:fillRect/>
        </a:stretch>
      </xdr:blipFill>
      <xdr:spPr bwMode="auto">
        <a:xfrm>
          <a:off x="9982200" y="285750"/>
          <a:ext cx="61912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57150</xdr:colOff>
      <xdr:row>1</xdr:row>
      <xdr:rowOff>38100</xdr:rowOff>
    </xdr:from>
    <xdr:to>
      <xdr:col>3</xdr:col>
      <xdr:colOff>1047750</xdr:colOff>
      <xdr:row>3</xdr:row>
      <xdr:rowOff>209550</xdr:rowOff>
    </xdr:to>
    <xdr:pic>
      <xdr:nvPicPr>
        <xdr:cNvPr id="7159115"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666750" y="238125"/>
          <a:ext cx="990600" cy="695325"/>
        </a:xfrm>
        <a:prstGeom prst="rect">
          <a:avLst/>
        </a:prstGeom>
        <a:noFill/>
        <a:ln w="9525">
          <a:noFill/>
          <a:miter lim="800000"/>
          <a:headEnd/>
          <a:tailEnd/>
        </a:ln>
      </xdr:spPr>
    </xdr:pic>
    <xdr:clientData/>
  </xdr:twoCellAnchor>
  <xdr:twoCellAnchor>
    <xdr:from>
      <xdr:col>11</xdr:col>
      <xdr:colOff>247650</xdr:colOff>
      <xdr:row>0</xdr:row>
      <xdr:rowOff>190500</xdr:rowOff>
    </xdr:from>
    <xdr:to>
      <xdr:col>11</xdr:col>
      <xdr:colOff>866775</xdr:colOff>
      <xdr:row>3</xdr:row>
      <xdr:rowOff>85725</xdr:rowOff>
    </xdr:to>
    <xdr:pic>
      <xdr:nvPicPr>
        <xdr:cNvPr id="7159116" name="Picture 1" descr="CPp Logo cropped"/>
        <xdr:cNvPicPr>
          <a:picLocks noChangeAspect="1" noChangeArrowheads="1"/>
        </xdr:cNvPicPr>
      </xdr:nvPicPr>
      <xdr:blipFill>
        <a:blip xmlns:r="http://schemas.openxmlformats.org/officeDocument/2006/relationships" r:embed="rId3" cstate="print"/>
        <a:srcRect/>
        <a:stretch>
          <a:fillRect/>
        </a:stretch>
      </xdr:blipFill>
      <xdr:spPr bwMode="auto">
        <a:xfrm>
          <a:off x="10648950" y="190500"/>
          <a:ext cx="61912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38100</xdr:colOff>
      <xdr:row>1</xdr:row>
      <xdr:rowOff>19050</xdr:rowOff>
    </xdr:from>
    <xdr:to>
      <xdr:col>2</xdr:col>
      <xdr:colOff>571500</xdr:colOff>
      <xdr:row>3</xdr:row>
      <xdr:rowOff>123825</xdr:rowOff>
    </xdr:to>
    <xdr:pic>
      <xdr:nvPicPr>
        <xdr:cNvPr id="10826841"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52400" y="219075"/>
          <a:ext cx="923925" cy="638175"/>
        </a:xfrm>
        <a:prstGeom prst="rect">
          <a:avLst/>
        </a:prstGeom>
        <a:noFill/>
        <a:ln w="9525">
          <a:noFill/>
          <a:miter lim="800000"/>
          <a:headEnd/>
          <a:tailEnd/>
        </a:ln>
      </xdr:spPr>
    </xdr:pic>
    <xdr:clientData/>
  </xdr:twoCellAnchor>
  <xdr:twoCellAnchor editAs="oneCell">
    <xdr:from>
      <xdr:col>7</xdr:col>
      <xdr:colOff>0</xdr:colOff>
      <xdr:row>1</xdr:row>
      <xdr:rowOff>95250</xdr:rowOff>
    </xdr:from>
    <xdr:to>
      <xdr:col>8</xdr:col>
      <xdr:colOff>209550</xdr:colOff>
      <xdr:row>4</xdr:row>
      <xdr:rowOff>0</xdr:rowOff>
    </xdr:to>
    <xdr:pic>
      <xdr:nvPicPr>
        <xdr:cNvPr id="10826842" name="Picture 62"/>
        <xdr:cNvPicPr>
          <a:picLocks noChangeAspect="1" noChangeArrowheads="1"/>
        </xdr:cNvPicPr>
      </xdr:nvPicPr>
      <xdr:blipFill>
        <a:blip xmlns:r="http://schemas.openxmlformats.org/officeDocument/2006/relationships" r:embed="rId3" cstate="print"/>
        <a:srcRect/>
        <a:stretch>
          <a:fillRect/>
        </a:stretch>
      </xdr:blipFill>
      <xdr:spPr bwMode="auto">
        <a:xfrm>
          <a:off x="3695700" y="295275"/>
          <a:ext cx="971550" cy="647700"/>
        </a:xfrm>
        <a:prstGeom prst="rect">
          <a:avLst/>
        </a:prstGeom>
        <a:noFill/>
        <a:ln w="1">
          <a:noFill/>
          <a:miter lim="800000"/>
          <a:headEnd/>
          <a:tailEnd/>
        </a:ln>
      </xdr:spPr>
    </xdr:pic>
    <xdr:clientData/>
  </xdr:twoCellAnchor>
  <xdr:twoCellAnchor>
    <xdr:from>
      <xdr:col>20</xdr:col>
      <xdr:colOff>28575</xdr:colOff>
      <xdr:row>5</xdr:row>
      <xdr:rowOff>0</xdr:rowOff>
    </xdr:from>
    <xdr:to>
      <xdr:col>25</xdr:col>
      <xdr:colOff>0</xdr:colOff>
      <xdr:row>14</xdr:row>
      <xdr:rowOff>180975</xdr:rowOff>
    </xdr:to>
    <xdr:graphicFrame macro="">
      <xdr:nvGraphicFramePr>
        <xdr:cNvPr id="10826843"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0</xdr:colOff>
      <xdr:row>1</xdr:row>
      <xdr:rowOff>123825</xdr:rowOff>
    </xdr:from>
    <xdr:to>
      <xdr:col>24</xdr:col>
      <xdr:colOff>619125</xdr:colOff>
      <xdr:row>3</xdr:row>
      <xdr:rowOff>209550</xdr:rowOff>
    </xdr:to>
    <xdr:pic>
      <xdr:nvPicPr>
        <xdr:cNvPr id="10826844" name="Picture 1" descr="CPp Logo cropped"/>
        <xdr:cNvPicPr>
          <a:picLocks noChangeAspect="1" noChangeArrowheads="1"/>
        </xdr:cNvPicPr>
      </xdr:nvPicPr>
      <xdr:blipFill>
        <a:blip xmlns:r="http://schemas.openxmlformats.org/officeDocument/2006/relationships" r:embed="rId5" cstate="print"/>
        <a:srcRect/>
        <a:stretch>
          <a:fillRect/>
        </a:stretch>
      </xdr:blipFill>
      <xdr:spPr bwMode="auto">
        <a:xfrm>
          <a:off x="12734925" y="323850"/>
          <a:ext cx="61912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1</xdr:row>
      <xdr:rowOff>0</xdr:rowOff>
    </xdr:from>
    <xdr:to>
      <xdr:col>10</xdr:col>
      <xdr:colOff>190500</xdr:colOff>
      <xdr:row>3</xdr:row>
      <xdr:rowOff>190500</xdr:rowOff>
    </xdr:to>
    <xdr:pic>
      <xdr:nvPicPr>
        <xdr:cNvPr id="10828888" name="Picture 69"/>
        <xdr:cNvPicPr>
          <a:picLocks noChangeAspect="1" noChangeArrowheads="1"/>
        </xdr:cNvPicPr>
      </xdr:nvPicPr>
      <xdr:blipFill>
        <a:blip xmlns:r="http://schemas.openxmlformats.org/officeDocument/2006/relationships" r:embed="rId1" cstate="print"/>
        <a:srcRect/>
        <a:stretch>
          <a:fillRect/>
        </a:stretch>
      </xdr:blipFill>
      <xdr:spPr bwMode="auto">
        <a:xfrm>
          <a:off x="4772025" y="190500"/>
          <a:ext cx="952500" cy="714375"/>
        </a:xfrm>
        <a:prstGeom prst="rect">
          <a:avLst/>
        </a:prstGeom>
        <a:noFill/>
        <a:ln w="1">
          <a:noFill/>
          <a:miter lim="800000"/>
          <a:headEnd/>
          <a:tailEnd/>
        </a:ln>
      </xdr:spPr>
    </xdr:pic>
    <xdr:clientData/>
  </xdr:twoCellAnchor>
  <xdr:twoCellAnchor>
    <xdr:from>
      <xdr:col>18</xdr:col>
      <xdr:colOff>156882</xdr:colOff>
      <xdr:row>4</xdr:row>
      <xdr:rowOff>145675</xdr:rowOff>
    </xdr:from>
    <xdr:to>
      <xdr:col>24</xdr:col>
      <xdr:colOff>272302</xdr:colOff>
      <xdr:row>14</xdr:row>
      <xdr:rowOff>145675</xdr:rowOff>
    </xdr:to>
    <xdr:graphicFrame macro="">
      <xdr:nvGraphicFramePr>
        <xdr:cNvPr id="1082888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19050</xdr:colOff>
      <xdr:row>1</xdr:row>
      <xdr:rowOff>9525</xdr:rowOff>
    </xdr:from>
    <xdr:to>
      <xdr:col>2</xdr:col>
      <xdr:colOff>495300</xdr:colOff>
      <xdr:row>3</xdr:row>
      <xdr:rowOff>0</xdr:rowOff>
    </xdr:to>
    <xdr:pic>
      <xdr:nvPicPr>
        <xdr:cNvPr id="10828890" name="Picture 7" descr="university of strathclyde">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161925" y="200025"/>
          <a:ext cx="742950" cy="514350"/>
        </a:xfrm>
        <a:prstGeom prst="rect">
          <a:avLst/>
        </a:prstGeom>
        <a:noFill/>
        <a:ln w="9525">
          <a:noFill/>
          <a:miter lim="800000"/>
          <a:headEnd/>
          <a:tailEnd/>
        </a:ln>
      </xdr:spPr>
    </xdr:pic>
    <xdr:clientData/>
  </xdr:twoCellAnchor>
  <xdr:twoCellAnchor>
    <xdr:from>
      <xdr:col>21</xdr:col>
      <xdr:colOff>190500</xdr:colOff>
      <xdr:row>1</xdr:row>
      <xdr:rowOff>114300</xdr:rowOff>
    </xdr:from>
    <xdr:to>
      <xdr:col>22</xdr:col>
      <xdr:colOff>0</xdr:colOff>
      <xdr:row>3</xdr:row>
      <xdr:rowOff>0</xdr:rowOff>
    </xdr:to>
    <xdr:pic>
      <xdr:nvPicPr>
        <xdr:cNvPr id="10828891" name="Picture 1" descr="CPp Logo cropped"/>
        <xdr:cNvPicPr>
          <a:picLocks noChangeAspect="1" noChangeArrowheads="1"/>
        </xdr:cNvPicPr>
      </xdr:nvPicPr>
      <xdr:blipFill>
        <a:blip xmlns:r="http://schemas.openxmlformats.org/officeDocument/2006/relationships" r:embed="rId5" cstate="print"/>
        <a:srcRect/>
        <a:stretch>
          <a:fillRect/>
        </a:stretch>
      </xdr:blipFill>
      <xdr:spPr bwMode="auto">
        <a:xfrm>
          <a:off x="10601325" y="304800"/>
          <a:ext cx="419100" cy="4095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247650</xdr:colOff>
      <xdr:row>3</xdr:row>
      <xdr:rowOff>85725</xdr:rowOff>
    </xdr:to>
    <xdr:pic>
      <xdr:nvPicPr>
        <xdr:cNvPr id="10830913"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61950" y="247650"/>
          <a:ext cx="790575" cy="552450"/>
        </a:xfrm>
        <a:prstGeom prst="rect">
          <a:avLst/>
        </a:prstGeom>
        <a:noFill/>
        <a:ln w="9525">
          <a:noFill/>
          <a:miter lim="800000"/>
          <a:headEnd/>
          <a:tailEnd/>
        </a:ln>
      </xdr:spPr>
    </xdr:pic>
    <xdr:clientData/>
  </xdr:twoCellAnchor>
  <xdr:twoCellAnchor>
    <xdr:from>
      <xdr:col>8</xdr:col>
      <xdr:colOff>219075</xdr:colOff>
      <xdr:row>21</xdr:row>
      <xdr:rowOff>38100</xdr:rowOff>
    </xdr:from>
    <xdr:to>
      <xdr:col>15</xdr:col>
      <xdr:colOff>219075</xdr:colOff>
      <xdr:row>34</xdr:row>
      <xdr:rowOff>0</xdr:rowOff>
    </xdr:to>
    <xdr:graphicFrame macro="">
      <xdr:nvGraphicFramePr>
        <xdr:cNvPr id="1083091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1</xdr:row>
      <xdr:rowOff>57150</xdr:rowOff>
    </xdr:from>
    <xdr:to>
      <xdr:col>18</xdr:col>
      <xdr:colOff>0</xdr:colOff>
      <xdr:row>3</xdr:row>
      <xdr:rowOff>152400</xdr:rowOff>
    </xdr:to>
    <xdr:pic>
      <xdr:nvPicPr>
        <xdr:cNvPr id="10830915" name="Picture 1" descr="CPp Logo cropped"/>
        <xdr:cNvPicPr>
          <a:picLocks noChangeAspect="1" noChangeArrowheads="1"/>
        </xdr:cNvPicPr>
      </xdr:nvPicPr>
      <xdr:blipFill>
        <a:blip xmlns:r="http://schemas.openxmlformats.org/officeDocument/2006/relationships" r:embed="rId4" cstate="print"/>
        <a:srcRect/>
        <a:stretch>
          <a:fillRect/>
        </a:stretch>
      </xdr:blipFill>
      <xdr:spPr bwMode="auto">
        <a:xfrm>
          <a:off x="9639300" y="247650"/>
          <a:ext cx="609600" cy="619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2</xdr:row>
      <xdr:rowOff>76200</xdr:rowOff>
    </xdr:from>
    <xdr:to>
      <xdr:col>3</xdr:col>
      <xdr:colOff>19050</xdr:colOff>
      <xdr:row>4</xdr:row>
      <xdr:rowOff>171450</xdr:rowOff>
    </xdr:to>
    <xdr:pic>
      <xdr:nvPicPr>
        <xdr:cNvPr id="10833093" name="Picture 7" descr="university of strathclyde">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209550" y="352425"/>
          <a:ext cx="952500" cy="609600"/>
        </a:xfrm>
        <a:prstGeom prst="rect">
          <a:avLst/>
        </a:prstGeom>
        <a:noFill/>
        <a:ln w="9525">
          <a:noFill/>
          <a:miter lim="800000"/>
          <a:headEnd/>
          <a:tailEnd/>
        </a:ln>
      </xdr:spPr>
    </xdr:pic>
    <xdr:clientData/>
  </xdr:twoCellAnchor>
  <xdr:twoCellAnchor>
    <xdr:from>
      <xdr:col>15</xdr:col>
      <xdr:colOff>85725</xdr:colOff>
      <xdr:row>40</xdr:row>
      <xdr:rowOff>19050</xdr:rowOff>
    </xdr:from>
    <xdr:to>
      <xdr:col>21</xdr:col>
      <xdr:colOff>0</xdr:colOff>
      <xdr:row>48</xdr:row>
      <xdr:rowOff>0</xdr:rowOff>
    </xdr:to>
    <xdr:graphicFrame macro="">
      <xdr:nvGraphicFramePr>
        <xdr:cNvPr id="1083309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51</xdr:row>
      <xdr:rowOff>0</xdr:rowOff>
    </xdr:from>
    <xdr:to>
      <xdr:col>21</xdr:col>
      <xdr:colOff>142875</xdr:colOff>
      <xdr:row>61</xdr:row>
      <xdr:rowOff>57150</xdr:rowOff>
    </xdr:to>
    <xdr:graphicFrame macro="">
      <xdr:nvGraphicFramePr>
        <xdr:cNvPr id="1083309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85725</xdr:colOff>
      <xdr:row>73</xdr:row>
      <xdr:rowOff>38100</xdr:rowOff>
    </xdr:from>
    <xdr:to>
      <xdr:col>21</xdr:col>
      <xdr:colOff>209550</xdr:colOff>
      <xdr:row>82</xdr:row>
      <xdr:rowOff>0</xdr:rowOff>
    </xdr:to>
    <xdr:graphicFrame macro="">
      <xdr:nvGraphicFramePr>
        <xdr:cNvPr id="10833096"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95250</xdr:colOff>
      <xdr:row>84</xdr:row>
      <xdr:rowOff>0</xdr:rowOff>
    </xdr:from>
    <xdr:to>
      <xdr:col>22</xdr:col>
      <xdr:colOff>0</xdr:colOff>
      <xdr:row>93</xdr:row>
      <xdr:rowOff>190500</xdr:rowOff>
    </xdr:to>
    <xdr:graphicFrame macro="">
      <xdr:nvGraphicFramePr>
        <xdr:cNvPr id="1083309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0</xdr:colOff>
      <xdr:row>36</xdr:row>
      <xdr:rowOff>152400</xdr:rowOff>
    </xdr:from>
    <xdr:to>
      <xdr:col>6</xdr:col>
      <xdr:colOff>0</xdr:colOff>
      <xdr:row>39</xdr:row>
      <xdr:rowOff>228600</xdr:rowOff>
    </xdr:to>
    <xdr:pic>
      <xdr:nvPicPr>
        <xdr:cNvPr id="10833098" name="Picture 62"/>
        <xdr:cNvPicPr>
          <a:picLocks noChangeAspect="1" noChangeArrowheads="1"/>
        </xdr:cNvPicPr>
      </xdr:nvPicPr>
      <xdr:blipFill>
        <a:blip xmlns:r="http://schemas.openxmlformats.org/officeDocument/2006/relationships" r:embed="rId7" cstate="print"/>
        <a:srcRect/>
        <a:stretch>
          <a:fillRect/>
        </a:stretch>
      </xdr:blipFill>
      <xdr:spPr bwMode="auto">
        <a:xfrm>
          <a:off x="1752600" y="7324725"/>
          <a:ext cx="1000125" cy="638175"/>
        </a:xfrm>
        <a:prstGeom prst="rect">
          <a:avLst/>
        </a:prstGeom>
        <a:noFill/>
        <a:ln w="1">
          <a:noFill/>
          <a:miter lim="800000"/>
          <a:headEnd/>
          <a:tailEnd/>
        </a:ln>
      </xdr:spPr>
    </xdr:pic>
    <xdr:clientData/>
  </xdr:twoCellAnchor>
  <xdr:twoCellAnchor>
    <xdr:from>
      <xdr:col>13</xdr:col>
      <xdr:colOff>0</xdr:colOff>
      <xdr:row>15</xdr:row>
      <xdr:rowOff>0</xdr:rowOff>
    </xdr:from>
    <xdr:to>
      <xdr:col>20</xdr:col>
      <xdr:colOff>752475</xdr:colOff>
      <xdr:row>26</xdr:row>
      <xdr:rowOff>171450</xdr:rowOff>
    </xdr:to>
    <xdr:graphicFrame macro="">
      <xdr:nvGraphicFramePr>
        <xdr:cNvPr id="1083309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447675</xdr:colOff>
      <xdr:row>70</xdr:row>
      <xdr:rowOff>171450</xdr:rowOff>
    </xdr:from>
    <xdr:to>
      <xdr:col>5</xdr:col>
      <xdr:colOff>371475</xdr:colOff>
      <xdr:row>74</xdr:row>
      <xdr:rowOff>95250</xdr:rowOff>
    </xdr:to>
    <xdr:pic>
      <xdr:nvPicPr>
        <xdr:cNvPr id="10833100" name="Picture 69"/>
        <xdr:cNvPicPr>
          <a:picLocks noChangeAspect="1" noChangeArrowheads="1"/>
        </xdr:cNvPicPr>
      </xdr:nvPicPr>
      <xdr:blipFill>
        <a:blip xmlns:r="http://schemas.openxmlformats.org/officeDocument/2006/relationships" r:embed="rId9" cstate="print"/>
        <a:srcRect/>
        <a:stretch>
          <a:fillRect/>
        </a:stretch>
      </xdr:blipFill>
      <xdr:spPr bwMode="auto">
        <a:xfrm>
          <a:off x="1590675" y="14125575"/>
          <a:ext cx="923925" cy="723900"/>
        </a:xfrm>
        <a:prstGeom prst="rect">
          <a:avLst/>
        </a:prstGeom>
        <a:noFill/>
        <a:ln w="1">
          <a:noFill/>
          <a:miter lim="800000"/>
          <a:headEnd/>
          <a:tailEnd/>
        </a:ln>
      </xdr:spPr>
    </xdr:pic>
    <xdr:clientData/>
  </xdr:twoCellAnchor>
  <xdr:twoCellAnchor>
    <xdr:from>
      <xdr:col>21</xdr:col>
      <xdr:colOff>142875</xdr:colOff>
      <xdr:row>3</xdr:row>
      <xdr:rowOff>0</xdr:rowOff>
    </xdr:from>
    <xdr:to>
      <xdr:col>22</xdr:col>
      <xdr:colOff>104775</xdr:colOff>
      <xdr:row>5</xdr:row>
      <xdr:rowOff>123825</xdr:rowOff>
    </xdr:to>
    <xdr:pic>
      <xdr:nvPicPr>
        <xdr:cNvPr id="10833101" name="Picture 1" descr="CPp Logo cropped"/>
        <xdr:cNvPicPr>
          <a:picLocks noChangeAspect="1" noChangeArrowheads="1"/>
        </xdr:cNvPicPr>
      </xdr:nvPicPr>
      <xdr:blipFill>
        <a:blip xmlns:r="http://schemas.openxmlformats.org/officeDocument/2006/relationships" r:embed="rId10" cstate="print"/>
        <a:srcRect/>
        <a:stretch>
          <a:fillRect/>
        </a:stretch>
      </xdr:blipFill>
      <xdr:spPr bwMode="auto">
        <a:xfrm>
          <a:off x="11744325" y="457200"/>
          <a:ext cx="619125"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ru.strath.ac.uk/EandE/Web_sites/07-08/Biomass_feasibility/"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projects.bre.co.uk/sap2005/" TargetMode="External"/><Relationship Id="rId1" Type="http://schemas.openxmlformats.org/officeDocument/2006/relationships/hyperlink" Target="http://www.woodenergyltd.co.uk/technical/fuel-cost-comparator.ashx"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defra.gov.uk/environment/climatechange/uk/energy/fund/" TargetMode="External"/><Relationship Id="rId3" Type="http://schemas.openxmlformats.org/officeDocument/2006/relationships/hyperlink" Target="http://www.hie.co.uk/community-investment.html" TargetMode="External"/><Relationship Id="rId7" Type="http://schemas.openxmlformats.org/officeDocument/2006/relationships/hyperlink" Target="http://freight.quix.co.uk/Default.aspx" TargetMode="External"/><Relationship Id="rId2" Type="http://schemas.openxmlformats.org/officeDocument/2006/relationships/hyperlink" Target="http://www.lowcarbonbuildings.org.uk/" TargetMode="External"/><Relationship Id="rId1" Type="http://schemas.openxmlformats.org/officeDocument/2006/relationships/hyperlink" Target="http://www.lowcarbonbuildingsphase2.org.uk/" TargetMode="External"/><Relationship Id="rId6" Type="http://schemas.openxmlformats.org/officeDocument/2006/relationships/hyperlink" Target="http://www.defra.gov.uk/farm/crops/industrial/energy/capital-grants.htm" TargetMode="External"/><Relationship Id="rId5" Type="http://schemas.openxmlformats.org/officeDocument/2006/relationships/hyperlink" Target="http://www.energysavingtrust.org.uk/schri/community/grant.cfm" TargetMode="External"/><Relationship Id="rId10" Type="http://schemas.openxmlformats.org/officeDocument/2006/relationships/drawing" Target="../drawings/drawing12.xml"/><Relationship Id="rId4" Type="http://schemas.openxmlformats.org/officeDocument/2006/relationships/hyperlink" Target="http://www.energysavingtrust.org.uk/schri/household/grant.cfm" TargetMode="External"/><Relationship Id="rId9"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D38"/>
  <sheetViews>
    <sheetView showGridLines="0" tabSelected="1" zoomScale="85" zoomScaleNormal="85" workbookViewId="0">
      <selection activeCell="P28" sqref="P28"/>
    </sheetView>
  </sheetViews>
  <sheetFormatPr defaultRowHeight="15"/>
  <cols>
    <col min="1" max="1" width="9.140625" style="227"/>
    <col min="2" max="2" width="2.140625" style="227" customWidth="1"/>
    <col min="3" max="3" width="2.7109375" style="227" customWidth="1"/>
    <col min="22" max="30" width="9.140625" style="227"/>
  </cols>
  <sheetData>
    <row r="1" spans="2:21" s="227" customFormat="1" ht="17.25" customHeight="1" thickBot="1"/>
    <row r="2" spans="2:21" ht="10.5" customHeight="1" thickTop="1" thickBot="1">
      <c r="B2" s="954"/>
      <c r="C2" s="955"/>
      <c r="D2" s="956"/>
      <c r="E2" s="957"/>
      <c r="F2" s="957"/>
      <c r="G2" s="957"/>
      <c r="H2" s="957"/>
      <c r="I2" s="957"/>
      <c r="J2" s="957"/>
      <c r="K2" s="957"/>
      <c r="L2" s="957"/>
      <c r="M2" s="957"/>
      <c r="N2" s="957"/>
      <c r="O2" s="957"/>
      <c r="P2" s="957"/>
      <c r="Q2" s="957"/>
      <c r="R2" s="957"/>
      <c r="S2" s="957"/>
      <c r="T2" s="957"/>
      <c r="U2" s="958"/>
    </row>
    <row r="3" spans="2:21" ht="14.25" customHeight="1" thickBot="1">
      <c r="B3" s="959"/>
      <c r="C3" s="951"/>
      <c r="D3" s="952"/>
      <c r="E3" s="953"/>
      <c r="F3" s="953"/>
      <c r="G3" s="953"/>
      <c r="H3" s="953"/>
      <c r="I3" s="953"/>
      <c r="J3" s="953"/>
      <c r="K3" s="953"/>
      <c r="L3" s="953"/>
      <c r="M3" s="953"/>
      <c r="N3" s="953"/>
      <c r="O3" s="953"/>
      <c r="P3" s="953"/>
      <c r="Q3" s="953"/>
      <c r="R3" s="953"/>
      <c r="S3" s="953"/>
      <c r="T3" s="953"/>
      <c r="U3" s="960"/>
    </row>
    <row r="4" spans="2:21" ht="14.25" customHeight="1">
      <c r="B4" s="961"/>
      <c r="C4" s="951"/>
      <c r="D4" s="852"/>
      <c r="E4" s="220"/>
      <c r="F4" s="220"/>
      <c r="G4" s="220"/>
      <c r="H4" s="220"/>
      <c r="I4" s="220"/>
      <c r="J4" s="220"/>
      <c r="K4" s="220"/>
      <c r="L4" s="220"/>
      <c r="M4" s="220"/>
      <c r="N4" s="220"/>
      <c r="O4" s="220"/>
      <c r="P4" s="220"/>
      <c r="Q4" s="220"/>
      <c r="R4" s="220"/>
      <c r="S4" s="220"/>
      <c r="T4" s="220"/>
      <c r="U4" s="962"/>
    </row>
    <row r="5" spans="2:21" ht="33.75">
      <c r="B5" s="961"/>
      <c r="C5" s="951"/>
      <c r="D5" s="88"/>
      <c r="E5" s="975" t="s">
        <v>572</v>
      </c>
      <c r="F5" s="975"/>
      <c r="G5" s="975"/>
      <c r="H5" s="975"/>
      <c r="I5" s="975"/>
      <c r="J5" s="975"/>
      <c r="K5" s="975"/>
      <c r="L5" s="975"/>
      <c r="M5" s="975"/>
      <c r="N5" s="975"/>
      <c r="O5" s="975"/>
      <c r="P5" s="975"/>
      <c r="Q5" s="975"/>
      <c r="R5" s="975"/>
      <c r="S5" s="975"/>
      <c r="T5" s="975"/>
      <c r="U5" s="963"/>
    </row>
    <row r="6" spans="2:21">
      <c r="B6" s="961"/>
      <c r="C6" s="951"/>
      <c r="D6" s="88"/>
      <c r="E6" s="974"/>
      <c r="F6" s="974"/>
      <c r="G6" s="974"/>
      <c r="H6" s="974"/>
      <c r="I6" s="974"/>
      <c r="J6" s="974"/>
      <c r="K6" s="974"/>
      <c r="L6" s="974"/>
      <c r="M6" s="974"/>
      <c r="N6" s="974"/>
      <c r="O6" s="974"/>
      <c r="P6" s="974"/>
      <c r="Q6" s="974"/>
      <c r="R6" s="974"/>
      <c r="S6" s="974"/>
      <c r="T6" s="948"/>
      <c r="U6" s="963"/>
    </row>
    <row r="7" spans="2:21" ht="15.75" thickBot="1">
      <c r="B7" s="961"/>
      <c r="C7" s="951"/>
      <c r="D7" s="88"/>
      <c r="E7" s="1001"/>
      <c r="F7" s="1001"/>
      <c r="G7" s="1001"/>
      <c r="H7" s="1001"/>
      <c r="I7" s="1001"/>
      <c r="J7" s="1001"/>
      <c r="K7" s="1001"/>
      <c r="L7" s="1001"/>
      <c r="M7" s="1001"/>
      <c r="N7" s="1001"/>
      <c r="O7" s="1001"/>
      <c r="P7" s="1001"/>
      <c r="Q7" s="1001"/>
      <c r="R7" s="1001"/>
      <c r="S7" s="1001"/>
      <c r="T7" s="948"/>
      <c r="U7" s="963"/>
    </row>
    <row r="8" spans="2:21" ht="8.25" customHeight="1">
      <c r="B8" s="961"/>
      <c r="C8" s="951"/>
      <c r="D8" s="88"/>
      <c r="E8" s="924"/>
      <c r="F8" s="925"/>
      <c r="G8" s="925"/>
      <c r="H8" s="925"/>
      <c r="I8" s="925"/>
      <c r="J8" s="925"/>
      <c r="K8" s="925"/>
      <c r="L8" s="925"/>
      <c r="M8" s="925"/>
      <c r="N8" s="925"/>
      <c r="O8" s="925"/>
      <c r="P8" s="925"/>
      <c r="Q8" s="925"/>
      <c r="R8" s="925"/>
      <c r="S8" s="925"/>
      <c r="T8" s="926"/>
      <c r="U8" s="963"/>
    </row>
    <row r="9" spans="2:21" ht="57" customHeight="1">
      <c r="B9" s="961"/>
      <c r="C9" s="951"/>
      <c r="D9" s="88"/>
      <c r="E9" s="994" t="s">
        <v>577</v>
      </c>
      <c r="F9" s="995"/>
      <c r="G9" s="995"/>
      <c r="H9" s="995"/>
      <c r="I9" s="995"/>
      <c r="J9" s="995"/>
      <c r="K9" s="995"/>
      <c r="L9" s="995"/>
      <c r="M9" s="995"/>
      <c r="N9" s="995"/>
      <c r="O9" s="995"/>
      <c r="P9" s="995"/>
      <c r="Q9" s="995"/>
      <c r="R9" s="995"/>
      <c r="S9" s="995"/>
      <c r="T9" s="996"/>
      <c r="U9" s="963"/>
    </row>
    <row r="10" spans="2:21" ht="6.75" customHeight="1" thickBot="1">
      <c r="B10" s="961"/>
      <c r="C10" s="951"/>
      <c r="D10" s="88"/>
      <c r="E10" s="997"/>
      <c r="F10" s="998"/>
      <c r="G10" s="998"/>
      <c r="H10" s="998"/>
      <c r="I10" s="998"/>
      <c r="J10" s="998"/>
      <c r="K10" s="998"/>
      <c r="L10" s="998"/>
      <c r="M10" s="998"/>
      <c r="N10" s="998"/>
      <c r="O10" s="998"/>
      <c r="P10" s="998"/>
      <c r="Q10" s="998"/>
      <c r="R10" s="998"/>
      <c r="S10" s="998"/>
      <c r="T10" s="999"/>
      <c r="U10" s="963"/>
    </row>
    <row r="11" spans="2:21">
      <c r="B11" s="961"/>
      <c r="C11" s="951"/>
      <c r="D11" s="88"/>
      <c r="E11" s="974"/>
      <c r="F11" s="974"/>
      <c r="G11" s="974"/>
      <c r="H11" s="974"/>
      <c r="I11" s="974"/>
      <c r="J11" s="974"/>
      <c r="K11" s="974"/>
      <c r="L11" s="974"/>
      <c r="M11" s="974"/>
      <c r="N11" s="974"/>
      <c r="O11" s="974"/>
      <c r="P11" s="974"/>
      <c r="Q11" s="974"/>
      <c r="R11" s="974"/>
      <c r="S11" s="974"/>
      <c r="T11" s="974"/>
      <c r="U11" s="963"/>
    </row>
    <row r="12" spans="2:21" ht="37.5" customHeight="1" thickBot="1">
      <c r="B12" s="961"/>
      <c r="C12" s="951"/>
      <c r="D12" s="88"/>
      <c r="E12" s="1002" t="s">
        <v>574</v>
      </c>
      <c r="F12" s="1002"/>
      <c r="G12" s="1002"/>
      <c r="H12" s="1002"/>
      <c r="I12" s="1002"/>
      <c r="J12" s="1002"/>
      <c r="K12" s="1002"/>
      <c r="L12" s="1002"/>
      <c r="M12" s="1002"/>
      <c r="N12" s="1002"/>
      <c r="O12" s="1002"/>
      <c r="P12" s="1002"/>
      <c r="Q12" s="1002"/>
      <c r="R12" s="1002"/>
      <c r="S12" s="1002"/>
      <c r="T12" s="1002"/>
      <c r="U12" s="963"/>
    </row>
    <row r="13" spans="2:21" ht="114.75" customHeight="1" thickBot="1">
      <c r="B13" s="961"/>
      <c r="C13" s="951"/>
      <c r="D13" s="88"/>
      <c r="E13" s="971" t="s">
        <v>573</v>
      </c>
      <c r="F13" s="972"/>
      <c r="G13" s="972"/>
      <c r="H13" s="972"/>
      <c r="I13" s="972"/>
      <c r="J13" s="972"/>
      <c r="K13" s="972"/>
      <c r="L13" s="972"/>
      <c r="M13" s="972"/>
      <c r="N13" s="972"/>
      <c r="O13" s="972"/>
      <c r="P13" s="972"/>
      <c r="Q13" s="972"/>
      <c r="R13" s="972"/>
      <c r="S13" s="972"/>
      <c r="T13" s="973"/>
      <c r="U13" s="963"/>
    </row>
    <row r="14" spans="2:21">
      <c r="B14" s="961"/>
      <c r="C14" s="951"/>
      <c r="D14" s="88"/>
      <c r="E14" s="974"/>
      <c r="F14" s="974"/>
      <c r="G14" s="974"/>
      <c r="H14" s="974"/>
      <c r="I14" s="974"/>
      <c r="J14" s="974"/>
      <c r="K14" s="974"/>
      <c r="L14" s="974"/>
      <c r="M14" s="974"/>
      <c r="N14" s="974"/>
      <c r="O14" s="974"/>
      <c r="P14" s="974"/>
      <c r="Q14" s="974"/>
      <c r="R14" s="974"/>
      <c r="S14" s="974"/>
      <c r="T14" s="974"/>
      <c r="U14" s="963"/>
    </row>
    <row r="15" spans="2:21">
      <c r="B15" s="961"/>
      <c r="C15" s="951"/>
      <c r="D15" s="88"/>
      <c r="E15" s="974"/>
      <c r="F15" s="974"/>
      <c r="G15" s="974"/>
      <c r="H15" s="974"/>
      <c r="I15" s="974"/>
      <c r="J15" s="974"/>
      <c r="K15" s="974"/>
      <c r="L15" s="974"/>
      <c r="M15" s="974"/>
      <c r="N15" s="974"/>
      <c r="O15" s="974"/>
      <c r="P15" s="974"/>
      <c r="Q15" s="974"/>
      <c r="R15" s="974"/>
      <c r="S15" s="974"/>
      <c r="T15" s="974"/>
      <c r="U15" s="963"/>
    </row>
    <row r="16" spans="2:21" ht="18.75">
      <c r="B16" s="961"/>
      <c r="C16" s="951"/>
      <c r="D16" s="88"/>
      <c r="E16" s="1000" t="s">
        <v>575</v>
      </c>
      <c r="F16" s="1000"/>
      <c r="G16" s="1000"/>
      <c r="H16" s="1000"/>
      <c r="I16" s="1000"/>
      <c r="J16" s="1000"/>
      <c r="K16" s="1000"/>
      <c r="L16" s="1000"/>
      <c r="M16" s="1000"/>
      <c r="N16" s="1000"/>
      <c r="O16" s="1000"/>
      <c r="P16" s="1000"/>
      <c r="Q16" s="1000"/>
      <c r="R16" s="1000"/>
      <c r="S16" s="1000"/>
      <c r="T16" s="1000"/>
      <c r="U16" s="963"/>
    </row>
    <row r="17" spans="2:21">
      <c r="B17" s="961"/>
      <c r="C17" s="951"/>
      <c r="D17" s="88"/>
      <c r="E17" s="974"/>
      <c r="F17" s="974"/>
      <c r="G17" s="974"/>
      <c r="H17" s="974"/>
      <c r="I17" s="974"/>
      <c r="J17" s="974"/>
      <c r="K17" s="974"/>
      <c r="L17" s="974"/>
      <c r="M17" s="974"/>
      <c r="N17" s="974"/>
      <c r="O17" s="974"/>
      <c r="P17" s="974"/>
      <c r="Q17" s="974"/>
      <c r="R17" s="974"/>
      <c r="S17" s="974"/>
      <c r="T17" s="974"/>
      <c r="U17" s="963"/>
    </row>
    <row r="18" spans="2:21">
      <c r="B18" s="961"/>
      <c r="C18" s="951"/>
      <c r="D18" s="88"/>
      <c r="E18" s="974"/>
      <c r="F18" s="974"/>
      <c r="G18" s="974"/>
      <c r="H18" s="974"/>
      <c r="I18" s="974"/>
      <c r="J18" s="974"/>
      <c r="K18" s="974"/>
      <c r="L18" s="974"/>
      <c r="M18" s="974"/>
      <c r="N18" s="974"/>
      <c r="O18" s="974"/>
      <c r="P18" s="974"/>
      <c r="Q18" s="974"/>
      <c r="R18" s="974"/>
      <c r="S18" s="974"/>
      <c r="T18" s="974"/>
      <c r="U18" s="963"/>
    </row>
    <row r="19" spans="2:21" ht="15.75" thickBot="1">
      <c r="B19" s="961"/>
      <c r="C19" s="951"/>
      <c r="D19" s="88"/>
      <c r="E19" s="928"/>
      <c r="F19" s="928"/>
      <c r="G19" s="928"/>
      <c r="H19" s="928"/>
      <c r="I19" s="928"/>
      <c r="J19" s="928"/>
      <c r="K19" s="928"/>
      <c r="L19" s="928"/>
      <c r="M19" s="928"/>
      <c r="N19" s="928"/>
      <c r="O19" s="928"/>
      <c r="P19" s="928"/>
      <c r="Q19" s="928"/>
      <c r="R19" s="928"/>
      <c r="S19" s="928"/>
      <c r="T19" s="928"/>
      <c r="U19" s="963"/>
    </row>
    <row r="20" spans="2:21" ht="15" customHeight="1">
      <c r="B20" s="961"/>
      <c r="C20" s="951"/>
      <c r="D20" s="88"/>
      <c r="E20" s="928"/>
      <c r="F20" s="928"/>
      <c r="G20" s="928"/>
      <c r="H20" s="928"/>
      <c r="I20" s="976" t="s">
        <v>576</v>
      </c>
      <c r="J20" s="977"/>
      <c r="K20" s="977"/>
      <c r="L20" s="977"/>
      <c r="M20" s="977"/>
      <c r="N20" s="977"/>
      <c r="O20" s="978"/>
      <c r="P20" s="928"/>
      <c r="Q20" s="928"/>
      <c r="R20" s="928"/>
      <c r="S20" s="928"/>
      <c r="T20" s="928"/>
      <c r="U20" s="963"/>
    </row>
    <row r="21" spans="2:21" ht="15" customHeight="1">
      <c r="B21" s="961"/>
      <c r="C21" s="951"/>
      <c r="D21" s="88"/>
      <c r="E21" s="928"/>
      <c r="F21" s="928"/>
      <c r="G21" s="928"/>
      <c r="H21" s="928"/>
      <c r="I21" s="979"/>
      <c r="J21" s="980"/>
      <c r="K21" s="980"/>
      <c r="L21" s="980"/>
      <c r="M21" s="980"/>
      <c r="N21" s="980"/>
      <c r="O21" s="981"/>
      <c r="P21" s="928"/>
      <c r="Q21" s="928"/>
      <c r="R21" s="928"/>
      <c r="S21" s="928"/>
      <c r="T21" s="928"/>
      <c r="U21" s="963"/>
    </row>
    <row r="22" spans="2:21" ht="15.75" customHeight="1" thickBot="1">
      <c r="B22" s="961"/>
      <c r="C22" s="951"/>
      <c r="D22" s="88"/>
      <c r="E22" s="928"/>
      <c r="F22" s="928"/>
      <c r="G22" s="928"/>
      <c r="H22" s="928"/>
      <c r="I22" s="982"/>
      <c r="J22" s="983"/>
      <c r="K22" s="983"/>
      <c r="L22" s="983"/>
      <c r="M22" s="983"/>
      <c r="N22" s="983"/>
      <c r="O22" s="984"/>
      <c r="P22" s="928"/>
      <c r="Q22" s="928"/>
      <c r="R22" s="928"/>
      <c r="S22" s="928"/>
      <c r="T22" s="928"/>
      <c r="U22" s="963"/>
    </row>
    <row r="23" spans="2:21" ht="15.75" thickBot="1">
      <c r="B23" s="961"/>
      <c r="C23" s="951"/>
      <c r="D23" s="88"/>
      <c r="E23" s="928"/>
      <c r="F23" s="928"/>
      <c r="G23" s="928"/>
      <c r="H23" s="928"/>
      <c r="I23" s="950"/>
      <c r="J23" s="950"/>
      <c r="K23" s="950"/>
      <c r="L23" s="950"/>
      <c r="M23" s="950"/>
      <c r="N23" s="950"/>
      <c r="O23" s="950"/>
      <c r="P23" s="928"/>
      <c r="Q23" s="928"/>
      <c r="R23" s="928"/>
      <c r="S23" s="928"/>
      <c r="T23" s="928"/>
      <c r="U23" s="963"/>
    </row>
    <row r="24" spans="2:21" ht="15" customHeight="1">
      <c r="B24" s="961"/>
      <c r="C24" s="951"/>
      <c r="D24" s="88"/>
      <c r="E24" s="928"/>
      <c r="F24" s="928"/>
      <c r="G24" s="928"/>
      <c r="H24" s="928"/>
      <c r="I24" s="985" t="s">
        <v>582</v>
      </c>
      <c r="J24" s="986"/>
      <c r="K24" s="986"/>
      <c r="L24" s="986"/>
      <c r="M24" s="986"/>
      <c r="N24" s="986"/>
      <c r="O24" s="987"/>
      <c r="P24" s="928"/>
      <c r="Q24" s="928"/>
      <c r="R24" s="928"/>
      <c r="S24" s="928"/>
      <c r="T24" s="928"/>
      <c r="U24" s="963"/>
    </row>
    <row r="25" spans="2:21" ht="15" customHeight="1">
      <c r="B25" s="961"/>
      <c r="C25" s="951"/>
      <c r="D25" s="88"/>
      <c r="E25" s="928"/>
      <c r="F25" s="928"/>
      <c r="G25" s="928"/>
      <c r="H25" s="928"/>
      <c r="I25" s="988"/>
      <c r="J25" s="989"/>
      <c r="K25" s="989"/>
      <c r="L25" s="989"/>
      <c r="M25" s="989"/>
      <c r="N25" s="989"/>
      <c r="O25" s="990"/>
      <c r="P25" s="928"/>
      <c r="Q25" s="928"/>
      <c r="R25" s="928"/>
      <c r="S25" s="928"/>
      <c r="T25" s="928"/>
      <c r="U25" s="963"/>
    </row>
    <row r="26" spans="2:21" ht="38.25" customHeight="1" thickBot="1">
      <c r="B26" s="961"/>
      <c r="C26" s="951"/>
      <c r="D26" s="88"/>
      <c r="E26" s="928"/>
      <c r="F26" s="928"/>
      <c r="G26" s="928"/>
      <c r="H26" s="928"/>
      <c r="I26" s="991"/>
      <c r="J26" s="992"/>
      <c r="K26" s="992"/>
      <c r="L26" s="992"/>
      <c r="M26" s="992"/>
      <c r="N26" s="992"/>
      <c r="O26" s="993"/>
      <c r="P26" s="928"/>
      <c r="Q26" s="928"/>
      <c r="R26" s="928"/>
      <c r="S26" s="928"/>
      <c r="T26" s="928"/>
      <c r="U26" s="963"/>
    </row>
    <row r="27" spans="2:21">
      <c r="B27" s="961"/>
      <c r="C27" s="951"/>
      <c r="D27" s="88"/>
      <c r="E27" s="928"/>
      <c r="F27" s="928"/>
      <c r="G27" s="928"/>
      <c r="H27" s="928"/>
      <c r="I27" s="928"/>
      <c r="J27" s="928"/>
      <c r="K27" s="928"/>
      <c r="L27" s="928"/>
      <c r="M27" s="928"/>
      <c r="N27" s="928"/>
      <c r="O27" s="928"/>
      <c r="P27" s="928"/>
      <c r="Q27" s="928"/>
      <c r="R27" s="928"/>
      <c r="S27" s="928"/>
      <c r="T27" s="928"/>
      <c r="U27" s="963"/>
    </row>
    <row r="28" spans="2:21">
      <c r="B28" s="961"/>
      <c r="C28" s="951"/>
      <c r="D28" s="88"/>
      <c r="E28" s="928"/>
      <c r="F28" s="928"/>
      <c r="G28" s="928"/>
      <c r="H28" s="928"/>
      <c r="I28" s="928"/>
      <c r="J28" s="928"/>
      <c r="K28" s="928"/>
      <c r="L28" s="928"/>
      <c r="M28" s="928"/>
      <c r="N28" s="928"/>
      <c r="O28" s="928"/>
      <c r="P28" s="928"/>
      <c r="Q28" s="928"/>
      <c r="R28" s="928"/>
      <c r="S28" s="928"/>
      <c r="T28" s="928"/>
      <c r="U28" s="963"/>
    </row>
    <row r="29" spans="2:21">
      <c r="B29" s="961"/>
      <c r="C29" s="951"/>
      <c r="D29" s="88"/>
      <c r="E29" s="974"/>
      <c r="F29" s="974"/>
      <c r="G29" s="974"/>
      <c r="H29" s="974"/>
      <c r="I29" s="974"/>
      <c r="J29" s="974"/>
      <c r="K29" s="974"/>
      <c r="L29" s="974"/>
      <c r="M29" s="974"/>
      <c r="N29" s="974"/>
      <c r="O29" s="974"/>
      <c r="P29" s="974"/>
      <c r="Q29" s="974"/>
      <c r="R29" s="974"/>
      <c r="S29" s="974"/>
      <c r="T29" s="974"/>
      <c r="U29" s="963"/>
    </row>
    <row r="30" spans="2:21">
      <c r="B30" s="961"/>
      <c r="C30" s="951"/>
      <c r="D30" s="88"/>
      <c r="E30" s="974"/>
      <c r="F30" s="974"/>
      <c r="G30" s="974"/>
      <c r="H30" s="974"/>
      <c r="I30" s="974"/>
      <c r="J30" s="974"/>
      <c r="K30" s="974"/>
      <c r="L30" s="974"/>
      <c r="M30" s="974"/>
      <c r="N30" s="974"/>
      <c r="O30" s="974"/>
      <c r="P30" s="974"/>
      <c r="Q30" s="974"/>
      <c r="R30" s="974"/>
      <c r="S30" s="974"/>
      <c r="T30" s="974"/>
      <c r="U30" s="963"/>
    </row>
    <row r="31" spans="2:21">
      <c r="B31" s="961"/>
      <c r="C31" s="951"/>
      <c r="D31" s="88"/>
      <c r="E31" s="974"/>
      <c r="F31" s="974"/>
      <c r="G31" s="974"/>
      <c r="H31" s="974"/>
      <c r="I31" s="974"/>
      <c r="J31" s="974"/>
      <c r="K31" s="974"/>
      <c r="L31" s="974"/>
      <c r="M31" s="974"/>
      <c r="N31" s="974"/>
      <c r="O31" s="974"/>
      <c r="P31" s="974"/>
      <c r="Q31" s="974"/>
      <c r="R31" s="974"/>
      <c r="S31" s="974"/>
      <c r="T31" s="974"/>
      <c r="U31" s="963"/>
    </row>
    <row r="32" spans="2:21">
      <c r="B32" s="961"/>
      <c r="C32" s="951"/>
      <c r="D32" s="88"/>
      <c r="E32" s="974"/>
      <c r="F32" s="974"/>
      <c r="G32" s="974"/>
      <c r="H32" s="974"/>
      <c r="I32" s="974"/>
      <c r="J32" s="974"/>
      <c r="K32" s="974"/>
      <c r="L32" s="974"/>
      <c r="M32" s="974"/>
      <c r="N32" s="974"/>
      <c r="O32" s="974"/>
      <c r="P32" s="974"/>
      <c r="Q32" s="974"/>
      <c r="R32" s="974"/>
      <c r="S32" s="974"/>
      <c r="T32" s="974"/>
      <c r="U32" s="963"/>
    </row>
    <row r="33" spans="2:21" ht="15.75" thickBot="1">
      <c r="B33" s="964"/>
      <c r="C33" s="965"/>
      <c r="D33" s="966"/>
      <c r="E33" s="967"/>
      <c r="F33" s="967"/>
      <c r="G33" s="967"/>
      <c r="H33" s="967"/>
      <c r="I33" s="967"/>
      <c r="J33" s="967"/>
      <c r="K33" s="967"/>
      <c r="L33" s="967"/>
      <c r="M33" s="967"/>
      <c r="N33" s="967"/>
      <c r="O33" s="967"/>
      <c r="P33" s="967"/>
      <c r="Q33" s="967"/>
      <c r="R33" s="967"/>
      <c r="S33" s="967"/>
      <c r="T33" s="967"/>
      <c r="U33" s="968"/>
    </row>
    <row r="34" spans="2:21" s="227" customFormat="1" ht="15.75" thickTop="1"/>
    <row r="35" spans="2:21" s="227" customFormat="1"/>
    <row r="36" spans="2:21" s="227" customFormat="1"/>
    <row r="37" spans="2:21" s="227" customFormat="1"/>
    <row r="38" spans="2:21" s="227" customFormat="1"/>
  </sheetData>
  <sheetProtection password="B1AA" sheet="1" objects="1" scenarios="1"/>
  <mergeCells count="19">
    <mergeCell ref="E6:S6"/>
    <mergeCell ref="E7:S7"/>
    <mergeCell ref="E12:T12"/>
    <mergeCell ref="E13:T13"/>
    <mergeCell ref="E14:T14"/>
    <mergeCell ref="E15:T15"/>
    <mergeCell ref="E32:T32"/>
    <mergeCell ref="E5:T5"/>
    <mergeCell ref="I20:O22"/>
    <mergeCell ref="I24:O26"/>
    <mergeCell ref="E9:T9"/>
    <mergeCell ref="E10:T10"/>
    <mergeCell ref="E11:T11"/>
    <mergeCell ref="E17:T17"/>
    <mergeCell ref="E18:T18"/>
    <mergeCell ref="E16:T16"/>
    <mergeCell ref="E29:T29"/>
    <mergeCell ref="E30:T30"/>
    <mergeCell ref="E31:T31"/>
  </mergeCells>
  <hyperlinks>
    <hyperlink ref="I20:O22" location="'Main Menu'!A1" display="Click here to start"/>
    <hyperlink ref="I24:O26" r:id="rId1" display="Click here to access our web page"/>
  </hyperlinks>
  <pageMargins left="0.511811024" right="0.511811024" top="0.78740157499999996" bottom="0.78740157499999996" header="0.31496062000000002" footer="0.31496062000000002"/>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Plan19"/>
  <dimension ref="A1:AG125"/>
  <sheetViews>
    <sheetView showGridLines="0" zoomScale="85" zoomScaleNormal="85" workbookViewId="0">
      <selection activeCell="D14" sqref="D14:E16"/>
    </sheetView>
  </sheetViews>
  <sheetFormatPr defaultColWidth="9" defaultRowHeight="14.25"/>
  <cols>
    <col min="1" max="1" width="2" style="210" customWidth="1"/>
    <col min="2" max="2" width="3.42578125" style="89" customWidth="1"/>
    <col min="3" max="3" width="11.7109375" style="89" customWidth="1"/>
    <col min="4" max="4" width="9.140625" style="89" customWidth="1"/>
    <col min="5" max="5" width="5.85546875" style="89" customWidth="1"/>
    <col min="6" max="6" width="9.140625" style="89" customWidth="1"/>
    <col min="7" max="7" width="6" style="89" customWidth="1"/>
    <col min="8" max="8" width="9" style="89"/>
    <col min="9" max="9" width="5.85546875" style="89" customWidth="1"/>
    <col min="10" max="10" width="9" style="89"/>
    <col min="11" max="11" width="5.42578125" style="89" customWidth="1"/>
    <col min="12" max="12" width="10.42578125" style="89" customWidth="1"/>
    <col min="13" max="13" width="4.7109375" style="89" customWidth="1"/>
    <col min="14" max="14" width="9" style="89"/>
    <col min="15" max="15" width="6.7109375" style="89" customWidth="1"/>
    <col min="16" max="16" width="5.42578125" style="89" customWidth="1"/>
    <col min="17" max="17" width="7.28515625" style="89" customWidth="1"/>
    <col min="18" max="18" width="22" style="89" customWidth="1"/>
    <col min="19" max="19" width="5.5703125" style="89" customWidth="1"/>
    <col min="20" max="20" width="9" style="89"/>
    <col min="21" max="21" width="17.28515625" style="89" customWidth="1"/>
    <col min="22" max="22" width="9.85546875" style="89" customWidth="1"/>
    <col min="23" max="23" width="6.42578125" style="89" customWidth="1"/>
    <col min="24" max="24" width="9" style="210"/>
    <col min="25" max="25" width="10.28515625" style="210" customWidth="1"/>
    <col min="26" max="26" width="9" style="210"/>
    <col min="27" max="27" width="0" style="210" hidden="1" customWidth="1"/>
    <col min="28" max="28" width="9" style="210" hidden="1" customWidth="1"/>
    <col min="29" max="33" width="9" style="89" hidden="1" customWidth="1"/>
    <col min="34" max="35" width="0" style="89" hidden="1" customWidth="1"/>
    <col min="36" max="16384" width="9" style="89"/>
  </cols>
  <sheetData>
    <row r="1" spans="2:28" s="210" customFormat="1"/>
    <row r="2" spans="2:28" s="210" customFormat="1" ht="7.5" customHeight="1" thickBot="1">
      <c r="B2" s="212"/>
      <c r="C2" s="211"/>
      <c r="D2" s="211"/>
      <c r="E2" s="211"/>
      <c r="F2" s="211"/>
      <c r="G2" s="211"/>
      <c r="H2" s="211"/>
      <c r="I2" s="211"/>
      <c r="J2" s="211"/>
      <c r="K2" s="211"/>
      <c r="L2" s="211"/>
      <c r="M2" s="211"/>
      <c r="N2" s="211"/>
      <c r="O2" s="211"/>
    </row>
    <row r="3" spans="2:28">
      <c r="B3" s="90"/>
      <c r="C3" s="91"/>
      <c r="D3" s="91"/>
      <c r="E3" s="91"/>
      <c r="F3" s="91"/>
      <c r="G3" s="91"/>
      <c r="H3" s="91"/>
      <c r="I3" s="91"/>
      <c r="J3" s="91"/>
      <c r="K3" s="91"/>
      <c r="L3" s="91"/>
      <c r="M3" s="91"/>
      <c r="N3" s="91"/>
      <c r="O3" s="91"/>
      <c r="P3" s="91"/>
      <c r="Q3" s="91"/>
      <c r="R3" s="91"/>
      <c r="S3" s="91"/>
      <c r="T3" s="91"/>
      <c r="U3" s="91"/>
      <c r="V3" s="91"/>
      <c r="W3" s="92"/>
      <c r="AB3" s="489"/>
    </row>
    <row r="4" spans="2:28" ht="26.25">
      <c r="B4" s="93"/>
      <c r="C4" s="94"/>
      <c r="D4" s="1261" t="s">
        <v>571</v>
      </c>
      <c r="E4" s="1261"/>
      <c r="F4" s="1261"/>
      <c r="G4" s="1261"/>
      <c r="H4" s="1261"/>
      <c r="I4" s="1261"/>
      <c r="J4" s="1261"/>
      <c r="K4" s="1261"/>
      <c r="L4" s="1261"/>
      <c r="M4" s="1261"/>
      <c r="N4" s="1261"/>
      <c r="O4" s="1261"/>
      <c r="P4" s="1261"/>
      <c r="Q4" s="1261"/>
      <c r="R4" s="1261"/>
      <c r="S4" s="1261"/>
      <c r="T4" s="1261"/>
      <c r="U4" s="1261"/>
      <c r="V4" s="94"/>
      <c r="W4" s="96"/>
      <c r="AB4" s="489"/>
    </row>
    <row r="5" spans="2:28">
      <c r="B5" s="93"/>
      <c r="C5" s="94"/>
      <c r="D5" s="94"/>
      <c r="E5" s="94"/>
      <c r="F5" s="94"/>
      <c r="G5" s="94"/>
      <c r="H5" s="94"/>
      <c r="I5" s="94"/>
      <c r="J5" s="94"/>
      <c r="K5" s="94"/>
      <c r="L5" s="94"/>
      <c r="M5" s="94"/>
      <c r="N5" s="94"/>
      <c r="O5" s="94"/>
      <c r="P5" s="94"/>
      <c r="Q5" s="94"/>
      <c r="R5" s="94"/>
      <c r="S5" s="94"/>
      <c r="T5" s="94"/>
      <c r="U5" s="94"/>
      <c r="V5" s="94"/>
      <c r="W5" s="96"/>
      <c r="AB5" s="489"/>
    </row>
    <row r="6" spans="2:28">
      <c r="B6" s="93"/>
      <c r="C6" s="97"/>
      <c r="D6" s="97"/>
      <c r="E6" s="97"/>
      <c r="F6" s="97"/>
      <c r="G6" s="97"/>
      <c r="H6" s="97"/>
      <c r="I6" s="97"/>
      <c r="J6" s="97"/>
      <c r="K6" s="97"/>
      <c r="L6" s="97"/>
      <c r="M6" s="97"/>
      <c r="N6" s="97"/>
      <c r="O6" s="94"/>
      <c r="P6" s="94"/>
      <c r="Q6" s="94"/>
      <c r="R6" s="94"/>
      <c r="S6" s="94"/>
      <c r="T6" s="94"/>
      <c r="U6" s="94"/>
      <c r="V6" s="94"/>
      <c r="W6" s="96"/>
      <c r="AB6" s="489"/>
    </row>
    <row r="7" spans="2:28" ht="15">
      <c r="B7" s="93"/>
      <c r="C7" s="94"/>
      <c r="D7" s="97"/>
      <c r="E7" s="98"/>
      <c r="F7" s="94"/>
      <c r="G7" s="94"/>
      <c r="H7" s="94"/>
      <c r="I7" s="94"/>
      <c r="J7" s="1338"/>
      <c r="K7" s="1338"/>
      <c r="L7" s="1338"/>
      <c r="M7" s="99"/>
      <c r="N7" s="97"/>
      <c r="O7" s="97"/>
      <c r="P7" s="100"/>
      <c r="Q7" s="97"/>
      <c r="R7" s="94"/>
      <c r="S7" s="94"/>
      <c r="T7" s="94"/>
      <c r="U7" s="94"/>
      <c r="V7" s="94"/>
      <c r="W7" s="96"/>
      <c r="AB7" s="489"/>
    </row>
    <row r="8" spans="2:28" ht="15.75" thickBot="1">
      <c r="B8" s="93"/>
      <c r="C8" s="172" t="s">
        <v>396</v>
      </c>
      <c r="D8" s="97"/>
      <c r="E8" s="98"/>
      <c r="F8" s="94"/>
      <c r="G8" s="94"/>
      <c r="H8" s="94"/>
      <c r="I8" s="94"/>
      <c r="J8" s="401"/>
      <c r="K8" s="401"/>
      <c r="L8" s="401"/>
      <c r="M8" s="99"/>
      <c r="N8" s="97"/>
      <c r="O8" s="97"/>
      <c r="P8" s="100"/>
      <c r="Q8" s="97"/>
      <c r="R8" s="94"/>
      <c r="S8" s="94"/>
      <c r="T8" s="94"/>
      <c r="U8" s="94"/>
      <c r="V8" s="94"/>
      <c r="W8" s="96"/>
      <c r="AB8" s="489"/>
    </row>
    <row r="9" spans="2:28" ht="16.5" thickTop="1" thickBot="1">
      <c r="B9" s="93"/>
      <c r="C9" s="406"/>
      <c r="D9" s="407"/>
      <c r="E9" s="408"/>
      <c r="F9" s="409"/>
      <c r="G9" s="409"/>
      <c r="H9" s="409"/>
      <c r="I9" s="409"/>
      <c r="J9" s="410"/>
      <c r="K9" s="410"/>
      <c r="L9" s="410"/>
      <c r="M9" s="411"/>
      <c r="N9" s="407"/>
      <c r="O9" s="407"/>
      <c r="P9" s="412"/>
      <c r="Q9" s="407"/>
      <c r="R9" s="409"/>
      <c r="S9" s="409"/>
      <c r="T9" s="409"/>
      <c r="U9" s="409"/>
      <c r="V9" s="413"/>
      <c r="W9" s="96"/>
      <c r="AB9" s="489"/>
    </row>
    <row r="10" spans="2:28" ht="15.75" customHeight="1">
      <c r="B10" s="93"/>
      <c r="C10" s="414"/>
      <c r="D10" s="1301" t="s">
        <v>398</v>
      </c>
      <c r="E10" s="1302"/>
      <c r="F10" s="1302"/>
      <c r="G10" s="1302"/>
      <c r="H10" s="1302"/>
      <c r="I10" s="1302"/>
      <c r="J10" s="1302"/>
      <c r="K10" s="1302"/>
      <c r="L10" s="1302"/>
      <c r="M10" s="1303"/>
      <c r="N10" s="97"/>
      <c r="O10" s="97"/>
      <c r="P10" s="100"/>
      <c r="Q10" s="97"/>
      <c r="R10" s="94"/>
      <c r="S10" s="94"/>
      <c r="T10" s="94"/>
      <c r="U10" s="94"/>
      <c r="V10" s="415"/>
      <c r="W10" s="96"/>
      <c r="AB10" s="489"/>
    </row>
    <row r="11" spans="2:28" ht="15.75" customHeight="1">
      <c r="B11" s="93"/>
      <c r="C11" s="414"/>
      <c r="D11" s="1304"/>
      <c r="E11" s="1305"/>
      <c r="F11" s="1305"/>
      <c r="G11" s="1305"/>
      <c r="H11" s="1305"/>
      <c r="I11" s="1305"/>
      <c r="J11" s="1305"/>
      <c r="K11" s="1305"/>
      <c r="L11" s="1305"/>
      <c r="M11" s="1306"/>
      <c r="N11" s="97"/>
      <c r="O11" s="97"/>
      <c r="P11" s="100"/>
      <c r="Q11" s="97"/>
      <c r="R11" s="94"/>
      <c r="S11" s="94"/>
      <c r="T11" s="94"/>
      <c r="U11" s="94"/>
      <c r="V11" s="415"/>
      <c r="W11" s="96"/>
      <c r="AB11" s="489"/>
    </row>
    <row r="12" spans="2:28" ht="15.75" customHeight="1" thickBot="1">
      <c r="B12" s="93"/>
      <c r="C12" s="414"/>
      <c r="D12" s="1307"/>
      <c r="E12" s="1308"/>
      <c r="F12" s="1308"/>
      <c r="G12" s="1308"/>
      <c r="H12" s="1308"/>
      <c r="I12" s="1308"/>
      <c r="J12" s="1308"/>
      <c r="K12" s="1308"/>
      <c r="L12" s="1308"/>
      <c r="M12" s="1309"/>
      <c r="N12" s="51"/>
      <c r="O12" s="51"/>
      <c r="P12" s="51"/>
      <c r="Q12" s="51"/>
      <c r="R12" s="51"/>
      <c r="S12" s="51"/>
      <c r="T12" s="51"/>
      <c r="U12" s="51"/>
      <c r="V12" s="416"/>
      <c r="W12" s="96"/>
      <c r="AB12" s="489"/>
    </row>
    <row r="13" spans="2:28" ht="19.5" thickBot="1">
      <c r="B13" s="93"/>
      <c r="C13" s="414"/>
      <c r="D13" s="97"/>
      <c r="E13" s="98"/>
      <c r="F13" s="51"/>
      <c r="G13" s="51"/>
      <c r="H13" s="65"/>
      <c r="I13" s="51"/>
      <c r="J13" s="51"/>
      <c r="K13" s="51"/>
      <c r="L13" s="51"/>
      <c r="M13" s="51"/>
      <c r="N13" s="51"/>
      <c r="O13" s="51"/>
      <c r="P13" s="51"/>
      <c r="Q13" s="51"/>
      <c r="R13" s="51"/>
      <c r="S13" s="51"/>
      <c r="T13" s="51"/>
      <c r="U13" s="51"/>
      <c r="V13" s="416"/>
      <c r="W13" s="96"/>
      <c r="AB13" s="489"/>
    </row>
    <row r="14" spans="2:28" ht="15.75" customHeight="1">
      <c r="B14" s="93"/>
      <c r="C14" s="414"/>
      <c r="D14" s="1262" t="s">
        <v>458</v>
      </c>
      <c r="E14" s="1263"/>
      <c r="F14" s="51"/>
      <c r="G14" s="51"/>
      <c r="H14" s="51"/>
      <c r="I14" s="51"/>
      <c r="J14" s="51"/>
      <c r="K14" s="51"/>
      <c r="L14" s="51"/>
      <c r="M14" s="51"/>
      <c r="N14" s="51"/>
      <c r="O14" s="51"/>
      <c r="P14" s="51"/>
      <c r="Q14" s="51"/>
      <c r="R14" s="51"/>
      <c r="S14" s="51"/>
      <c r="T14" s="51"/>
      <c r="U14" s="51"/>
      <c r="V14" s="416"/>
      <c r="W14" s="96"/>
      <c r="AB14" s="489"/>
    </row>
    <row r="15" spans="2:28" ht="15.75" thickBot="1">
      <c r="B15" s="93"/>
      <c r="C15" s="414"/>
      <c r="D15" s="1264"/>
      <c r="E15" s="1265"/>
      <c r="F15" s="51"/>
      <c r="G15" s="51"/>
      <c r="H15" s="51"/>
      <c r="I15" s="51"/>
      <c r="J15" s="51"/>
      <c r="K15" s="51"/>
      <c r="L15" s="51"/>
      <c r="M15" s="51"/>
      <c r="N15" s="51"/>
      <c r="O15" s="51"/>
      <c r="P15" s="51"/>
      <c r="Q15" s="51"/>
      <c r="R15" s="51"/>
      <c r="S15" s="51"/>
      <c r="T15" s="51"/>
      <c r="U15" s="51"/>
      <c r="V15" s="416"/>
      <c r="W15" s="96"/>
      <c r="AB15" s="489"/>
    </row>
    <row r="16" spans="2:28" ht="15.75" thickBot="1">
      <c r="B16" s="93"/>
      <c r="C16" s="414"/>
      <c r="D16" s="1266"/>
      <c r="E16" s="1267"/>
      <c r="F16" s="51"/>
      <c r="G16" s="1313" t="s">
        <v>194</v>
      </c>
      <c r="H16" s="1314"/>
      <c r="I16" s="1315"/>
      <c r="J16" s="1291" t="s">
        <v>511</v>
      </c>
      <c r="K16" s="1292"/>
      <c r="L16" s="51"/>
      <c r="M16" s="51"/>
      <c r="N16" s="51"/>
      <c r="O16" s="51"/>
      <c r="P16" s="51"/>
      <c r="Q16" s="51"/>
      <c r="R16" s="51"/>
      <c r="S16" s="51"/>
      <c r="T16" s="51"/>
      <c r="U16" s="51"/>
      <c r="V16" s="416"/>
      <c r="W16" s="96"/>
      <c r="AB16" s="489"/>
    </row>
    <row r="17" spans="2:32" ht="15.75" thickBot="1">
      <c r="B17" s="93"/>
      <c r="C17" s="414"/>
      <c r="D17" s="97"/>
      <c r="E17" s="98"/>
      <c r="F17" s="51"/>
      <c r="G17" s="1310" t="s">
        <v>174</v>
      </c>
      <c r="H17" s="1311"/>
      <c r="I17" s="1312"/>
      <c r="J17" s="1293">
        <f>IF(G17=AC26,Woodchip!S8,IF(G17=AC27,Woodchip!S10,Woodchip!S12))*100</f>
        <v>1.3102517271500038</v>
      </c>
      <c r="K17" s="1294"/>
      <c r="L17" s="51"/>
      <c r="M17" s="51"/>
      <c r="N17" s="51"/>
      <c r="O17" s="51"/>
      <c r="P17" s="51"/>
      <c r="Q17" s="51"/>
      <c r="R17" s="51"/>
      <c r="S17" s="51"/>
      <c r="T17" s="51"/>
      <c r="U17" s="51"/>
      <c r="V17" s="416"/>
      <c r="W17" s="96"/>
      <c r="AB17" s="489"/>
    </row>
    <row r="18" spans="2:32" ht="15.75" thickBot="1">
      <c r="B18" s="93"/>
      <c r="C18" s="414"/>
      <c r="D18" s="97"/>
      <c r="E18" s="98"/>
      <c r="F18" s="51"/>
      <c r="G18" s="1273" t="s">
        <v>30</v>
      </c>
      <c r="H18" s="1274"/>
      <c r="I18" s="1275"/>
      <c r="J18" s="1295">
        <f>IF(G18=AE26,Pellet!Q8,IF(G18=AE27,Pellet!Q10,Pellet!Q12))*100</f>
        <v>2.6357584563917147</v>
      </c>
      <c r="K18" s="1296"/>
      <c r="L18" s="773" t="s">
        <v>497</v>
      </c>
      <c r="M18" s="51"/>
      <c r="N18" s="51"/>
      <c r="O18" s="51"/>
      <c r="P18" s="51"/>
      <c r="Q18" s="51"/>
      <c r="R18" s="51"/>
      <c r="S18" s="51"/>
      <c r="T18" s="51"/>
      <c r="U18" s="51"/>
      <c r="V18" s="416"/>
      <c r="W18" s="96"/>
      <c r="AB18" s="97" t="s">
        <v>387</v>
      </c>
      <c r="AC18" s="97"/>
      <c r="AD18" s="97"/>
      <c r="AE18" s="100"/>
      <c r="AF18" s="97"/>
    </row>
    <row r="19" spans="2:32" ht="15.75" thickBot="1">
      <c r="B19" s="93"/>
      <c r="C19" s="414"/>
      <c r="D19" s="97"/>
      <c r="E19" s="98"/>
      <c r="F19" s="51"/>
      <c r="G19" s="424" t="s">
        <v>187</v>
      </c>
      <c r="H19" s="423"/>
      <c r="I19" s="425"/>
      <c r="J19" s="1297">
        <f>IF(I29="Woodenergy",3.75,IF(I29="User Input",L19,2.17))</f>
        <v>3.75</v>
      </c>
      <c r="K19" s="1298"/>
      <c r="L19" s="939"/>
      <c r="M19" s="51"/>
      <c r="N19" s="51"/>
      <c r="O19" s="51"/>
      <c r="P19" s="51"/>
      <c r="Q19" s="51"/>
      <c r="R19" s="51"/>
      <c r="S19" s="51"/>
      <c r="T19" s="51"/>
      <c r="U19" s="51"/>
      <c r="V19" s="416"/>
      <c r="W19" s="96"/>
      <c r="AB19" s="97" t="s">
        <v>388</v>
      </c>
      <c r="AC19" s="97"/>
      <c r="AD19" s="97"/>
      <c r="AE19" s="100"/>
      <c r="AF19" s="97"/>
    </row>
    <row r="20" spans="2:32" ht="15.75" thickBot="1">
      <c r="B20" s="93"/>
      <c r="C20" s="414"/>
      <c r="D20" s="97"/>
      <c r="E20" s="98"/>
      <c r="F20" s="51"/>
      <c r="G20" s="1270" t="s">
        <v>188</v>
      </c>
      <c r="H20" s="1276" t="str">
        <f>IF(I29="Woodenergy","19 kg propane","Bulk")</f>
        <v>19 kg propane</v>
      </c>
      <c r="I20" s="1277"/>
      <c r="J20" s="1284">
        <f>IF(I29="Woodenergy",8.26,IF(I29="User Input",L20,3.71))</f>
        <v>8.26</v>
      </c>
      <c r="K20" s="1285"/>
      <c r="L20" s="940"/>
      <c r="M20" s="51"/>
      <c r="N20" s="51"/>
      <c r="O20" s="51"/>
      <c r="P20" s="51"/>
      <c r="Q20" s="51"/>
      <c r="R20" s="51"/>
      <c r="S20" s="51"/>
      <c r="T20" s="51"/>
      <c r="U20" s="51"/>
      <c r="V20" s="416"/>
      <c r="W20" s="96"/>
      <c r="AB20" s="487" t="s">
        <v>389</v>
      </c>
      <c r="AC20" s="487"/>
      <c r="AD20" s="487"/>
      <c r="AE20" s="488"/>
      <c r="AF20" s="487"/>
    </row>
    <row r="21" spans="2:32" ht="15.75" thickBot="1">
      <c r="B21" s="93"/>
      <c r="C21" s="417"/>
      <c r="D21" s="97"/>
      <c r="E21" s="98"/>
      <c r="F21" s="51"/>
      <c r="G21" s="1271"/>
      <c r="H21" s="1278" t="str">
        <f>IF(I29="Woodenergy","47 kg propane","Botled")</f>
        <v>47 kg propane</v>
      </c>
      <c r="I21" s="1279"/>
      <c r="J21" s="1284">
        <f>IF(I29="Woodenergy",6.76,IF(I29="User Input",L21,4.32))</f>
        <v>6.76</v>
      </c>
      <c r="K21" s="1285"/>
      <c r="L21" s="940"/>
      <c r="M21" s="51"/>
      <c r="N21" s="51"/>
      <c r="O21" s="51"/>
      <c r="P21" s="51"/>
      <c r="Q21" s="51"/>
      <c r="R21" s="51"/>
      <c r="S21" s="51"/>
      <c r="T21" s="51"/>
      <c r="U21" s="51"/>
      <c r="V21" s="416"/>
      <c r="W21" s="96"/>
      <c r="AB21" s="487" t="s">
        <v>390</v>
      </c>
      <c r="AC21" s="487"/>
      <c r="AD21" s="487"/>
      <c r="AE21" s="1364" t="e">
        <f>(#REF!)*(1/100)*('Boiler '!E54)-F56</f>
        <v>#REF!</v>
      </c>
      <c r="AF21" s="1364"/>
    </row>
    <row r="22" spans="2:32" ht="15.75" thickBot="1">
      <c r="B22" s="93"/>
      <c r="C22" s="417"/>
      <c r="D22" s="97"/>
      <c r="E22" s="98"/>
      <c r="F22" s="51"/>
      <c r="G22" s="1271"/>
      <c r="H22" s="1278" t="s">
        <v>493</v>
      </c>
      <c r="I22" s="1279"/>
      <c r="J22" s="1284">
        <f>IF(I29="Woodenergy",4.68,IF(I29="User Input",L22,"No Data"))</f>
        <v>4.68</v>
      </c>
      <c r="K22" s="1285"/>
      <c r="L22" s="940"/>
      <c r="M22" s="51"/>
      <c r="N22" s="51"/>
      <c r="O22" s="51"/>
      <c r="P22" s="51"/>
      <c r="Q22" s="51"/>
      <c r="R22" s="51"/>
      <c r="S22" s="51"/>
      <c r="T22" s="51"/>
      <c r="U22" s="51"/>
      <c r="V22" s="416"/>
      <c r="W22" s="96"/>
      <c r="AB22" s="487"/>
      <c r="AC22" s="487"/>
      <c r="AD22" s="487"/>
      <c r="AE22" s="488"/>
      <c r="AF22" s="487"/>
    </row>
    <row r="23" spans="2:32" ht="15.75" thickBot="1">
      <c r="B23" s="93"/>
      <c r="C23" s="417"/>
      <c r="D23" s="97"/>
      <c r="E23" s="98"/>
      <c r="F23" s="51"/>
      <c r="G23" s="1272"/>
      <c r="H23" s="1316" t="s">
        <v>494</v>
      </c>
      <c r="I23" s="1317"/>
      <c r="J23" s="1284">
        <f>IF(I29="Woodenergy",3.51,IF(I29="User Input",L23,"No Data"))</f>
        <v>3.51</v>
      </c>
      <c r="K23" s="1285"/>
      <c r="L23" s="940"/>
      <c r="M23" s="51"/>
      <c r="N23" s="51"/>
      <c r="O23" s="51"/>
      <c r="P23" s="51"/>
      <c r="Q23" s="51"/>
      <c r="R23" s="51"/>
      <c r="S23" s="51"/>
      <c r="T23" s="51"/>
      <c r="U23" s="51"/>
      <c r="V23" s="416"/>
      <c r="W23" s="96"/>
      <c r="AB23" s="487" t="s">
        <v>391</v>
      </c>
      <c r="AC23" s="487"/>
      <c r="AD23" s="487"/>
      <c r="AE23" s="1364" t="e">
        <f>('Boiler '!E19)/AE21</f>
        <v>#REF!</v>
      </c>
      <c r="AF23" s="1365"/>
    </row>
    <row r="24" spans="2:32" ht="15.75" thickBot="1">
      <c r="B24" s="93"/>
      <c r="C24" s="417"/>
      <c r="D24" s="97"/>
      <c r="E24" s="98"/>
      <c r="F24" s="51"/>
      <c r="G24" s="1288" t="s">
        <v>189</v>
      </c>
      <c r="H24" s="1289"/>
      <c r="I24" s="1290"/>
      <c r="J24" s="1318">
        <f>IF(I29="Woodenergy",10,IF(I29="User Input",L24,7.12))</f>
        <v>10</v>
      </c>
      <c r="K24" s="1319"/>
      <c r="L24" s="940"/>
      <c r="M24" s="51"/>
      <c r="N24" s="51"/>
      <c r="O24" s="51"/>
      <c r="P24" s="51"/>
      <c r="Q24" s="51"/>
      <c r="R24" s="51"/>
      <c r="S24" s="51"/>
      <c r="T24" s="51"/>
      <c r="U24" s="51"/>
      <c r="V24" s="416"/>
      <c r="W24" s="96"/>
      <c r="AB24" s="489"/>
      <c r="AC24" s="489"/>
      <c r="AD24" s="489"/>
      <c r="AE24" s="489"/>
      <c r="AF24" s="489"/>
    </row>
    <row r="25" spans="2:32" ht="15.75" thickBot="1">
      <c r="B25" s="93"/>
      <c r="C25" s="417"/>
      <c r="D25" s="97"/>
      <c r="E25" s="98"/>
      <c r="F25" s="51"/>
      <c r="G25" s="1320" t="s">
        <v>190</v>
      </c>
      <c r="H25" s="1321"/>
      <c r="I25" s="1322"/>
      <c r="J25" s="1286">
        <f>IF(I29="Woodenergy",3,IF(I29="User Input",L25,1.63))</f>
        <v>3</v>
      </c>
      <c r="K25" s="1287"/>
      <c r="L25" s="940"/>
      <c r="M25" s="51"/>
      <c r="N25" s="51"/>
      <c r="O25" s="51"/>
      <c r="P25" s="51"/>
      <c r="Q25" s="51"/>
      <c r="R25" s="51"/>
      <c r="S25" s="51"/>
      <c r="T25" s="51"/>
      <c r="U25" s="51"/>
      <c r="V25" s="416"/>
      <c r="W25" s="96"/>
      <c r="AB25" s="489"/>
      <c r="AC25" s="490" t="s">
        <v>379</v>
      </c>
      <c r="AD25" s="222"/>
      <c r="AE25" s="222"/>
      <c r="AF25" s="491"/>
    </row>
    <row r="26" spans="2:32" ht="15.75" thickBot="1">
      <c r="B26" s="93"/>
      <c r="C26" s="417"/>
      <c r="D26" s="97"/>
      <c r="E26" s="98"/>
      <c r="F26" s="51"/>
      <c r="G26" s="1323" t="s">
        <v>191</v>
      </c>
      <c r="H26" s="1280" t="s">
        <v>192</v>
      </c>
      <c r="I26" s="1281"/>
      <c r="J26" s="1299">
        <f>IF(I29="Woodenergy",2.57,IF(I29="User Input",L26,1.91))</f>
        <v>2.57</v>
      </c>
      <c r="K26" s="1300"/>
      <c r="L26" s="940"/>
      <c r="M26" s="51"/>
      <c r="N26" s="51"/>
      <c r="O26" s="51"/>
      <c r="P26" s="51"/>
      <c r="Q26" s="51"/>
      <c r="R26" s="51"/>
      <c r="S26" s="51"/>
      <c r="T26" s="51"/>
      <c r="U26" s="51"/>
      <c r="V26" s="416"/>
      <c r="W26" s="96"/>
      <c r="AB26" s="489"/>
      <c r="AC26" s="492" t="str">
        <f>Woodchip!C8</f>
        <v>Woodchip1</v>
      </c>
      <c r="AD26" s="220"/>
      <c r="AE26" s="220" t="str">
        <f>Pellet!C8</f>
        <v>Pellet1</v>
      </c>
      <c r="AF26" s="223"/>
    </row>
    <row r="27" spans="2:32" ht="15.75" thickBot="1">
      <c r="B27" s="93"/>
      <c r="C27" s="417"/>
      <c r="D27" s="97"/>
      <c r="E27" s="98"/>
      <c r="F27" s="51"/>
      <c r="G27" s="1324"/>
      <c r="H27" s="1282" t="s">
        <v>193</v>
      </c>
      <c r="I27" s="1283"/>
      <c r="J27" s="1299">
        <f>IF(I29="Woodenergy",4.09,IF(I29="User Input",L27,"No Data"))</f>
        <v>4.09</v>
      </c>
      <c r="K27" s="1300"/>
      <c r="L27" s="941"/>
      <c r="M27" s="51"/>
      <c r="N27" s="51"/>
      <c r="O27" s="51"/>
      <c r="P27" s="51"/>
      <c r="Q27" s="51"/>
      <c r="R27" s="51"/>
      <c r="S27" s="51"/>
      <c r="T27" s="51"/>
      <c r="U27" s="51"/>
      <c r="V27" s="416"/>
      <c r="W27" s="96"/>
      <c r="AB27" s="489"/>
      <c r="AC27" s="492" t="str">
        <f>Woodchip!C10</f>
        <v>Woodchip2</v>
      </c>
      <c r="AD27" s="220"/>
      <c r="AE27" s="220" t="str">
        <f>Pellet!C10</f>
        <v>Pellet2</v>
      </c>
      <c r="AF27" s="223"/>
    </row>
    <row r="28" spans="2:32" ht="15.75" thickBot="1">
      <c r="B28" s="93"/>
      <c r="C28" s="417"/>
      <c r="D28" s="97"/>
      <c r="E28" s="98"/>
      <c r="F28" s="51"/>
      <c r="G28" s="51" t="s">
        <v>498</v>
      </c>
      <c r="H28" s="51"/>
      <c r="I28" s="51"/>
      <c r="J28" s="51"/>
      <c r="K28" s="51"/>
      <c r="L28" s="51"/>
      <c r="M28" s="51"/>
      <c r="N28" s="51"/>
      <c r="O28" s="51"/>
      <c r="P28" s="51"/>
      <c r="Q28" s="51"/>
      <c r="R28" s="51"/>
      <c r="S28" s="51"/>
      <c r="T28" s="51"/>
      <c r="U28" s="51"/>
      <c r="V28" s="416"/>
      <c r="W28" s="96"/>
      <c r="AB28" s="489"/>
      <c r="AC28" s="492" t="str">
        <f>Woodchip!C12</f>
        <v>WoodChip3</v>
      </c>
      <c r="AD28" s="220"/>
      <c r="AE28" s="220" t="str">
        <f>Pellet!C12</f>
        <v>Pellet3</v>
      </c>
      <c r="AF28" s="223"/>
    </row>
    <row r="29" spans="2:32" ht="15.75" thickBot="1">
      <c r="B29" s="93"/>
      <c r="C29" s="417"/>
      <c r="D29" s="97"/>
      <c r="E29" s="98"/>
      <c r="F29" s="51"/>
      <c r="G29" s="1268" t="s">
        <v>226</v>
      </c>
      <c r="H29" s="1269"/>
      <c r="I29" s="1325" t="s">
        <v>227</v>
      </c>
      <c r="J29" s="1326"/>
      <c r="K29" s="51"/>
      <c r="L29" s="51"/>
      <c r="M29" s="51"/>
      <c r="N29" s="59"/>
      <c r="O29" s="51"/>
      <c r="P29" s="51"/>
      <c r="Q29" s="51"/>
      <c r="R29" s="51"/>
      <c r="S29" s="51"/>
      <c r="T29" s="51"/>
      <c r="U29" s="51"/>
      <c r="V29" s="416"/>
      <c r="W29" s="96"/>
      <c r="AB29" s="489"/>
      <c r="AC29" s="493"/>
      <c r="AD29" s="494"/>
      <c r="AE29" s="494"/>
      <c r="AF29" s="225"/>
    </row>
    <row r="30" spans="2:32" ht="15">
      <c r="B30" s="93"/>
      <c r="C30" s="417"/>
      <c r="D30" s="97"/>
      <c r="E30" s="98"/>
      <c r="F30" s="51"/>
      <c r="G30" s="51"/>
      <c r="H30" s="51"/>
      <c r="I30" s="51"/>
      <c r="J30" s="51"/>
      <c r="K30" s="51"/>
      <c r="L30" s="51"/>
      <c r="M30" s="51"/>
      <c r="N30" s="51"/>
      <c r="O30" s="51"/>
      <c r="P30" s="51"/>
      <c r="Q30" s="51"/>
      <c r="R30" s="51"/>
      <c r="S30" s="51"/>
      <c r="T30" s="51"/>
      <c r="U30" s="51"/>
      <c r="V30" s="416"/>
      <c r="W30" s="96"/>
      <c r="AB30" s="489"/>
      <c r="AC30" s="489"/>
      <c r="AD30" s="489"/>
      <c r="AE30" s="489"/>
      <c r="AF30" s="489"/>
    </row>
    <row r="31" spans="2:32" ht="15.75" thickBot="1">
      <c r="B31" s="93"/>
      <c r="C31" s="417"/>
      <c r="D31" s="97"/>
      <c r="E31" s="98"/>
      <c r="F31" s="51" t="s">
        <v>229</v>
      </c>
      <c r="G31" s="51"/>
      <c r="H31" s="51"/>
      <c r="I31" s="51"/>
      <c r="J31" s="51"/>
      <c r="K31" s="51"/>
      <c r="L31" s="51"/>
      <c r="M31" s="51"/>
      <c r="N31" s="51"/>
      <c r="O31" s="51"/>
      <c r="P31" s="51"/>
      <c r="Q31" s="51"/>
      <c r="R31" s="51"/>
      <c r="S31" s="51"/>
      <c r="T31" s="51"/>
      <c r="U31" s="51"/>
      <c r="V31" s="416"/>
      <c r="W31" s="96"/>
      <c r="AB31" s="489"/>
      <c r="AC31" s="495" t="s">
        <v>399</v>
      </c>
      <c r="AD31" s="489"/>
      <c r="AE31" s="489"/>
      <c r="AF31" s="489"/>
    </row>
    <row r="32" spans="2:32" ht="15">
      <c r="B32" s="93"/>
      <c r="C32" s="417"/>
      <c r="D32" s="97"/>
      <c r="E32" s="98"/>
      <c r="F32" s="51"/>
      <c r="G32" s="66" t="s">
        <v>227</v>
      </c>
      <c r="H32" s="51"/>
      <c r="I32" s="51"/>
      <c r="J32" s="51"/>
      <c r="K32" s="51"/>
      <c r="L32" s="59"/>
      <c r="M32" s="51"/>
      <c r="N32" s="51"/>
      <c r="O32" s="51"/>
      <c r="P32" s="51"/>
      <c r="Q32" s="51"/>
      <c r="R32" s="51"/>
      <c r="S32" s="51"/>
      <c r="T32" s="51"/>
      <c r="U32" s="51"/>
      <c r="V32" s="416"/>
      <c r="W32" s="96"/>
      <c r="AB32" s="489"/>
      <c r="AC32" s="496">
        <f>IF(G17=AC26,Woodchip!J8,IF(G17=AC27,Woodchip!J10,Woodchip!J12))</f>
        <v>1364.2416666666666</v>
      </c>
      <c r="AD32" s="497">
        <f>IF(G17=AC26,Woodchip!I8,IF(G17=AC27,Woodchip!I10,Woodchip!I12))</f>
        <v>325</v>
      </c>
      <c r="AE32" s="498"/>
      <c r="AF32" s="489"/>
    </row>
    <row r="33" spans="2:32" ht="15.75" thickBot="1">
      <c r="B33" s="93"/>
      <c r="C33" s="418"/>
      <c r="D33" s="101"/>
      <c r="E33" s="102"/>
      <c r="F33" s="419"/>
      <c r="G33" s="420" t="s">
        <v>228</v>
      </c>
      <c r="H33" s="419"/>
      <c r="I33" s="419"/>
      <c r="J33" s="419"/>
      <c r="K33" s="419"/>
      <c r="L33" s="419"/>
      <c r="M33" s="419"/>
      <c r="N33" s="419"/>
      <c r="O33" s="419"/>
      <c r="P33" s="419"/>
      <c r="Q33" s="419"/>
      <c r="R33" s="419"/>
      <c r="S33" s="419"/>
      <c r="T33" s="419"/>
      <c r="U33" s="419"/>
      <c r="V33" s="421"/>
      <c r="W33" s="96"/>
      <c r="AB33" s="489"/>
      <c r="AC33" s="499">
        <f>IF(G18=AE26,Pellet!J8,IF(G18=AE27,Pellet!J10,Pellet!J12))</f>
        <v>3836.1296296296291</v>
      </c>
      <c r="AD33" s="487">
        <f>IF(G18=AE26,Pellet!I8,IF(G18=AE27,Pellet!I10,Pellet!I12))</f>
        <v>777.77777777777771</v>
      </c>
      <c r="AE33" s="500"/>
      <c r="AF33" s="489"/>
    </row>
    <row r="34" spans="2:32" ht="16.5" thickTop="1" thickBot="1">
      <c r="B34" s="93"/>
      <c r="C34" s="97"/>
      <c r="D34" s="97"/>
      <c r="E34" s="98"/>
      <c r="F34" s="51"/>
      <c r="G34" s="66"/>
      <c r="H34" s="51"/>
      <c r="I34" s="51"/>
      <c r="J34" s="51"/>
      <c r="K34" s="51"/>
      <c r="L34" s="51"/>
      <c r="M34" s="51"/>
      <c r="N34" s="51"/>
      <c r="O34" s="51"/>
      <c r="P34" s="51"/>
      <c r="Q34" s="51"/>
      <c r="R34" s="51"/>
      <c r="S34" s="51"/>
      <c r="T34" s="51"/>
      <c r="U34" s="51"/>
      <c r="V34" s="51"/>
      <c r="W34" s="96"/>
      <c r="AB34" s="489"/>
      <c r="AC34" s="493"/>
      <c r="AD34" s="501"/>
      <c r="AE34" s="502"/>
      <c r="AF34" s="489"/>
    </row>
    <row r="35" spans="2:32" ht="15">
      <c r="B35" s="93"/>
      <c r="C35" s="97"/>
      <c r="D35" s="97"/>
      <c r="E35" s="98"/>
      <c r="F35" s="51"/>
      <c r="G35" s="66"/>
      <c r="H35" s="51"/>
      <c r="I35" s="51"/>
      <c r="J35" s="51"/>
      <c r="K35" s="51"/>
      <c r="L35" s="51"/>
      <c r="M35" s="51"/>
      <c r="N35" s="51"/>
      <c r="O35" s="51"/>
      <c r="P35" s="51"/>
      <c r="Q35" s="51"/>
      <c r="R35" s="51"/>
      <c r="S35" s="51"/>
      <c r="T35" s="51"/>
      <c r="U35" s="51"/>
      <c r="V35" s="51"/>
      <c r="W35" s="96"/>
      <c r="AB35" s="489"/>
      <c r="AC35" s="489"/>
      <c r="AD35" s="489"/>
      <c r="AE35" s="489"/>
      <c r="AF35" s="489"/>
    </row>
    <row r="36" spans="2:32" ht="15" thickBot="1">
      <c r="B36" s="93"/>
      <c r="C36" s="422" t="s">
        <v>397</v>
      </c>
      <c r="D36" s="101"/>
      <c r="E36" s="102"/>
      <c r="F36" s="103"/>
      <c r="G36" s="103"/>
      <c r="H36" s="103"/>
      <c r="I36" s="103"/>
      <c r="J36" s="101"/>
      <c r="K36" s="101"/>
      <c r="L36" s="101"/>
      <c r="M36" s="101"/>
      <c r="N36" s="101"/>
      <c r="O36" s="101"/>
      <c r="P36" s="104"/>
      <c r="Q36" s="101"/>
      <c r="R36" s="103"/>
      <c r="S36" s="103"/>
      <c r="T36" s="103"/>
      <c r="U36" s="103"/>
      <c r="V36" s="94"/>
      <c r="W36" s="96"/>
      <c r="AB36" s="489"/>
      <c r="AC36" s="489"/>
      <c r="AD36" s="489"/>
      <c r="AE36" s="489"/>
      <c r="AF36" s="489"/>
    </row>
    <row r="37" spans="2:32" ht="15" thickTop="1">
      <c r="B37" s="93"/>
      <c r="C37" s="97"/>
      <c r="D37" s="97"/>
      <c r="E37" s="98"/>
      <c r="F37" s="94"/>
      <c r="G37" s="94"/>
      <c r="H37" s="94"/>
      <c r="I37" s="94"/>
      <c r="J37" s="97"/>
      <c r="K37" s="97"/>
      <c r="L37" s="97"/>
      <c r="M37" s="97"/>
      <c r="N37" s="97"/>
      <c r="O37" s="97"/>
      <c r="P37" s="100"/>
      <c r="Q37" s="97"/>
      <c r="R37" s="94"/>
      <c r="S37" s="94"/>
      <c r="T37" s="94"/>
      <c r="U37" s="94"/>
      <c r="V37" s="94"/>
      <c r="W37" s="96"/>
      <c r="AB37" s="489"/>
      <c r="AC37" s="489"/>
      <c r="AD37" s="489"/>
      <c r="AE37" s="489"/>
      <c r="AF37" s="489"/>
    </row>
    <row r="38" spans="2:32">
      <c r="B38" s="93"/>
      <c r="C38" s="97"/>
      <c r="D38" s="97"/>
      <c r="E38" s="98"/>
      <c r="F38" s="94"/>
      <c r="G38" s="94"/>
      <c r="H38" s="94"/>
      <c r="I38" s="94"/>
      <c r="J38" s="97"/>
      <c r="K38" s="97"/>
      <c r="L38" s="97"/>
      <c r="M38" s="97"/>
      <c r="N38" s="97"/>
      <c r="O38" s="97"/>
      <c r="P38" s="100"/>
      <c r="Q38" s="97"/>
      <c r="R38" s="94"/>
      <c r="S38" s="94"/>
      <c r="T38" s="94"/>
      <c r="U38" s="94"/>
      <c r="V38" s="94"/>
      <c r="W38" s="96"/>
      <c r="AB38" s="489"/>
      <c r="AC38" s="489"/>
      <c r="AD38" s="489"/>
      <c r="AE38" s="489"/>
      <c r="AF38" s="489"/>
    </row>
    <row r="39" spans="2:32" ht="15" thickBot="1">
      <c r="B39" s="93"/>
      <c r="C39" s="97"/>
      <c r="D39" s="97"/>
      <c r="E39" s="98"/>
      <c r="F39" s="94"/>
      <c r="G39" s="94"/>
      <c r="H39" s="94"/>
      <c r="I39" s="94"/>
      <c r="J39" s="97"/>
      <c r="K39" s="97"/>
      <c r="L39" s="97"/>
      <c r="M39" s="97"/>
      <c r="N39" s="97"/>
      <c r="O39" s="97"/>
      <c r="P39" s="100"/>
      <c r="Q39" s="97"/>
      <c r="R39" s="94"/>
      <c r="S39" s="94"/>
      <c r="T39" s="94"/>
      <c r="U39" s="94"/>
      <c r="V39" s="94"/>
      <c r="W39" s="96"/>
      <c r="AB39" s="489"/>
      <c r="AC39" s="489"/>
      <c r="AD39" s="489"/>
      <c r="AE39" s="489"/>
      <c r="AF39" s="489"/>
    </row>
    <row r="40" spans="2:32" ht="18.75">
      <c r="B40" s="93"/>
      <c r="C40" s="105" t="s">
        <v>381</v>
      </c>
      <c r="D40" s="97"/>
      <c r="E40" s="100"/>
      <c r="F40" s="97"/>
      <c r="G40" s="97"/>
      <c r="H40" s="97"/>
      <c r="I40" s="97"/>
      <c r="J40" s="97"/>
      <c r="K40" s="97"/>
      <c r="L40" s="106"/>
      <c r="M40" s="97"/>
      <c r="N40" s="97"/>
      <c r="O40" s="94"/>
      <c r="P40" s="94"/>
      <c r="Q40" s="94"/>
      <c r="R40" s="94"/>
      <c r="S40" s="94"/>
      <c r="T40" s="94"/>
      <c r="U40" s="94"/>
      <c r="V40" s="94"/>
      <c r="W40" s="96"/>
      <c r="AB40" s="489"/>
      <c r="AC40" s="496" t="s">
        <v>175</v>
      </c>
      <c r="AD40" s="497"/>
      <c r="AE40" s="498"/>
      <c r="AF40" s="489"/>
    </row>
    <row r="41" spans="2:32" ht="15" thickBot="1">
      <c r="B41" s="93"/>
      <c r="C41" s="97"/>
      <c r="D41" s="1349"/>
      <c r="E41" s="1349"/>
      <c r="F41" s="1349"/>
      <c r="G41" s="1349"/>
      <c r="H41" s="1350"/>
      <c r="I41" s="1350"/>
      <c r="J41" s="1350"/>
      <c r="K41" s="1350"/>
      <c r="L41" s="1351"/>
      <c r="M41" s="1351"/>
      <c r="N41" s="1351"/>
      <c r="O41" s="1351"/>
      <c r="P41" s="94"/>
      <c r="Q41" s="94"/>
      <c r="R41" s="94"/>
      <c r="S41" s="94"/>
      <c r="T41" s="94"/>
      <c r="U41" s="94"/>
      <c r="V41" s="94"/>
      <c r="W41" s="96"/>
      <c r="AB41" s="489"/>
      <c r="AC41" s="503">
        <f>IF($R$50="Fuel Cost - GBP",IF($T$50=$D$42,F44,IF($T$50=$H$42,J44,N44)),IF($T$50=$D$42,D44,IF($T$50=$H$42,H44,L44)))</f>
        <v>6.4326617375592896</v>
      </c>
      <c r="AD41" s="487"/>
      <c r="AE41" s="500"/>
      <c r="AF41" s="489"/>
    </row>
    <row r="42" spans="2:32" ht="15.75" thickBot="1">
      <c r="B42" s="93"/>
      <c r="C42" s="97"/>
      <c r="D42" s="1332" t="str">
        <f>Woodchip!C8</f>
        <v>Woodchip1</v>
      </c>
      <c r="E42" s="1333"/>
      <c r="F42" s="1333"/>
      <c r="G42" s="1334"/>
      <c r="H42" s="1332" t="str">
        <f>Woodchip!C10</f>
        <v>Woodchip2</v>
      </c>
      <c r="I42" s="1333"/>
      <c r="J42" s="1333"/>
      <c r="K42" s="1334"/>
      <c r="L42" s="1333" t="str">
        <f>Woodchip!C12</f>
        <v>WoodChip3</v>
      </c>
      <c r="M42" s="1333"/>
      <c r="N42" s="1333"/>
      <c r="O42" s="1334"/>
      <c r="P42" s="94"/>
      <c r="Q42" s="94"/>
      <c r="R42" s="94"/>
      <c r="S42" s="94"/>
      <c r="T42" s="94"/>
      <c r="U42" s="94"/>
      <c r="V42" s="94"/>
      <c r="W42" s="96"/>
      <c r="AB42" s="489"/>
      <c r="AC42" s="503">
        <f t="shared" ref="AC42:AC52" si="0">IF($R$50="Fuel Cost - GBP",IF($T$50=$D$42,F45,IF($T$50=$H$42,J45,N45)),IF($T$50=$D$42,D45,IF($T$50=$H$42,H45,L45)))</f>
        <v>5.8838452458978781</v>
      </c>
      <c r="AD42" s="487"/>
      <c r="AE42" s="500"/>
      <c r="AF42" s="489"/>
    </row>
    <row r="43" spans="2:32" ht="32.25" customHeight="1" thickBot="1">
      <c r="B43" s="93"/>
      <c r="C43" s="213" t="s">
        <v>107</v>
      </c>
      <c r="D43" s="1335" t="s">
        <v>171</v>
      </c>
      <c r="E43" s="1336"/>
      <c r="F43" s="1337" t="s">
        <v>170</v>
      </c>
      <c r="G43" s="1336"/>
      <c r="H43" s="1335" t="s">
        <v>171</v>
      </c>
      <c r="I43" s="1336"/>
      <c r="J43" s="1337" t="s">
        <v>170</v>
      </c>
      <c r="K43" s="1336"/>
      <c r="L43" s="1335" t="s">
        <v>171</v>
      </c>
      <c r="M43" s="1336"/>
      <c r="N43" s="1337" t="s">
        <v>170</v>
      </c>
      <c r="O43" s="1336"/>
      <c r="P43" s="94"/>
      <c r="Q43" s="94"/>
      <c r="R43" s="94"/>
      <c r="S43" s="94"/>
      <c r="T43" s="94"/>
      <c r="U43" s="94"/>
      <c r="V43" s="94"/>
      <c r="W43" s="96"/>
      <c r="AB43" s="489"/>
      <c r="AC43" s="503">
        <f t="shared" si="0"/>
        <v>5.3592160935147897</v>
      </c>
      <c r="AD43" s="487"/>
      <c r="AE43" s="500"/>
      <c r="AF43" s="489"/>
    </row>
    <row r="44" spans="2:32" ht="15.75" thickBot="1">
      <c r="B44" s="93"/>
      <c r="C44" s="214" t="s">
        <v>124</v>
      </c>
      <c r="D44" s="1330">
        <f>('Boiler '!E42/Woodchip!$M$8)/1000</f>
        <v>6.4326617375592896</v>
      </c>
      <c r="E44" s="1331"/>
      <c r="F44" s="1330">
        <f>'Boiler '!E42*Woodchip!$S$8</f>
        <v>353.79639556576092</v>
      </c>
      <c r="G44" s="1331"/>
      <c r="H44" s="1328">
        <f>('Boiler '!E42/Woodchip!$M$10)/1000</f>
        <v>6.4326617375592896</v>
      </c>
      <c r="I44" s="1329"/>
      <c r="J44" s="1328">
        <f>'Boiler '!E42*Woodchip!$S$10</f>
        <v>353.79639556576092</v>
      </c>
      <c r="K44" s="1329"/>
      <c r="L44" s="1339">
        <f>('Boiler '!E42/Woodchip!$M$12)/1000</f>
        <v>6.4326617375592896</v>
      </c>
      <c r="M44" s="1340"/>
      <c r="N44" s="1339">
        <f>'Boiler '!E42*Woodchip!$S$12</f>
        <v>353.79639556576092</v>
      </c>
      <c r="O44" s="1340"/>
      <c r="P44" s="94"/>
      <c r="Q44" s="94"/>
      <c r="R44" s="94"/>
      <c r="S44" s="94"/>
      <c r="T44" s="94"/>
      <c r="U44" s="94"/>
      <c r="V44" s="94"/>
      <c r="W44" s="96"/>
      <c r="AB44" s="489"/>
      <c r="AC44" s="503">
        <f t="shared" si="0"/>
        <v>4.7559605345223277</v>
      </c>
      <c r="AD44" s="487"/>
      <c r="AE44" s="500"/>
      <c r="AF44" s="489"/>
    </row>
    <row r="45" spans="2:32" ht="15.75" thickBot="1">
      <c r="B45" s="93"/>
      <c r="C45" s="215" t="s">
        <v>123</v>
      </c>
      <c r="D45" s="1330">
        <f>('Boiler '!E43/Woodchip!$M$8)/1000</f>
        <v>5.8838452458978781</v>
      </c>
      <c r="E45" s="1331"/>
      <c r="F45" s="1330">
        <f>'Boiler '!E43*Woodchip!$S$8</f>
        <v>323.61148852438328</v>
      </c>
      <c r="G45" s="1331"/>
      <c r="H45" s="1328">
        <f>('Boiler '!E43/Woodchip!$M$10)/1000</f>
        <v>5.8838452458978781</v>
      </c>
      <c r="I45" s="1329"/>
      <c r="J45" s="1328">
        <f>'Boiler '!E43*Woodchip!$S$10</f>
        <v>323.61148852438328</v>
      </c>
      <c r="K45" s="1329"/>
      <c r="L45" s="1339">
        <f>('Boiler '!E43/Woodchip!$M$12)/1000</f>
        <v>5.8838452458978781</v>
      </c>
      <c r="M45" s="1340"/>
      <c r="N45" s="1339">
        <f>'Boiler '!E43*Woodchip!$S$12</f>
        <v>323.61148852438328</v>
      </c>
      <c r="O45" s="1340"/>
      <c r="P45" s="94"/>
      <c r="Q45" s="94"/>
      <c r="R45" s="94"/>
      <c r="S45" s="94"/>
      <c r="T45" s="94"/>
      <c r="U45" s="94"/>
      <c r="V45" s="94"/>
      <c r="W45" s="96"/>
      <c r="AB45" s="489"/>
      <c r="AC45" s="503">
        <f t="shared" si="0"/>
        <v>4.1058573251317876</v>
      </c>
      <c r="AD45" s="487"/>
      <c r="AE45" s="500"/>
      <c r="AF45" s="489"/>
    </row>
    <row r="46" spans="2:32" ht="15.75" thickBot="1">
      <c r="B46" s="93"/>
      <c r="C46" s="215" t="s">
        <v>122</v>
      </c>
      <c r="D46" s="1330">
        <f>('Boiler '!E44/Woodchip!$M$8)/1000</f>
        <v>5.3592160935147897</v>
      </c>
      <c r="E46" s="1331"/>
      <c r="F46" s="1330">
        <f>'Boiler '!E44*Woodchip!$S$8</f>
        <v>294.75688514331341</v>
      </c>
      <c r="G46" s="1331"/>
      <c r="H46" s="1328">
        <f>('Boiler '!E44/Woodchip!$M$10)/1000</f>
        <v>5.3592160935147897</v>
      </c>
      <c r="I46" s="1329"/>
      <c r="J46" s="1328">
        <f>'Boiler '!E44*Woodchip!$S$10</f>
        <v>294.75688514331341</v>
      </c>
      <c r="K46" s="1329"/>
      <c r="L46" s="1339">
        <f>('Boiler '!E44/Woodchip!$M$12)/1000</f>
        <v>5.3592160935147897</v>
      </c>
      <c r="M46" s="1340"/>
      <c r="N46" s="1339">
        <f>'Boiler '!E44*Woodchip!$S$12</f>
        <v>294.75688514331341</v>
      </c>
      <c r="O46" s="1340"/>
      <c r="P46" s="94"/>
      <c r="Q46" s="94"/>
      <c r="R46" s="94"/>
      <c r="S46" s="94"/>
      <c r="T46" s="94"/>
      <c r="U46" s="94"/>
      <c r="V46" s="94"/>
      <c r="W46" s="96"/>
      <c r="AB46" s="489"/>
      <c r="AC46" s="503">
        <f t="shared" si="0"/>
        <v>2.8707850574801004</v>
      </c>
      <c r="AD46" s="487"/>
      <c r="AE46" s="500"/>
      <c r="AF46" s="489"/>
    </row>
    <row r="47" spans="2:32" ht="15.75" thickBot="1">
      <c r="B47" s="93"/>
      <c r="C47" s="215" t="s">
        <v>121</v>
      </c>
      <c r="D47" s="1330">
        <f>('Boiler '!E45/Woodchip!$M$8)/1000</f>
        <v>4.7559605345223277</v>
      </c>
      <c r="E47" s="1331"/>
      <c r="F47" s="1330">
        <f>'Boiler '!E45*Woodchip!$S$8</f>
        <v>261.57782939872806</v>
      </c>
      <c r="G47" s="1331"/>
      <c r="H47" s="1328">
        <f>('Boiler '!E45/Woodchip!$M$10)/1000</f>
        <v>4.7559605345223277</v>
      </c>
      <c r="I47" s="1329"/>
      <c r="J47" s="1328">
        <f>'Boiler '!E45*Woodchip!$S$10</f>
        <v>261.57782939872806</v>
      </c>
      <c r="K47" s="1329"/>
      <c r="L47" s="1339">
        <f>('Boiler '!E45/Woodchip!$M$12)/1000</f>
        <v>4.7559605345223277</v>
      </c>
      <c r="M47" s="1340"/>
      <c r="N47" s="1339">
        <f>'Boiler '!E45*Woodchip!$S$12</f>
        <v>261.57782939872806</v>
      </c>
      <c r="O47" s="1340"/>
      <c r="P47" s="94"/>
      <c r="Q47" s="94"/>
      <c r="R47" s="94"/>
      <c r="S47" s="94"/>
      <c r="T47" s="94"/>
      <c r="U47" s="94"/>
      <c r="V47" s="94"/>
      <c r="W47" s="96"/>
      <c r="AB47" s="489"/>
      <c r="AC47" s="503">
        <f t="shared" si="0"/>
        <v>2.0811561978877151</v>
      </c>
      <c r="AD47" s="487"/>
      <c r="AE47" s="500"/>
      <c r="AF47" s="489"/>
    </row>
    <row r="48" spans="2:32" ht="17.25" customHeight="1" thickBot="1">
      <c r="B48" s="93"/>
      <c r="C48" s="215" t="s">
        <v>105</v>
      </c>
      <c r="D48" s="1330">
        <f>('Boiler '!E46/Woodchip!$M$8)/1000</f>
        <v>4.1058573251317876</v>
      </c>
      <c r="E48" s="1331"/>
      <c r="F48" s="1330">
        <f>'Boiler '!E46*Woodchip!$S$8</f>
        <v>225.8221528822483</v>
      </c>
      <c r="G48" s="1331"/>
      <c r="H48" s="1328">
        <f>('Boiler '!E46/Woodchip!$M$10)/1000</f>
        <v>4.1058573251317876</v>
      </c>
      <c r="I48" s="1329"/>
      <c r="J48" s="1328">
        <f>'Boiler '!E46*Woodchip!$S$10</f>
        <v>225.8221528822483</v>
      </c>
      <c r="K48" s="1329"/>
      <c r="L48" s="1339">
        <f>('Boiler '!E46/Woodchip!$M$12)/1000</f>
        <v>4.1058573251317876</v>
      </c>
      <c r="M48" s="1340"/>
      <c r="N48" s="1339">
        <f>'Boiler '!E46*Woodchip!$S$12</f>
        <v>225.8221528822483</v>
      </c>
      <c r="O48" s="1340"/>
      <c r="P48" s="94"/>
      <c r="Q48" s="94"/>
      <c r="R48" s="94"/>
      <c r="S48" s="94"/>
      <c r="T48" s="94"/>
      <c r="U48" s="94"/>
      <c r="V48" s="94"/>
      <c r="W48" s="96"/>
      <c r="AB48" s="489"/>
      <c r="AC48" s="503">
        <f t="shared" si="0"/>
        <v>2.0811561978877151</v>
      </c>
      <c r="AD48" s="487"/>
      <c r="AE48" s="500"/>
      <c r="AF48" s="489"/>
    </row>
    <row r="49" spans="2:32" ht="15" customHeight="1" thickBot="1">
      <c r="B49" s="93"/>
      <c r="C49" s="215" t="s">
        <v>120</v>
      </c>
      <c r="D49" s="1330">
        <f>('Boiler '!E47/Woodchip!$M$8)/1000</f>
        <v>2.8707850574801004</v>
      </c>
      <c r="E49" s="1331"/>
      <c r="F49" s="1330">
        <f>'Boiler '!E47*Woodchip!$S$8</f>
        <v>157.89317816140553</v>
      </c>
      <c r="G49" s="1331"/>
      <c r="H49" s="1328">
        <f>('Boiler '!E47/Woodchip!$M$10)/1000</f>
        <v>2.8707850574801004</v>
      </c>
      <c r="I49" s="1329"/>
      <c r="J49" s="1328">
        <f>'Boiler '!E47*Woodchip!$S$10</f>
        <v>157.89317816140553</v>
      </c>
      <c r="K49" s="1329"/>
      <c r="L49" s="1339">
        <f>('Boiler '!E47/Woodchip!$M$12)/1000</f>
        <v>2.8707850574801004</v>
      </c>
      <c r="M49" s="1340"/>
      <c r="N49" s="1339">
        <f>'Boiler '!E47*Woodchip!$S$12</f>
        <v>157.89317816140553</v>
      </c>
      <c r="O49" s="1340"/>
      <c r="P49" s="94"/>
      <c r="Q49" s="94"/>
      <c r="R49" s="94"/>
      <c r="S49" s="94"/>
      <c r="T49" s="94"/>
      <c r="U49" s="94"/>
      <c r="V49" s="94"/>
      <c r="W49" s="96"/>
      <c r="AB49" s="489"/>
      <c r="AC49" s="503">
        <f t="shared" si="0"/>
        <v>3.1947427077247981</v>
      </c>
      <c r="AD49" s="487"/>
      <c r="AE49" s="500"/>
      <c r="AF49" s="489"/>
    </row>
    <row r="50" spans="2:32" ht="15.75" customHeight="1" thickBot="1">
      <c r="B50" s="93"/>
      <c r="C50" s="215" t="s">
        <v>119</v>
      </c>
      <c r="D50" s="1330">
        <f>('Boiler '!E48/Woodchip!$M$8)/1000</f>
        <v>2.0811561978877151</v>
      </c>
      <c r="E50" s="1331"/>
      <c r="F50" s="1330">
        <f>'Boiler '!E48*Woodchip!$S$8</f>
        <v>114.46359088382434</v>
      </c>
      <c r="G50" s="1331"/>
      <c r="H50" s="1328">
        <f>('Boiler '!E48/Woodchip!$M$10)/1000</f>
        <v>2.0811561978877151</v>
      </c>
      <c r="I50" s="1329"/>
      <c r="J50" s="1328">
        <f>'Boiler '!E48*Woodchip!$S$10</f>
        <v>114.46359088382434</v>
      </c>
      <c r="K50" s="1329"/>
      <c r="L50" s="1339">
        <f>('Boiler '!E48/Woodchip!$M$12)/1000</f>
        <v>2.0811561978877151</v>
      </c>
      <c r="M50" s="1340"/>
      <c r="N50" s="1339">
        <f>'Boiler '!E48*Woodchip!$S$12</f>
        <v>114.46359088382434</v>
      </c>
      <c r="O50" s="1340"/>
      <c r="P50" s="109" t="s">
        <v>176</v>
      </c>
      <c r="Q50" s="94"/>
      <c r="R50" s="1341" t="s">
        <v>534</v>
      </c>
      <c r="S50" s="1342"/>
      <c r="T50" s="1347" t="s">
        <v>111</v>
      </c>
      <c r="U50" s="1348"/>
      <c r="V50" s="94"/>
      <c r="W50" s="96"/>
      <c r="AB50" s="489"/>
      <c r="AC50" s="503">
        <f t="shared" si="0"/>
        <v>4.1345070330388962</v>
      </c>
      <c r="AD50" s="487"/>
      <c r="AE50" s="500"/>
      <c r="AF50" s="489"/>
    </row>
    <row r="51" spans="2:32" ht="16.5" thickBot="1">
      <c r="B51" s="93"/>
      <c r="C51" s="215" t="s">
        <v>118</v>
      </c>
      <c r="D51" s="1330">
        <f>('Boiler '!E49/Woodchip!$M$8)/1000</f>
        <v>2.0811561978877151</v>
      </c>
      <c r="E51" s="1331"/>
      <c r="F51" s="1330">
        <f>'Boiler '!E49*Woodchip!$S$8</f>
        <v>114.46359088382434</v>
      </c>
      <c r="G51" s="1331"/>
      <c r="H51" s="1328">
        <f>('Boiler '!E49/Woodchip!$M$10)/1000</f>
        <v>2.0811561978877151</v>
      </c>
      <c r="I51" s="1329"/>
      <c r="J51" s="1328">
        <f>'Boiler '!E49*Woodchip!$S$10</f>
        <v>114.46359088382434</v>
      </c>
      <c r="K51" s="1329"/>
      <c r="L51" s="1339">
        <f>('Boiler '!E49/Woodchip!$M$12)/1000</f>
        <v>2.0811561978877151</v>
      </c>
      <c r="M51" s="1340"/>
      <c r="N51" s="1339">
        <f>'Boiler '!E49*Woodchip!$S$12</f>
        <v>114.46359088382434</v>
      </c>
      <c r="O51" s="1340"/>
      <c r="P51" s="94"/>
      <c r="Q51" s="94"/>
      <c r="R51" s="94"/>
      <c r="S51" s="110"/>
      <c r="T51" s="94"/>
      <c r="U51" s="94"/>
      <c r="V51" s="94"/>
      <c r="W51" s="96"/>
      <c r="AB51" s="489"/>
      <c r="AC51" s="503">
        <f t="shared" si="0"/>
        <v>5.1259280553230457</v>
      </c>
      <c r="AD51" s="487"/>
      <c r="AE51" s="500"/>
      <c r="AF51" s="489"/>
    </row>
    <row r="52" spans="2:32" ht="15.75" thickBot="1">
      <c r="B52" s="93"/>
      <c r="C52" s="215" t="s">
        <v>117</v>
      </c>
      <c r="D52" s="1330">
        <f>('Boiler '!E50/Woodchip!$M$8)/1000</f>
        <v>3.1947427077247981</v>
      </c>
      <c r="E52" s="1331"/>
      <c r="F52" s="1330">
        <f>'Boiler '!E50*Woodchip!$S$8</f>
        <v>175.71084892486388</v>
      </c>
      <c r="G52" s="1331"/>
      <c r="H52" s="1328">
        <f>('Boiler '!E50/Woodchip!$M$10)/1000</f>
        <v>3.1947427077247981</v>
      </c>
      <c r="I52" s="1329"/>
      <c r="J52" s="1328">
        <f>'Boiler '!E50*Woodchip!$S$10</f>
        <v>175.71084892486388</v>
      </c>
      <c r="K52" s="1329"/>
      <c r="L52" s="1339">
        <f>('Boiler '!E50/Woodchip!$M$12)/1000</f>
        <v>3.1947427077247981</v>
      </c>
      <c r="M52" s="1340"/>
      <c r="N52" s="1339">
        <f>'Boiler '!E50*Woodchip!$S$12</f>
        <v>175.71084892486388</v>
      </c>
      <c r="O52" s="1340"/>
      <c r="P52" s="94"/>
      <c r="Q52" s="94"/>
      <c r="R52" s="94"/>
      <c r="S52" s="94"/>
      <c r="T52" s="94"/>
      <c r="U52" s="94"/>
      <c r="V52" s="94"/>
      <c r="W52" s="96"/>
      <c r="AB52" s="489"/>
      <c r="AC52" s="503">
        <f t="shared" si="0"/>
        <v>6.5041293358640226</v>
      </c>
      <c r="AD52" s="487"/>
      <c r="AE52" s="500"/>
      <c r="AF52" s="489"/>
    </row>
    <row r="53" spans="2:32" ht="15.75" thickBot="1">
      <c r="B53" s="93"/>
      <c r="C53" s="215" t="s">
        <v>116</v>
      </c>
      <c r="D53" s="1330">
        <f>('Boiler '!E51/Woodchip!$M$8)/1000</f>
        <v>4.1345070330388962</v>
      </c>
      <c r="E53" s="1331"/>
      <c r="F53" s="1330">
        <f>'Boiler '!E51*Woodchip!$S$8</f>
        <v>227.39788681713929</v>
      </c>
      <c r="G53" s="1331"/>
      <c r="H53" s="1328">
        <f>('Boiler '!E51/Woodchip!$M$10)/1000</f>
        <v>4.1345070330388962</v>
      </c>
      <c r="I53" s="1329"/>
      <c r="J53" s="1328">
        <f>'Boiler '!E51*Woodchip!$S$10</f>
        <v>227.39788681713929</v>
      </c>
      <c r="K53" s="1329"/>
      <c r="L53" s="1339">
        <f>('Boiler '!E51/Woodchip!$M$12)/1000</f>
        <v>4.1345070330388962</v>
      </c>
      <c r="M53" s="1340"/>
      <c r="N53" s="1339">
        <f>'Boiler '!E51*Woodchip!$S$12</f>
        <v>227.39788681713929</v>
      </c>
      <c r="O53" s="1340"/>
      <c r="P53" s="94"/>
      <c r="Q53" s="94"/>
      <c r="R53" s="94"/>
      <c r="S53" s="94"/>
      <c r="T53" s="94"/>
      <c r="U53" s="94"/>
      <c r="V53" s="94"/>
      <c r="W53" s="96"/>
      <c r="AB53" s="489"/>
      <c r="AC53" s="504"/>
      <c r="AD53" s="501"/>
      <c r="AE53" s="502"/>
      <c r="AF53" s="489"/>
    </row>
    <row r="54" spans="2:32" ht="15.75" thickBot="1">
      <c r="B54" s="93"/>
      <c r="C54" s="215" t="s">
        <v>115</v>
      </c>
      <c r="D54" s="1330">
        <f>('Boiler '!E52/Woodchip!$M$8)/1000</f>
        <v>5.1259280553230457</v>
      </c>
      <c r="E54" s="1331"/>
      <c r="F54" s="1330">
        <f>'Boiler '!E52*Woodchip!$S$8</f>
        <v>281.92604304276745</v>
      </c>
      <c r="G54" s="1331"/>
      <c r="H54" s="1328">
        <f>('Boiler '!E52/Woodchip!$M$10)/1000</f>
        <v>5.1259280553230457</v>
      </c>
      <c r="I54" s="1329"/>
      <c r="J54" s="1328">
        <f>'Boiler '!E52*Woodchip!$S$10</f>
        <v>281.92604304276745</v>
      </c>
      <c r="K54" s="1329"/>
      <c r="L54" s="1339">
        <f>('Boiler '!E52/Woodchip!$M$12)/1000</f>
        <v>5.1259280553230457</v>
      </c>
      <c r="M54" s="1340"/>
      <c r="N54" s="1339">
        <f>'Boiler '!E52*Woodchip!$S$12</f>
        <v>281.92604304276745</v>
      </c>
      <c r="O54" s="1340"/>
      <c r="P54" s="94"/>
      <c r="Q54" s="94"/>
      <c r="R54" s="94"/>
      <c r="S54" s="94"/>
      <c r="T54" s="94"/>
      <c r="U54" s="94"/>
      <c r="V54" s="94"/>
      <c r="W54" s="96"/>
      <c r="AB54" s="489"/>
      <c r="AC54" s="505"/>
      <c r="AD54" s="489"/>
      <c r="AE54" s="489"/>
      <c r="AF54" s="489"/>
    </row>
    <row r="55" spans="2:32" ht="15.75" thickBot="1">
      <c r="B55" s="93"/>
      <c r="C55" s="216" t="s">
        <v>114</v>
      </c>
      <c r="D55" s="1330">
        <f>('Boiler '!E53/Woodchip!$M$8)/1000</f>
        <v>6.5041293358640226</v>
      </c>
      <c r="E55" s="1331"/>
      <c r="F55" s="1330">
        <f>'Boiler '!E53*Woodchip!$S$8</f>
        <v>357.72711347252118</v>
      </c>
      <c r="G55" s="1331"/>
      <c r="H55" s="1328">
        <f>('Boiler '!E53/Woodchip!$M$10)/1000</f>
        <v>6.5041293358640226</v>
      </c>
      <c r="I55" s="1329"/>
      <c r="J55" s="1328">
        <f>'Boiler '!E53*Woodchip!$S$10</f>
        <v>357.72711347252118</v>
      </c>
      <c r="K55" s="1329"/>
      <c r="L55" s="1339">
        <f>('Boiler '!E53/Woodchip!$M$12)/1000</f>
        <v>6.5041293358640226</v>
      </c>
      <c r="M55" s="1340"/>
      <c r="N55" s="1339">
        <f>'Boiler '!E53*Woodchip!$S$12</f>
        <v>357.72711347252118</v>
      </c>
      <c r="O55" s="1340"/>
      <c r="P55" s="94"/>
      <c r="Q55" s="94"/>
      <c r="R55" s="94"/>
      <c r="S55" s="94"/>
      <c r="T55" s="94"/>
      <c r="U55" s="94"/>
      <c r="V55" s="94"/>
      <c r="W55" s="96"/>
      <c r="AB55" s="489"/>
      <c r="AC55" s="505"/>
      <c r="AD55" s="489"/>
      <c r="AE55" s="489"/>
      <c r="AF55" s="489"/>
    </row>
    <row r="56" spans="2:32" ht="15.75" thickBot="1">
      <c r="B56" s="93"/>
      <c r="C56" s="217" t="s">
        <v>172</v>
      </c>
      <c r="D56" s="1356">
        <f>SUM(D44:E55)</f>
        <v>52.52994552183236</v>
      </c>
      <c r="E56" s="1357"/>
      <c r="F56" s="1356">
        <f>SUM(F44:G55)</f>
        <v>2889.1470037007798</v>
      </c>
      <c r="G56" s="1357"/>
      <c r="H56" s="1358">
        <f>SUM(H44:I55)</f>
        <v>52.52994552183236</v>
      </c>
      <c r="I56" s="1359"/>
      <c r="J56" s="1360">
        <f>SUM(J44:K55)</f>
        <v>2889.1470037007798</v>
      </c>
      <c r="K56" s="1361"/>
      <c r="L56" s="1344">
        <f>SUM(L44:M55)</f>
        <v>52.52994552183236</v>
      </c>
      <c r="M56" s="1345"/>
      <c r="N56" s="1344">
        <f>SUM(N44:O55)</f>
        <v>2889.1470037007798</v>
      </c>
      <c r="O56" s="1346"/>
      <c r="P56" s="94"/>
      <c r="Q56" s="94"/>
      <c r="R56" s="113"/>
      <c r="S56" s="94"/>
      <c r="T56" s="94"/>
      <c r="U56" s="94"/>
      <c r="V56" s="94"/>
      <c r="W56" s="96"/>
      <c r="AB56" s="489"/>
      <c r="AC56" s="489"/>
      <c r="AD56" s="489"/>
      <c r="AE56" s="489"/>
      <c r="AF56" s="489"/>
    </row>
    <row r="57" spans="2:32">
      <c r="B57" s="93"/>
      <c r="C57" s="97"/>
      <c r="D57" s="114"/>
      <c r="E57" s="97"/>
      <c r="F57" s="97"/>
      <c r="G57" s="97"/>
      <c r="H57" s="97"/>
      <c r="I57" s="97"/>
      <c r="J57" s="97"/>
      <c r="K57" s="97"/>
      <c r="L57" s="1343" t="s">
        <v>173</v>
      </c>
      <c r="M57" s="1343"/>
      <c r="N57" s="1343"/>
      <c r="O57" s="1343"/>
      <c r="P57" s="94"/>
      <c r="Q57" s="94"/>
      <c r="R57" s="94"/>
      <c r="S57" s="94"/>
      <c r="T57" s="94"/>
      <c r="U57" s="94"/>
      <c r="V57" s="94"/>
      <c r="W57" s="96"/>
      <c r="AB57" s="489"/>
      <c r="AC57" s="489"/>
      <c r="AD57" s="489"/>
      <c r="AE57" s="489"/>
      <c r="AF57" s="489"/>
    </row>
    <row r="58" spans="2:32">
      <c r="B58" s="93"/>
      <c r="C58" s="97"/>
      <c r="D58" s="114"/>
      <c r="E58" s="97"/>
      <c r="F58" s="97"/>
      <c r="G58" s="97"/>
      <c r="H58" s="97"/>
      <c r="I58" s="97"/>
      <c r="J58" s="97"/>
      <c r="K58" s="97"/>
      <c r="L58" s="1327" t="s">
        <v>378</v>
      </c>
      <c r="M58" s="1327"/>
      <c r="N58" s="1327"/>
      <c r="O58" s="1327"/>
      <c r="P58" s="94"/>
      <c r="Q58" s="94"/>
      <c r="R58" s="94"/>
      <c r="S58" s="94"/>
      <c r="T58" s="94"/>
      <c r="U58" s="94"/>
      <c r="V58" s="94"/>
      <c r="W58" s="96"/>
      <c r="AB58" s="489"/>
      <c r="AC58" s="489"/>
      <c r="AD58" s="489"/>
      <c r="AE58" s="489"/>
      <c r="AF58" s="489"/>
    </row>
    <row r="59" spans="2:32">
      <c r="B59" s="93"/>
      <c r="C59" s="97"/>
      <c r="D59" s="114"/>
      <c r="E59" s="97"/>
      <c r="F59" s="97"/>
      <c r="G59" s="97"/>
      <c r="H59" s="97"/>
      <c r="I59" s="97"/>
      <c r="J59" s="97"/>
      <c r="K59" s="97"/>
      <c r="L59" s="97"/>
      <c r="M59" s="97"/>
      <c r="N59" s="97"/>
      <c r="O59" s="94"/>
      <c r="P59" s="94"/>
      <c r="Q59" s="94"/>
      <c r="R59" s="94"/>
      <c r="S59" s="94"/>
      <c r="T59" s="94"/>
      <c r="U59" s="94"/>
      <c r="V59" s="94"/>
      <c r="W59" s="96"/>
      <c r="AB59" s="489"/>
      <c r="AC59" s="489"/>
      <c r="AD59" s="489"/>
      <c r="AE59" s="489"/>
      <c r="AF59" s="489"/>
    </row>
    <row r="60" spans="2:32" ht="15">
      <c r="B60" s="93"/>
      <c r="C60" s="97"/>
      <c r="D60" s="115"/>
      <c r="E60" s="97"/>
      <c r="F60" s="97"/>
      <c r="G60" s="97"/>
      <c r="H60" s="97"/>
      <c r="I60" s="97"/>
      <c r="J60" s="97"/>
      <c r="K60" s="97"/>
      <c r="L60" s="97"/>
      <c r="M60" s="97"/>
      <c r="N60" s="97"/>
      <c r="O60" s="94"/>
      <c r="P60" s="94"/>
      <c r="Q60" s="94"/>
      <c r="R60" s="94"/>
      <c r="S60" s="94"/>
      <c r="T60" s="94"/>
      <c r="U60" s="94"/>
      <c r="V60" s="94"/>
      <c r="W60" s="96"/>
      <c r="AB60" s="489"/>
      <c r="AC60" s="489"/>
      <c r="AD60" s="489"/>
      <c r="AE60" s="489"/>
      <c r="AF60" s="489"/>
    </row>
    <row r="61" spans="2:32">
      <c r="B61" s="93"/>
      <c r="C61" s="97"/>
      <c r="D61" s="97"/>
      <c r="E61" s="97"/>
      <c r="F61" s="97"/>
      <c r="G61" s="97"/>
      <c r="H61" s="97"/>
      <c r="I61" s="97"/>
      <c r="J61" s="97"/>
      <c r="K61" s="97"/>
      <c r="L61" s="97"/>
      <c r="M61" s="97"/>
      <c r="N61" s="97"/>
      <c r="O61" s="94"/>
      <c r="P61" s="94"/>
      <c r="Q61" s="94"/>
      <c r="R61" s="94"/>
      <c r="S61" s="94"/>
      <c r="T61" s="94"/>
      <c r="U61" s="94"/>
      <c r="V61" s="94"/>
      <c r="W61" s="96"/>
      <c r="AB61" s="489"/>
      <c r="AC61" s="489"/>
      <c r="AD61" s="489"/>
      <c r="AE61" s="489"/>
      <c r="AF61" s="489"/>
    </row>
    <row r="62" spans="2:32">
      <c r="B62" s="93"/>
      <c r="C62" s="97"/>
      <c r="D62" s="97"/>
      <c r="E62" s="97"/>
      <c r="F62" s="97"/>
      <c r="G62" s="97"/>
      <c r="H62" s="97"/>
      <c r="I62" s="97"/>
      <c r="J62" s="97"/>
      <c r="K62" s="97"/>
      <c r="L62" s="97"/>
      <c r="M62" s="97"/>
      <c r="N62" s="97"/>
      <c r="O62" s="94"/>
      <c r="P62" s="94"/>
      <c r="Q62" s="94"/>
      <c r="R62" s="94"/>
      <c r="S62" s="94"/>
      <c r="T62" s="94"/>
      <c r="U62" s="94"/>
      <c r="V62" s="94"/>
      <c r="W62" s="96"/>
      <c r="AB62" s="489"/>
      <c r="AC62" s="489"/>
      <c r="AD62" s="489"/>
      <c r="AE62" s="489"/>
      <c r="AF62" s="489"/>
    </row>
    <row r="63" spans="2:32">
      <c r="B63" s="93"/>
      <c r="C63" s="116"/>
      <c r="D63" s="117"/>
      <c r="E63" s="97"/>
      <c r="F63" s="97"/>
      <c r="G63" s="97"/>
      <c r="H63" s="97"/>
      <c r="I63" s="97"/>
      <c r="J63" s="97"/>
      <c r="K63" s="97"/>
      <c r="L63" s="97"/>
      <c r="M63" s="97"/>
      <c r="N63" s="97"/>
      <c r="O63" s="94"/>
      <c r="P63" s="94"/>
      <c r="Q63" s="94"/>
      <c r="R63" s="94"/>
      <c r="S63" s="94"/>
      <c r="T63" s="94"/>
      <c r="U63" s="94"/>
      <c r="V63" s="94"/>
      <c r="W63" s="96"/>
      <c r="AB63" s="489"/>
      <c r="AC63" s="489"/>
      <c r="AD63" s="489"/>
      <c r="AE63" s="489"/>
      <c r="AF63" s="489"/>
    </row>
    <row r="64" spans="2:32">
      <c r="B64" s="93"/>
      <c r="C64" s="97"/>
      <c r="D64" s="97"/>
      <c r="E64" s="97"/>
      <c r="F64" s="97"/>
      <c r="G64" s="97"/>
      <c r="H64" s="97"/>
      <c r="I64" s="97"/>
      <c r="J64" s="97"/>
      <c r="K64" s="97"/>
      <c r="L64" s="97"/>
      <c r="M64" s="97"/>
      <c r="N64" s="97"/>
      <c r="O64" s="94"/>
      <c r="P64" s="94"/>
      <c r="Q64" s="94"/>
      <c r="R64" s="94"/>
      <c r="S64" s="94"/>
      <c r="T64" s="94"/>
      <c r="U64" s="94"/>
      <c r="V64" s="94"/>
      <c r="W64" s="96"/>
      <c r="AB64" s="489"/>
      <c r="AC64" s="489"/>
      <c r="AD64" s="489"/>
      <c r="AE64" s="489"/>
      <c r="AF64" s="489"/>
    </row>
    <row r="65" spans="2:32">
      <c r="B65" s="93"/>
      <c r="C65" s="97"/>
      <c r="D65" s="100"/>
      <c r="E65" s="97"/>
      <c r="F65" s="97"/>
      <c r="G65" s="97"/>
      <c r="H65" s="97"/>
      <c r="I65" s="97"/>
      <c r="J65" s="97"/>
      <c r="K65" s="97"/>
      <c r="L65" s="97"/>
      <c r="M65" s="97"/>
      <c r="N65" s="97"/>
      <c r="O65" s="94"/>
      <c r="P65" s="94"/>
      <c r="Q65" s="94"/>
      <c r="R65" s="94"/>
      <c r="S65" s="94"/>
      <c r="T65" s="94"/>
      <c r="U65" s="94"/>
      <c r="V65" s="94"/>
      <c r="W65" s="96"/>
      <c r="AB65" s="489"/>
      <c r="AC65" s="489"/>
      <c r="AD65" s="489"/>
      <c r="AE65" s="489"/>
      <c r="AF65" s="489"/>
    </row>
    <row r="66" spans="2:32">
      <c r="B66" s="93"/>
      <c r="C66" s="97"/>
      <c r="D66" s="98"/>
      <c r="E66" s="98"/>
      <c r="F66" s="98"/>
      <c r="G66" s="97"/>
      <c r="H66" s="97"/>
      <c r="I66" s="97"/>
      <c r="J66" s="97"/>
      <c r="K66" s="97"/>
      <c r="L66" s="97"/>
      <c r="M66" s="97"/>
      <c r="N66" s="97"/>
      <c r="O66" s="94"/>
      <c r="P66" s="94"/>
      <c r="Q66" s="94"/>
      <c r="R66" s="94"/>
      <c r="S66" s="94"/>
      <c r="T66" s="94"/>
      <c r="U66" s="94"/>
      <c r="V66" s="94"/>
      <c r="W66" s="96"/>
      <c r="AB66" s="489"/>
      <c r="AC66" s="489"/>
      <c r="AD66" s="489"/>
      <c r="AE66" s="489"/>
      <c r="AF66" s="489"/>
    </row>
    <row r="67" spans="2:32">
      <c r="B67" s="93"/>
      <c r="C67" s="97"/>
      <c r="D67" s="98"/>
      <c r="E67" s="98"/>
      <c r="F67" s="98"/>
      <c r="G67" s="97"/>
      <c r="H67" s="97"/>
      <c r="I67" s="97"/>
      <c r="J67" s="97"/>
      <c r="K67" s="97"/>
      <c r="L67" s="97"/>
      <c r="M67" s="97"/>
      <c r="N67" s="97"/>
      <c r="O67" s="94"/>
      <c r="P67" s="94"/>
      <c r="Q67" s="94"/>
      <c r="R67" s="94"/>
      <c r="S67" s="94"/>
      <c r="T67" s="94"/>
      <c r="U67" s="94"/>
      <c r="V67" s="94"/>
      <c r="W67" s="96"/>
      <c r="AB67" s="489"/>
      <c r="AC67" s="489"/>
      <c r="AD67" s="489"/>
      <c r="AE67" s="489"/>
      <c r="AF67" s="489"/>
    </row>
    <row r="68" spans="2:32">
      <c r="B68" s="93"/>
      <c r="C68" s="97"/>
      <c r="D68" s="98"/>
      <c r="E68" s="98"/>
      <c r="F68" s="98"/>
      <c r="G68" s="97"/>
      <c r="H68" s="97"/>
      <c r="I68" s="97"/>
      <c r="J68" s="97"/>
      <c r="K68" s="97"/>
      <c r="L68" s="97"/>
      <c r="M68" s="97"/>
      <c r="N68" s="97"/>
      <c r="O68" s="94"/>
      <c r="P68" s="94"/>
      <c r="Q68" s="94"/>
      <c r="R68" s="94"/>
      <c r="S68" s="94"/>
      <c r="T68" s="94"/>
      <c r="U68" s="94"/>
      <c r="V68" s="94"/>
      <c r="W68" s="96"/>
      <c r="AB68" s="489"/>
      <c r="AC68" s="489"/>
      <c r="AD68" s="489"/>
      <c r="AE68" s="489"/>
      <c r="AF68" s="489"/>
    </row>
    <row r="69" spans="2:32">
      <c r="B69" s="93"/>
      <c r="C69" s="97"/>
      <c r="D69" s="98"/>
      <c r="E69" s="98"/>
      <c r="F69" s="98"/>
      <c r="G69" s="97"/>
      <c r="H69" s="97"/>
      <c r="I69" s="97"/>
      <c r="J69" s="97"/>
      <c r="K69" s="97"/>
      <c r="L69" s="97"/>
      <c r="M69" s="97"/>
      <c r="N69" s="97"/>
      <c r="O69" s="94"/>
      <c r="P69" s="94"/>
      <c r="Q69" s="94"/>
      <c r="R69" s="94"/>
      <c r="S69" s="94"/>
      <c r="T69" s="94"/>
      <c r="U69" s="94"/>
      <c r="V69" s="94"/>
      <c r="W69" s="96"/>
      <c r="AB69" s="489"/>
      <c r="AC69" s="489"/>
      <c r="AD69" s="489"/>
      <c r="AE69" s="489"/>
      <c r="AF69" s="489"/>
    </row>
    <row r="70" spans="2:32" ht="15.75" customHeight="1" thickBot="1">
      <c r="B70" s="93"/>
      <c r="C70" s="101"/>
      <c r="D70" s="102"/>
      <c r="E70" s="102"/>
      <c r="F70" s="102"/>
      <c r="G70" s="101"/>
      <c r="H70" s="101"/>
      <c r="I70" s="101"/>
      <c r="J70" s="101"/>
      <c r="K70" s="101"/>
      <c r="L70" s="101"/>
      <c r="M70" s="101"/>
      <c r="N70" s="101"/>
      <c r="O70" s="103"/>
      <c r="P70" s="103"/>
      <c r="Q70" s="103"/>
      <c r="R70" s="103"/>
      <c r="S70" s="103"/>
      <c r="T70" s="103"/>
      <c r="U70" s="103"/>
      <c r="V70" s="94"/>
      <c r="W70" s="96"/>
      <c r="AB70" s="489"/>
      <c r="AC70" s="489"/>
      <c r="AD70" s="489"/>
      <c r="AE70" s="489"/>
      <c r="AF70" s="489"/>
    </row>
    <row r="71" spans="2:32" ht="15" thickTop="1">
      <c r="B71" s="93"/>
      <c r="C71" s="97"/>
      <c r="D71" s="98"/>
      <c r="E71" s="98"/>
      <c r="F71" s="98"/>
      <c r="G71" s="97"/>
      <c r="H71" s="97"/>
      <c r="I71" s="97"/>
      <c r="J71" s="97"/>
      <c r="K71" s="97"/>
      <c r="L71" s="97"/>
      <c r="M71" s="97"/>
      <c r="N71" s="97"/>
      <c r="O71" s="94"/>
      <c r="P71" s="94"/>
      <c r="Q71" s="94"/>
      <c r="R71" s="94"/>
      <c r="S71" s="94"/>
      <c r="T71" s="94"/>
      <c r="U71" s="94"/>
      <c r="V71" s="94"/>
      <c r="W71" s="96"/>
      <c r="AB71" s="489"/>
      <c r="AC71" s="489"/>
      <c r="AD71" s="489"/>
      <c r="AE71" s="489"/>
      <c r="AF71" s="489"/>
    </row>
    <row r="72" spans="2:32">
      <c r="B72" s="93"/>
      <c r="C72" s="97"/>
      <c r="D72" s="97"/>
      <c r="E72" s="98"/>
      <c r="F72" s="94"/>
      <c r="G72" s="94"/>
      <c r="H72" s="94"/>
      <c r="I72" s="94"/>
      <c r="J72" s="97"/>
      <c r="K72" s="97"/>
      <c r="L72" s="97"/>
      <c r="M72" s="97"/>
      <c r="N72" s="97"/>
      <c r="O72" s="97"/>
      <c r="P72" s="100"/>
      <c r="Q72" s="97"/>
      <c r="R72" s="94"/>
      <c r="S72" s="94"/>
      <c r="T72" s="94"/>
      <c r="U72" s="94"/>
      <c r="V72" s="94"/>
      <c r="W72" s="96"/>
      <c r="AB72" s="489"/>
      <c r="AC72" s="489"/>
      <c r="AD72" s="489"/>
      <c r="AE72" s="489"/>
      <c r="AF72" s="489"/>
    </row>
    <row r="73" spans="2:32" ht="15" thickBot="1">
      <c r="B73" s="93"/>
      <c r="C73" s="97"/>
      <c r="D73" s="97"/>
      <c r="E73" s="98"/>
      <c r="F73" s="94"/>
      <c r="G73" s="94"/>
      <c r="H73" s="94"/>
      <c r="I73" s="94"/>
      <c r="J73" s="97"/>
      <c r="K73" s="97"/>
      <c r="L73" s="97"/>
      <c r="M73" s="97"/>
      <c r="N73" s="97"/>
      <c r="O73" s="97"/>
      <c r="P73" s="100"/>
      <c r="Q73" s="97"/>
      <c r="R73" s="94"/>
      <c r="S73" s="94"/>
      <c r="T73" s="94"/>
      <c r="U73" s="94"/>
      <c r="V73" s="94"/>
      <c r="W73" s="96"/>
      <c r="AB73" s="489"/>
      <c r="AC73" s="489"/>
      <c r="AD73" s="489"/>
      <c r="AE73" s="489"/>
      <c r="AF73" s="489"/>
    </row>
    <row r="74" spans="2:32" ht="18.75">
      <c r="B74" s="93"/>
      <c r="C74" s="105" t="s">
        <v>382</v>
      </c>
      <c r="D74" s="97"/>
      <c r="E74" s="100"/>
      <c r="F74" s="97"/>
      <c r="G74" s="97"/>
      <c r="H74" s="97"/>
      <c r="I74" s="97"/>
      <c r="J74" s="97"/>
      <c r="K74" s="97"/>
      <c r="L74" s="106"/>
      <c r="M74" s="97"/>
      <c r="N74" s="97"/>
      <c r="O74" s="94"/>
      <c r="P74" s="94"/>
      <c r="Q74" s="94"/>
      <c r="R74" s="94"/>
      <c r="S74" s="94"/>
      <c r="T74" s="94"/>
      <c r="U74" s="94"/>
      <c r="V74" s="94"/>
      <c r="W74" s="96"/>
      <c r="AB74" s="489"/>
      <c r="AC74" s="496" t="s">
        <v>175</v>
      </c>
      <c r="AD74" s="497"/>
      <c r="AE74" s="498"/>
      <c r="AF74" s="489"/>
    </row>
    <row r="75" spans="2:32" ht="15" thickBot="1">
      <c r="B75" s="93"/>
      <c r="C75" s="97"/>
      <c r="D75" s="1349"/>
      <c r="E75" s="1349"/>
      <c r="F75" s="1349"/>
      <c r="G75" s="1349"/>
      <c r="H75" s="1350"/>
      <c r="I75" s="1350"/>
      <c r="J75" s="1350"/>
      <c r="K75" s="1350"/>
      <c r="L75" s="1351"/>
      <c r="M75" s="1351"/>
      <c r="N75" s="1351"/>
      <c r="O75" s="1351"/>
      <c r="P75" s="94"/>
      <c r="Q75" s="94"/>
      <c r="R75" s="94"/>
      <c r="S75" s="94"/>
      <c r="T75" s="94"/>
      <c r="U75" s="94"/>
      <c r="V75" s="94"/>
      <c r="W75" s="96"/>
      <c r="AB75" s="489"/>
      <c r="AC75" s="503">
        <f>IF($R$84="Fuel Cost - GBP",IF($T$84=$D$76,F78,IF($T$84=$H$76,J78,N78)),IF($T$84=$D$76,D78,IF($T$84=$H$76,H78,L78)))</f>
        <v>711.71197269225411</v>
      </c>
      <c r="AD75" s="487"/>
      <c r="AE75" s="500"/>
      <c r="AF75" s="489"/>
    </row>
    <row r="76" spans="2:32" ht="15.75" thickBot="1">
      <c r="B76" s="93"/>
      <c r="C76" s="97"/>
      <c r="D76" s="1332" t="str">
        <f>Pellet!C8</f>
        <v>Pellet1</v>
      </c>
      <c r="E76" s="1333"/>
      <c r="F76" s="1333"/>
      <c r="G76" s="1334"/>
      <c r="H76" s="1332" t="str">
        <f>Pellet!C10</f>
        <v>Pellet2</v>
      </c>
      <c r="I76" s="1333"/>
      <c r="J76" s="1333"/>
      <c r="K76" s="1334"/>
      <c r="L76" s="1333" t="str">
        <f>Pellet!C12</f>
        <v>Pellet3</v>
      </c>
      <c r="M76" s="1333"/>
      <c r="N76" s="1333"/>
      <c r="O76" s="1334"/>
      <c r="P76" s="94"/>
      <c r="Q76" s="94"/>
      <c r="R76" s="94"/>
      <c r="S76" s="94"/>
      <c r="T76" s="94"/>
      <c r="U76" s="94"/>
      <c r="V76" s="94"/>
      <c r="W76" s="96"/>
      <c r="AB76" s="489"/>
      <c r="AC76" s="503">
        <f t="shared" ref="AC76:AC86" si="1">IF($R$84="Fuel Cost - GBP",IF($T$84=$D$76,F79,IF($T$84=$H$76,J79,N79)),IF($T$84=$D$76,D79,IF($T$84=$H$76,H79,L79)))</f>
        <v>650.99072169816895</v>
      </c>
      <c r="AD76" s="487"/>
      <c r="AE76" s="500"/>
      <c r="AF76" s="489"/>
    </row>
    <row r="77" spans="2:32" ht="15.75" customHeight="1" thickBot="1">
      <c r="B77" s="93"/>
      <c r="C77" s="213" t="s">
        <v>107</v>
      </c>
      <c r="D77" s="1335" t="s">
        <v>171</v>
      </c>
      <c r="E77" s="1336"/>
      <c r="F77" s="1337" t="s">
        <v>170</v>
      </c>
      <c r="G77" s="1336"/>
      <c r="H77" s="1335" t="s">
        <v>171</v>
      </c>
      <c r="I77" s="1336"/>
      <c r="J77" s="1337" t="s">
        <v>170</v>
      </c>
      <c r="K77" s="1336"/>
      <c r="L77" s="1335" t="s">
        <v>171</v>
      </c>
      <c r="M77" s="1336"/>
      <c r="N77" s="1337" t="s">
        <v>170</v>
      </c>
      <c r="O77" s="1336"/>
      <c r="P77" s="94"/>
      <c r="Q77" s="94"/>
      <c r="R77" s="94"/>
      <c r="S77" s="94"/>
      <c r="T77" s="94"/>
      <c r="U77" s="94"/>
      <c r="V77" s="94"/>
      <c r="W77" s="96"/>
      <c r="AB77" s="489"/>
      <c r="AC77" s="503">
        <f t="shared" si="1"/>
        <v>592.9455664874888</v>
      </c>
      <c r="AD77" s="487"/>
      <c r="AE77" s="500"/>
      <c r="AF77" s="489"/>
    </row>
    <row r="78" spans="2:32" ht="15.75" thickBot="1">
      <c r="B78" s="93"/>
      <c r="C78" s="214" t="s">
        <v>124</v>
      </c>
      <c r="D78" s="1362">
        <f>('Boiler '!E42/Pellet!$M$8)/1000</f>
        <v>5.4747074822481085</v>
      </c>
      <c r="E78" s="1363"/>
      <c r="F78" s="1362">
        <f>'Boiler '!E42*Pellet!$Q$8</f>
        <v>711.71197269225411</v>
      </c>
      <c r="G78" s="1363"/>
      <c r="H78" s="1352">
        <f>('Boiler '!E42/Pellet!$M$10)/1000</f>
        <v>5.4747074822481085</v>
      </c>
      <c r="I78" s="1353"/>
      <c r="J78" s="1352">
        <f>'Boiler '!E42*Pellet!$Q$10</f>
        <v>711.71197269225411</v>
      </c>
      <c r="K78" s="1353"/>
      <c r="L78" s="1354">
        <f>('Boiler '!E42/Pellet!$M$12)/1000</f>
        <v>5.4747074822481085</v>
      </c>
      <c r="M78" s="1355"/>
      <c r="N78" s="1354">
        <f>'Boiler '!E42*Pellet!$Q$12</f>
        <v>711.71197269225411</v>
      </c>
      <c r="O78" s="1355"/>
      <c r="P78" s="94"/>
      <c r="Q78" s="94"/>
      <c r="R78" s="94"/>
      <c r="S78" s="94"/>
      <c r="T78" s="94"/>
      <c r="U78" s="94"/>
      <c r="V78" s="94"/>
      <c r="W78" s="96"/>
      <c r="AB78" s="489"/>
      <c r="AC78" s="503">
        <f t="shared" si="1"/>
        <v>526.20115780496462</v>
      </c>
      <c r="AD78" s="487"/>
      <c r="AE78" s="500"/>
      <c r="AF78" s="489"/>
    </row>
    <row r="79" spans="2:32" ht="15.75" thickBot="1">
      <c r="B79" s="93"/>
      <c r="C79" s="215" t="s">
        <v>123</v>
      </c>
      <c r="D79" s="1362">
        <f>('Boiler '!E43/Pellet!$M$8)/1000</f>
        <v>5.0076209361397614</v>
      </c>
      <c r="E79" s="1363"/>
      <c r="F79" s="1362">
        <f>'Boiler '!E43*Pellet!$Q$8</f>
        <v>650.99072169816895</v>
      </c>
      <c r="G79" s="1363"/>
      <c r="H79" s="1352">
        <f>('Boiler '!E43/Pellet!$M$10)/1000</f>
        <v>5.0076209361397614</v>
      </c>
      <c r="I79" s="1353"/>
      <c r="J79" s="1352">
        <f>'Boiler '!E43*Pellet!$Q$10</f>
        <v>650.99072169816895</v>
      </c>
      <c r="K79" s="1353"/>
      <c r="L79" s="1354">
        <f>('Boiler '!E43/Pellet!$M$12)/1000</f>
        <v>5.0076209361397614</v>
      </c>
      <c r="M79" s="1355"/>
      <c r="N79" s="1354">
        <f>'Boiler '!E43*Pellet!$Q$12</f>
        <v>650.99072169816895</v>
      </c>
      <c r="O79" s="1355"/>
      <c r="P79" s="94"/>
      <c r="Q79" s="94"/>
      <c r="R79" s="94"/>
      <c r="S79" s="94"/>
      <c r="T79" s="94"/>
      <c r="U79" s="94"/>
      <c r="V79" s="94"/>
      <c r="W79" s="96"/>
      <c r="AB79" s="489"/>
      <c r="AC79" s="503">
        <f t="shared" si="1"/>
        <v>454.27350849187297</v>
      </c>
      <c r="AD79" s="487"/>
      <c r="AE79" s="500"/>
      <c r="AF79" s="489"/>
    </row>
    <row r="80" spans="2:32" ht="15.75" thickBot="1">
      <c r="B80" s="93"/>
      <c r="C80" s="215" t="s">
        <v>122</v>
      </c>
      <c r="D80" s="1362">
        <f>('Boiler '!E44/Pellet!$M$8)/1000</f>
        <v>4.561119742211452</v>
      </c>
      <c r="E80" s="1363"/>
      <c r="F80" s="1362">
        <f>'Boiler '!E44*Pellet!$Q$8</f>
        <v>592.9455664874888</v>
      </c>
      <c r="G80" s="1363"/>
      <c r="H80" s="1352">
        <f>('Boiler '!E44/Pellet!$M$10)/1000</f>
        <v>4.561119742211452</v>
      </c>
      <c r="I80" s="1353"/>
      <c r="J80" s="1352">
        <f>'Boiler '!E44*Pellet!$Q$10</f>
        <v>592.9455664874888</v>
      </c>
      <c r="K80" s="1353"/>
      <c r="L80" s="1354">
        <f>('Boiler '!E44/Pellet!$M$12)/1000</f>
        <v>4.561119742211452</v>
      </c>
      <c r="M80" s="1355"/>
      <c r="N80" s="1354">
        <f>'Boiler '!E44*Pellet!$Q$12</f>
        <v>592.9455664874888</v>
      </c>
      <c r="O80" s="1355"/>
      <c r="P80" s="94"/>
      <c r="Q80" s="94"/>
      <c r="R80" s="94"/>
      <c r="S80" s="94"/>
      <c r="T80" s="94"/>
      <c r="U80" s="94"/>
      <c r="V80" s="94"/>
      <c r="W80" s="96"/>
      <c r="AB80" s="489"/>
      <c r="AC80" s="503">
        <f t="shared" si="1"/>
        <v>317.62467541311111</v>
      </c>
      <c r="AD80" s="487"/>
      <c r="AE80" s="500"/>
      <c r="AF80" s="489"/>
    </row>
    <row r="81" spans="2:32" ht="15.75" thickBot="1">
      <c r="B81" s="93"/>
      <c r="C81" s="215" t="s">
        <v>121</v>
      </c>
      <c r="D81" s="1362">
        <f>('Boiler '!E45/Pellet!$M$8)/1000</f>
        <v>4.0477012138843431</v>
      </c>
      <c r="E81" s="1363"/>
      <c r="F81" s="1362">
        <f>'Boiler '!E45*Pellet!$Q$8</f>
        <v>526.20115780496462</v>
      </c>
      <c r="G81" s="1363"/>
      <c r="H81" s="1352">
        <f>('Boiler '!E45/Pellet!$M$10)/1000</f>
        <v>4.0477012138843431</v>
      </c>
      <c r="I81" s="1353"/>
      <c r="J81" s="1352">
        <f>'Boiler '!E45*Pellet!$Q$10</f>
        <v>526.20115780496462</v>
      </c>
      <c r="K81" s="1353"/>
      <c r="L81" s="1354">
        <f>('Boiler '!E45/Pellet!$M$12)/1000</f>
        <v>4.0477012138843431</v>
      </c>
      <c r="M81" s="1355"/>
      <c r="N81" s="1354">
        <f>'Boiler '!E45*Pellet!$Q$12</f>
        <v>526.20115780496462</v>
      </c>
      <c r="O81" s="1355"/>
      <c r="P81" s="94"/>
      <c r="Q81" s="94"/>
      <c r="R81" s="94"/>
      <c r="S81" s="94"/>
      <c r="T81" s="94"/>
      <c r="U81" s="94"/>
      <c r="V81" s="94"/>
      <c r="W81" s="96"/>
      <c r="AB81" s="489"/>
      <c r="AC81" s="503">
        <f t="shared" si="1"/>
        <v>230.25985875038018</v>
      </c>
      <c r="AD81" s="487"/>
      <c r="AE81" s="500"/>
      <c r="AF81" s="489"/>
    </row>
    <row r="82" spans="2:32" ht="15.75" thickBot="1">
      <c r="B82" s="93"/>
      <c r="C82" s="215" t="s">
        <v>105</v>
      </c>
      <c r="D82" s="1362">
        <f>('Boiler '!E46/Pellet!$M$8)/1000</f>
        <v>3.4944116037836386</v>
      </c>
      <c r="E82" s="1363"/>
      <c r="F82" s="1362">
        <f>'Boiler '!E46*Pellet!$Q$8</f>
        <v>454.27350849187297</v>
      </c>
      <c r="G82" s="1363"/>
      <c r="H82" s="1352">
        <f>('Boiler '!E46/Pellet!$M$10)/1000</f>
        <v>3.4944116037836386</v>
      </c>
      <c r="I82" s="1353"/>
      <c r="J82" s="1352">
        <f>'Boiler '!E46*Pellet!$Q$10</f>
        <v>454.27350849187297</v>
      </c>
      <c r="K82" s="1353"/>
      <c r="L82" s="1354">
        <f>('Boiler '!E46/Pellet!$M$12)/1000</f>
        <v>3.4944116037836386</v>
      </c>
      <c r="M82" s="1355"/>
      <c r="N82" s="1354">
        <f>'Boiler '!E46*Pellet!$Q$12</f>
        <v>454.27350849187297</v>
      </c>
      <c r="O82" s="1355"/>
      <c r="P82" s="94"/>
      <c r="Q82" s="94"/>
      <c r="R82" s="94"/>
      <c r="S82" s="94"/>
      <c r="T82" s="94"/>
      <c r="U82" s="94"/>
      <c r="V82" s="94"/>
      <c r="W82" s="96"/>
      <c r="AB82" s="489"/>
      <c r="AC82" s="503">
        <f t="shared" si="1"/>
        <v>230.25985875038018</v>
      </c>
      <c r="AD82" s="487"/>
      <c r="AE82" s="500"/>
      <c r="AF82" s="489"/>
    </row>
    <row r="83" spans="2:32" ht="15.75" thickBot="1">
      <c r="B83" s="93"/>
      <c r="C83" s="215" t="s">
        <v>120</v>
      </c>
      <c r="D83" s="1362">
        <f>('Boiler '!E47/Pellet!$M$8)/1000</f>
        <v>2.443266733947008</v>
      </c>
      <c r="E83" s="1363"/>
      <c r="F83" s="1362">
        <f>'Boiler '!E47*Pellet!$Q$8</f>
        <v>317.62467541311111</v>
      </c>
      <c r="G83" s="1363"/>
      <c r="H83" s="1352">
        <f>('Boiler '!E47/Pellet!$M$10)/1000</f>
        <v>2.443266733947008</v>
      </c>
      <c r="I83" s="1353"/>
      <c r="J83" s="1352">
        <f>'Boiler '!E47*Pellet!$Q$10</f>
        <v>317.62467541311111</v>
      </c>
      <c r="K83" s="1353"/>
      <c r="L83" s="1354">
        <f>('Boiler '!E47/Pellet!$M$12)/1000</f>
        <v>2.443266733947008</v>
      </c>
      <c r="M83" s="1355"/>
      <c r="N83" s="1354">
        <f>'Boiler '!E47*Pellet!$Q$12</f>
        <v>317.62467541311111</v>
      </c>
      <c r="O83" s="1355"/>
      <c r="P83" s="94"/>
      <c r="Q83" s="94"/>
      <c r="R83" s="94"/>
      <c r="S83" s="94"/>
      <c r="T83" s="94"/>
      <c r="U83" s="94"/>
      <c r="V83" s="94"/>
      <c r="W83" s="96"/>
      <c r="AB83" s="489"/>
      <c r="AC83" s="503">
        <f t="shared" si="1"/>
        <v>353.4674645618349</v>
      </c>
      <c r="AD83" s="487"/>
      <c r="AE83" s="500"/>
      <c r="AF83" s="489"/>
    </row>
    <row r="84" spans="2:32" ht="16.5" thickBot="1">
      <c r="B84" s="93"/>
      <c r="C84" s="215" t="s">
        <v>119</v>
      </c>
      <c r="D84" s="1362">
        <f>('Boiler '!E48/Pellet!$M$8)/1000</f>
        <v>1.7712296826952321</v>
      </c>
      <c r="E84" s="1363"/>
      <c r="F84" s="1362">
        <f>'Boiler '!E48*Pellet!$Q$8</f>
        <v>230.25985875038018</v>
      </c>
      <c r="G84" s="1363"/>
      <c r="H84" s="1352">
        <f>('Boiler '!E48/Pellet!$M$10)/1000</f>
        <v>1.7712296826952321</v>
      </c>
      <c r="I84" s="1353"/>
      <c r="J84" s="1352">
        <f>'Boiler '!E48*Pellet!$Q$10</f>
        <v>230.25985875038018</v>
      </c>
      <c r="K84" s="1353"/>
      <c r="L84" s="1354">
        <f>('Boiler '!E48/Pellet!$M$12)/1000</f>
        <v>1.7712296826952321</v>
      </c>
      <c r="M84" s="1355"/>
      <c r="N84" s="1354">
        <f>'Boiler '!E48*Pellet!$Q$12</f>
        <v>230.25985875038018</v>
      </c>
      <c r="O84" s="1355"/>
      <c r="P84" s="109" t="s">
        <v>176</v>
      </c>
      <c r="Q84" s="94"/>
      <c r="R84" s="1341" t="s">
        <v>177</v>
      </c>
      <c r="S84" s="1342"/>
      <c r="T84" s="1347" t="s">
        <v>30</v>
      </c>
      <c r="U84" s="1348"/>
      <c r="V84" s="94"/>
      <c r="W84" s="96"/>
      <c r="AB84" s="489"/>
      <c r="AC84" s="503">
        <f t="shared" si="1"/>
        <v>457.44332232066017</v>
      </c>
      <c r="AD84" s="487"/>
      <c r="AE84" s="500"/>
      <c r="AF84" s="489"/>
    </row>
    <row r="85" spans="2:32" ht="16.5" thickBot="1">
      <c r="B85" s="93"/>
      <c r="C85" s="215" t="s">
        <v>118</v>
      </c>
      <c r="D85" s="1362">
        <f>('Boiler '!E49/Pellet!$M$8)/1000</f>
        <v>1.7712296826952321</v>
      </c>
      <c r="E85" s="1363"/>
      <c r="F85" s="1362">
        <f>'Boiler '!E49*Pellet!$Q$8</f>
        <v>230.25985875038018</v>
      </c>
      <c r="G85" s="1363"/>
      <c r="H85" s="1352">
        <f>('Boiler '!E49/Pellet!$M$10)/1000</f>
        <v>1.7712296826952321</v>
      </c>
      <c r="I85" s="1353"/>
      <c r="J85" s="1352">
        <f>'Boiler '!E49*Pellet!$Q$10</f>
        <v>230.25985875038018</v>
      </c>
      <c r="K85" s="1353"/>
      <c r="L85" s="1354">
        <f>('Boiler '!E49/Pellet!$M$12)/1000</f>
        <v>1.7712296826952321</v>
      </c>
      <c r="M85" s="1355"/>
      <c r="N85" s="1354">
        <f>'Boiler '!E49*Pellet!$Q$12</f>
        <v>230.25985875038018</v>
      </c>
      <c r="O85" s="1355"/>
      <c r="P85" s="94"/>
      <c r="Q85" s="94"/>
      <c r="R85" s="94"/>
      <c r="S85" s="110"/>
      <c r="T85" s="94"/>
      <c r="U85" s="94"/>
      <c r="V85" s="94"/>
      <c r="W85" s="96"/>
      <c r="AB85" s="489"/>
      <c r="AC85" s="503">
        <f t="shared" si="1"/>
        <v>567.13449532584093</v>
      </c>
      <c r="AD85" s="487"/>
      <c r="AE85" s="500"/>
      <c r="AF85" s="489"/>
    </row>
    <row r="86" spans="2:32" ht="15.75" thickBot="1">
      <c r="B86" s="93"/>
      <c r="C86" s="215" t="s">
        <v>117</v>
      </c>
      <c r="D86" s="1362">
        <f>('Boiler '!E50/Pellet!$M$8)/1000</f>
        <v>2.718980496629499</v>
      </c>
      <c r="E86" s="1363"/>
      <c r="F86" s="1362">
        <f>'Boiler '!E50*Pellet!$Q$8</f>
        <v>353.4674645618349</v>
      </c>
      <c r="G86" s="1363"/>
      <c r="H86" s="1352">
        <f>('Boiler '!E50/Pellet!$M$10)/1000</f>
        <v>2.718980496629499</v>
      </c>
      <c r="I86" s="1353"/>
      <c r="J86" s="1352">
        <f>'Boiler '!E50*Pellet!$Q$10</f>
        <v>353.4674645618349</v>
      </c>
      <c r="K86" s="1353"/>
      <c r="L86" s="1354">
        <f>('Boiler '!E50/Pellet!$M$12)/1000</f>
        <v>2.718980496629499</v>
      </c>
      <c r="M86" s="1355"/>
      <c r="N86" s="1354">
        <f>'Boiler '!E50*Pellet!$Q$12</f>
        <v>353.4674645618349</v>
      </c>
      <c r="O86" s="1355"/>
      <c r="P86" s="94"/>
      <c r="Q86" s="94"/>
      <c r="R86" s="94"/>
      <c r="S86" s="94"/>
      <c r="T86" s="94"/>
      <c r="U86" s="94"/>
      <c r="V86" s="94"/>
      <c r="W86" s="96"/>
      <c r="AB86" s="489"/>
      <c r="AC86" s="503">
        <f t="shared" si="1"/>
        <v>719.619173078068</v>
      </c>
      <c r="AD86" s="487"/>
      <c r="AE86" s="500"/>
      <c r="AF86" s="489"/>
    </row>
    <row r="87" spans="2:32" ht="15.75" thickBot="1">
      <c r="B87" s="93"/>
      <c r="C87" s="215" t="s">
        <v>116</v>
      </c>
      <c r="D87" s="1362">
        <f>('Boiler '!E51/Pellet!$M$8)/1000</f>
        <v>3.5187947870820011</v>
      </c>
      <c r="E87" s="1363"/>
      <c r="F87" s="1362">
        <f>'Boiler '!E51*Pellet!$Q$8</f>
        <v>457.44332232066017</v>
      </c>
      <c r="G87" s="1363"/>
      <c r="H87" s="1352">
        <f>('Boiler '!E51/Pellet!$M$10)/1000</f>
        <v>3.5187947870820011</v>
      </c>
      <c r="I87" s="1353"/>
      <c r="J87" s="1352">
        <f>'Boiler '!E51*Pellet!$Q$10</f>
        <v>457.44332232066017</v>
      </c>
      <c r="K87" s="1353"/>
      <c r="L87" s="1354">
        <f>('Boiler '!E51/Pellet!$M$12)/1000</f>
        <v>3.5187947870820011</v>
      </c>
      <c r="M87" s="1355"/>
      <c r="N87" s="1354">
        <f>'Boiler '!E51*Pellet!$Q$12</f>
        <v>457.44332232066017</v>
      </c>
      <c r="O87" s="1355"/>
      <c r="P87" s="94"/>
      <c r="Q87" s="94"/>
      <c r="R87" s="94"/>
      <c r="S87" s="94"/>
      <c r="T87" s="94"/>
      <c r="U87" s="94"/>
      <c r="V87" s="94"/>
      <c r="W87" s="96"/>
      <c r="AB87" s="489"/>
      <c r="AC87" s="504"/>
      <c r="AD87" s="501"/>
      <c r="AE87" s="502"/>
      <c r="AF87" s="489"/>
    </row>
    <row r="88" spans="2:32" ht="15.75" thickBot="1">
      <c r="B88" s="93"/>
      <c r="C88" s="215" t="s">
        <v>115</v>
      </c>
      <c r="D88" s="1362">
        <f>('Boiler '!E52/Pellet!$M$8)/1000</f>
        <v>4.3625730409680061</v>
      </c>
      <c r="E88" s="1363"/>
      <c r="F88" s="1362">
        <f>'Boiler '!E52*Pellet!$Q$8</f>
        <v>567.13449532584093</v>
      </c>
      <c r="G88" s="1363"/>
      <c r="H88" s="1352">
        <f>('Boiler '!E52/Pellet!$M$10)/1000</f>
        <v>4.3625730409680061</v>
      </c>
      <c r="I88" s="1353"/>
      <c r="J88" s="1352">
        <f>'Boiler '!E52*Pellet!$Q$10</f>
        <v>567.13449532584093</v>
      </c>
      <c r="K88" s="1353"/>
      <c r="L88" s="1354">
        <f>('Boiler '!E52/Pellet!$M$12)/1000</f>
        <v>4.3625730409680061</v>
      </c>
      <c r="M88" s="1355"/>
      <c r="N88" s="1354">
        <f>'Boiler '!E52*Pellet!$Q$12</f>
        <v>567.13449532584093</v>
      </c>
      <c r="O88" s="1355"/>
      <c r="P88" s="94"/>
      <c r="Q88" s="94"/>
      <c r="R88" s="94"/>
      <c r="S88" s="94"/>
      <c r="T88" s="94"/>
      <c r="U88" s="94"/>
      <c r="V88" s="94"/>
      <c r="W88" s="96"/>
      <c r="AB88" s="489"/>
      <c r="AC88" s="489"/>
      <c r="AD88" s="489"/>
      <c r="AE88" s="489"/>
      <c r="AF88" s="489"/>
    </row>
    <row r="89" spans="2:32" ht="15.75" thickBot="1">
      <c r="B89" s="93"/>
      <c r="C89" s="216" t="s">
        <v>114</v>
      </c>
      <c r="D89" s="1362">
        <f>('Boiler '!E53/Pellet!$M$8)/1000</f>
        <v>5.5355321006005234</v>
      </c>
      <c r="E89" s="1363"/>
      <c r="F89" s="1362">
        <f>'Boiler '!E53*Pellet!$Q$8</f>
        <v>719.619173078068</v>
      </c>
      <c r="G89" s="1363"/>
      <c r="H89" s="1352">
        <f>('Boiler '!E53/Pellet!$M$10)/1000</f>
        <v>5.5355321006005234</v>
      </c>
      <c r="I89" s="1353"/>
      <c r="J89" s="1352">
        <f>'Boiler '!E53*Pellet!$Q$10</f>
        <v>719.619173078068</v>
      </c>
      <c r="K89" s="1353"/>
      <c r="L89" s="1354">
        <f>('Boiler '!E53/Pellet!$M$12)/1000</f>
        <v>5.5355321006005234</v>
      </c>
      <c r="M89" s="1355"/>
      <c r="N89" s="1354">
        <f>'Boiler '!E53*Pellet!$Q$12</f>
        <v>719.619173078068</v>
      </c>
      <c r="O89" s="1355"/>
      <c r="P89" s="94"/>
      <c r="Q89" s="94"/>
      <c r="R89" s="94"/>
      <c r="S89" s="94"/>
      <c r="T89" s="94"/>
      <c r="U89" s="94"/>
      <c r="V89" s="94"/>
      <c r="W89" s="96"/>
      <c r="AB89" s="489"/>
      <c r="AC89" s="489"/>
      <c r="AD89" s="489"/>
      <c r="AE89" s="489"/>
      <c r="AF89" s="489"/>
    </row>
    <row r="90" spans="2:32" ht="15.75" thickBot="1">
      <c r="B90" s="93"/>
      <c r="C90" s="217" t="s">
        <v>172</v>
      </c>
      <c r="D90" s="1366">
        <f>SUM(D78:E89)</f>
        <v>44.707167502884815</v>
      </c>
      <c r="E90" s="1367"/>
      <c r="F90" s="1366">
        <f>SUM(F78:G89)</f>
        <v>5811.9317753750256</v>
      </c>
      <c r="G90" s="1367"/>
      <c r="H90" s="1368">
        <f>SUM(H78:I89)</f>
        <v>44.707167502884815</v>
      </c>
      <c r="I90" s="1369"/>
      <c r="J90" s="1368">
        <f>SUM(J78:K89)</f>
        <v>5811.9317753750256</v>
      </c>
      <c r="K90" s="1369"/>
      <c r="L90" s="1370">
        <f>SUM(L78:M89)</f>
        <v>44.707167502884815</v>
      </c>
      <c r="M90" s="1371"/>
      <c r="N90" s="1370">
        <f>SUM(N78:O89)</f>
        <v>5811.9317753750256</v>
      </c>
      <c r="O90" s="1372"/>
      <c r="P90" s="94"/>
      <c r="Q90" s="94"/>
      <c r="R90" s="113"/>
      <c r="S90" s="94"/>
      <c r="T90" s="94"/>
      <c r="U90" s="94"/>
      <c r="V90" s="94"/>
      <c r="W90" s="96"/>
      <c r="AB90" s="489"/>
      <c r="AC90" s="489"/>
      <c r="AD90" s="489"/>
      <c r="AE90" s="489"/>
      <c r="AF90" s="489"/>
    </row>
    <row r="91" spans="2:32">
      <c r="B91" s="93"/>
      <c r="C91" s="97"/>
      <c r="D91" s="114"/>
      <c r="E91" s="97"/>
      <c r="F91" s="97"/>
      <c r="G91" s="97"/>
      <c r="H91" s="97"/>
      <c r="I91" s="97"/>
      <c r="J91" s="97"/>
      <c r="K91" s="97"/>
      <c r="L91" s="1343" t="s">
        <v>178</v>
      </c>
      <c r="M91" s="1343"/>
      <c r="N91" s="1343"/>
      <c r="O91" s="1343"/>
      <c r="P91" s="94"/>
      <c r="Q91" s="94"/>
      <c r="R91" s="94"/>
      <c r="S91" s="94"/>
      <c r="T91" s="94"/>
      <c r="U91" s="94"/>
      <c r="V91" s="94"/>
      <c r="W91" s="96"/>
      <c r="AB91" s="489"/>
      <c r="AC91" s="489"/>
      <c r="AD91" s="489"/>
      <c r="AE91" s="489"/>
      <c r="AF91" s="489"/>
    </row>
    <row r="92" spans="2:32">
      <c r="B92" s="93"/>
      <c r="C92" s="97"/>
      <c r="D92" s="114"/>
      <c r="E92" s="97"/>
      <c r="F92" s="97"/>
      <c r="G92" s="97"/>
      <c r="H92" s="97"/>
      <c r="I92" s="97"/>
      <c r="J92" s="97"/>
      <c r="K92" s="97"/>
      <c r="L92" s="1327" t="s">
        <v>378</v>
      </c>
      <c r="M92" s="1327"/>
      <c r="N92" s="1327"/>
      <c r="O92" s="1327"/>
      <c r="P92" s="94"/>
      <c r="Q92" s="94"/>
      <c r="R92" s="94"/>
      <c r="S92" s="94"/>
      <c r="T92" s="94"/>
      <c r="U92" s="94"/>
      <c r="V92" s="94"/>
      <c r="W92" s="96"/>
      <c r="AB92" s="489"/>
      <c r="AC92" s="489"/>
      <c r="AD92" s="489"/>
      <c r="AE92" s="489"/>
      <c r="AF92" s="489"/>
    </row>
    <row r="93" spans="2:32">
      <c r="B93" s="93"/>
      <c r="C93" s="97"/>
      <c r="D93" s="114"/>
      <c r="E93" s="97"/>
      <c r="F93" s="97"/>
      <c r="G93" s="97"/>
      <c r="H93" s="97"/>
      <c r="I93" s="97"/>
      <c r="J93" s="97"/>
      <c r="K93" s="97"/>
      <c r="L93" s="97"/>
      <c r="M93" s="97"/>
      <c r="N93" s="97"/>
      <c r="O93" s="94"/>
      <c r="P93" s="94"/>
      <c r="Q93" s="94"/>
      <c r="R93" s="94"/>
      <c r="S93" s="94"/>
      <c r="T93" s="94"/>
      <c r="U93" s="94"/>
      <c r="V93" s="94"/>
      <c r="W93" s="96"/>
      <c r="AB93" s="489"/>
      <c r="AC93" s="489"/>
      <c r="AD93" s="489"/>
      <c r="AE93" s="489"/>
      <c r="AF93" s="489"/>
    </row>
    <row r="94" spans="2:32" ht="15">
      <c r="B94" s="93"/>
      <c r="C94" s="97"/>
      <c r="D94" s="115"/>
      <c r="E94" s="97"/>
      <c r="F94" s="97"/>
      <c r="G94" s="97"/>
      <c r="H94" s="97"/>
      <c r="I94" s="97"/>
      <c r="J94" s="97"/>
      <c r="K94" s="97"/>
      <c r="L94" s="97"/>
      <c r="M94" s="97"/>
      <c r="N94" s="97"/>
      <c r="O94" s="94"/>
      <c r="P94" s="94"/>
      <c r="Q94" s="94"/>
      <c r="R94" s="94"/>
      <c r="S94" s="94"/>
      <c r="T94" s="94"/>
      <c r="U94" s="94"/>
      <c r="V94" s="94"/>
      <c r="W94" s="96"/>
      <c r="AB94" s="489"/>
      <c r="AC94" s="489"/>
      <c r="AD94" s="489"/>
      <c r="AE94" s="489"/>
      <c r="AF94" s="489"/>
    </row>
    <row r="95" spans="2:32">
      <c r="B95" s="93"/>
      <c r="C95" s="97"/>
      <c r="D95" s="97"/>
      <c r="E95" s="97"/>
      <c r="F95" s="97"/>
      <c r="G95" s="97"/>
      <c r="H95" s="97"/>
      <c r="I95" s="97"/>
      <c r="J95" s="97"/>
      <c r="K95" s="97"/>
      <c r="L95" s="97"/>
      <c r="M95" s="97"/>
      <c r="N95" s="97"/>
      <c r="O95" s="94"/>
      <c r="P95" s="94"/>
      <c r="Q95" s="94"/>
      <c r="R95" s="94"/>
      <c r="S95" s="94"/>
      <c r="T95" s="94"/>
      <c r="U95" s="94"/>
      <c r="V95" s="94"/>
      <c r="W95" s="96"/>
      <c r="AB95" s="489"/>
      <c r="AC95" s="489"/>
      <c r="AD95" s="489"/>
      <c r="AE95" s="489"/>
      <c r="AF95" s="489"/>
    </row>
    <row r="96" spans="2:32">
      <c r="B96" s="93"/>
      <c r="C96" s="97"/>
      <c r="D96" s="97"/>
      <c r="E96" s="97"/>
      <c r="F96" s="97"/>
      <c r="G96" s="97"/>
      <c r="H96" s="97"/>
      <c r="I96" s="97"/>
      <c r="J96" s="97"/>
      <c r="K96" s="97"/>
      <c r="L96" s="97"/>
      <c r="M96" s="97"/>
      <c r="N96" s="97"/>
      <c r="O96" s="94"/>
      <c r="P96" s="94"/>
      <c r="Q96" s="94"/>
      <c r="R96" s="94"/>
      <c r="S96" s="94"/>
      <c r="T96" s="94"/>
      <c r="U96" s="94"/>
      <c r="V96" s="94"/>
      <c r="W96" s="96"/>
      <c r="AB96" s="489"/>
      <c r="AC96" s="489"/>
      <c r="AD96" s="489"/>
      <c r="AE96" s="489"/>
      <c r="AF96" s="489"/>
    </row>
    <row r="97" spans="2:32">
      <c r="B97" s="93"/>
      <c r="C97" s="116"/>
      <c r="D97" s="117"/>
      <c r="E97" s="97"/>
      <c r="F97" s="97"/>
      <c r="G97" s="97"/>
      <c r="H97" s="97"/>
      <c r="I97" s="97"/>
      <c r="J97" s="97"/>
      <c r="K97" s="97"/>
      <c r="L97" s="97"/>
      <c r="M97" s="97"/>
      <c r="N97" s="97"/>
      <c r="O97" s="94"/>
      <c r="P97" s="94"/>
      <c r="Q97" s="94"/>
      <c r="R97" s="94"/>
      <c r="S97" s="94"/>
      <c r="T97" s="94"/>
      <c r="U97" s="94"/>
      <c r="V97" s="94"/>
      <c r="W97" s="96"/>
      <c r="AB97" s="489"/>
      <c r="AC97" s="489"/>
      <c r="AD97" s="489"/>
      <c r="AE97" s="489"/>
      <c r="AF97" s="489"/>
    </row>
    <row r="98" spans="2:32">
      <c r="B98" s="93"/>
      <c r="C98" s="97"/>
      <c r="D98" s="97"/>
      <c r="E98" s="97"/>
      <c r="F98" s="97"/>
      <c r="G98" s="97"/>
      <c r="H98" s="97"/>
      <c r="I98" s="97"/>
      <c r="J98" s="97"/>
      <c r="K98" s="97"/>
      <c r="L98" s="97"/>
      <c r="M98" s="97"/>
      <c r="N98" s="97"/>
      <c r="O98" s="94"/>
      <c r="P98" s="94"/>
      <c r="Q98" s="94"/>
      <c r="R98" s="94"/>
      <c r="S98" s="94"/>
      <c r="T98" s="94"/>
      <c r="U98" s="94"/>
      <c r="V98" s="94"/>
      <c r="W98" s="96"/>
      <c r="AB98" s="489"/>
      <c r="AC98" s="489"/>
      <c r="AD98" s="489"/>
      <c r="AE98" s="489"/>
      <c r="AF98" s="489"/>
    </row>
    <row r="99" spans="2:32" ht="15" thickBot="1">
      <c r="B99" s="118"/>
      <c r="C99" s="119"/>
      <c r="D99" s="120"/>
      <c r="E99" s="119"/>
      <c r="F99" s="119"/>
      <c r="G99" s="119"/>
      <c r="H99" s="119"/>
      <c r="I99" s="119"/>
      <c r="J99" s="119"/>
      <c r="K99" s="119"/>
      <c r="L99" s="119"/>
      <c r="M99" s="119"/>
      <c r="N99" s="119"/>
      <c r="O99" s="111"/>
      <c r="P99" s="111"/>
      <c r="Q99" s="111"/>
      <c r="R99" s="111"/>
      <c r="S99" s="111"/>
      <c r="T99" s="111"/>
      <c r="U99" s="111"/>
      <c r="V99" s="111"/>
      <c r="W99" s="121"/>
      <c r="AB99" s="489"/>
      <c r="AC99" s="489"/>
      <c r="AD99" s="489"/>
      <c r="AE99" s="489"/>
      <c r="AF99" s="489"/>
    </row>
    <row r="100" spans="2:32" s="210" customFormat="1"/>
    <row r="101" spans="2:32" s="210" customFormat="1"/>
    <row r="102" spans="2:32" s="210" customFormat="1"/>
    <row r="103" spans="2:32" s="210" customFormat="1"/>
    <row r="104" spans="2:32" s="210" customFormat="1"/>
    <row r="105" spans="2:32" s="210" customFormat="1"/>
    <row r="106" spans="2:32" s="210" customFormat="1"/>
    <row r="107" spans="2:32" s="210" customFormat="1"/>
    <row r="108" spans="2:32" s="210" customFormat="1"/>
    <row r="109" spans="2:32" s="210" customFormat="1"/>
    <row r="110" spans="2:32" s="210" customFormat="1"/>
    <row r="111" spans="2:32" s="210" customFormat="1"/>
    <row r="112" spans="2:32" s="210" customFormat="1"/>
    <row r="113" spans="1:28" s="210" customFormat="1"/>
    <row r="114" spans="1:28" s="210" customFormat="1"/>
    <row r="115" spans="1:28" s="210" customFormat="1"/>
    <row r="116" spans="1:28" s="210" customFormat="1"/>
    <row r="117" spans="1:28" s="210" customFormat="1"/>
    <row r="118" spans="1:28" s="210" customFormat="1"/>
    <row r="119" spans="1:28" s="210" customFormat="1"/>
    <row r="120" spans="1:28" s="210" customFormat="1"/>
    <row r="121" spans="1:28" s="210" customFormat="1"/>
    <row r="122" spans="1:28" s="210" customFormat="1"/>
    <row r="123" spans="1:28" s="210" customFormat="1"/>
    <row r="124" spans="1:28" s="210" customFormat="1"/>
    <row r="125" spans="1:28" s="175" customFormat="1">
      <c r="A125" s="210"/>
      <c r="X125" s="210"/>
      <c r="Y125" s="210"/>
      <c r="Z125" s="210"/>
      <c r="AA125" s="210"/>
      <c r="AB125" s="210"/>
    </row>
  </sheetData>
  <sheetProtection password="B1AA" sheet="1" selectLockedCells="1"/>
  <mergeCells count="221">
    <mergeCell ref="AE21:AF21"/>
    <mergeCell ref="AE23:AF23"/>
    <mergeCell ref="L91:O91"/>
    <mergeCell ref="D90:E90"/>
    <mergeCell ref="F90:G90"/>
    <mergeCell ref="H90:I90"/>
    <mergeCell ref="J90:K90"/>
    <mergeCell ref="L90:M90"/>
    <mergeCell ref="N90:O90"/>
    <mergeCell ref="L88:M88"/>
    <mergeCell ref="D89:E89"/>
    <mergeCell ref="F89:G89"/>
    <mergeCell ref="H89:I89"/>
    <mergeCell ref="J89:K89"/>
    <mergeCell ref="L89:M89"/>
    <mergeCell ref="N89:O89"/>
    <mergeCell ref="D88:E88"/>
    <mergeCell ref="F88:G88"/>
    <mergeCell ref="H88:I88"/>
    <mergeCell ref="J88:K88"/>
    <mergeCell ref="L86:M86"/>
    <mergeCell ref="N86:O86"/>
    <mergeCell ref="D87:E87"/>
    <mergeCell ref="F87:G87"/>
    <mergeCell ref="H87:I87"/>
    <mergeCell ref="J87:K87"/>
    <mergeCell ref="L87:M87"/>
    <mergeCell ref="N87:O87"/>
    <mergeCell ref="D86:E86"/>
    <mergeCell ref="N88:O88"/>
    <mergeCell ref="F86:G86"/>
    <mergeCell ref="H86:I86"/>
    <mergeCell ref="J86:K86"/>
    <mergeCell ref="R84:S84"/>
    <mergeCell ref="T84:U84"/>
    <mergeCell ref="D85:E85"/>
    <mergeCell ref="F85:G85"/>
    <mergeCell ref="H85:I85"/>
    <mergeCell ref="J85:K85"/>
    <mergeCell ref="L85:M85"/>
    <mergeCell ref="N85:O85"/>
    <mergeCell ref="L83:M83"/>
    <mergeCell ref="N83:O83"/>
    <mergeCell ref="D84:E84"/>
    <mergeCell ref="F84:G84"/>
    <mergeCell ref="H84:I84"/>
    <mergeCell ref="J84:K84"/>
    <mergeCell ref="L84:M84"/>
    <mergeCell ref="N84:O84"/>
    <mergeCell ref="J83:K83"/>
    <mergeCell ref="D83:E83"/>
    <mergeCell ref="F83:G83"/>
    <mergeCell ref="H83:I83"/>
    <mergeCell ref="F80:G80"/>
    <mergeCell ref="H80:I80"/>
    <mergeCell ref="J80:K80"/>
    <mergeCell ref="D79:E79"/>
    <mergeCell ref="L79:M79"/>
    <mergeCell ref="L81:M81"/>
    <mergeCell ref="N81:O81"/>
    <mergeCell ref="D82:E82"/>
    <mergeCell ref="F82:G82"/>
    <mergeCell ref="H82:I82"/>
    <mergeCell ref="J82:K82"/>
    <mergeCell ref="L82:M82"/>
    <mergeCell ref="N82:O82"/>
    <mergeCell ref="J81:K81"/>
    <mergeCell ref="D81:E81"/>
    <mergeCell ref="F81:G81"/>
    <mergeCell ref="H81:I81"/>
    <mergeCell ref="L80:M80"/>
    <mergeCell ref="N80:O80"/>
    <mergeCell ref="F79:G79"/>
    <mergeCell ref="H79:I79"/>
    <mergeCell ref="D80:E80"/>
    <mergeCell ref="L75:O75"/>
    <mergeCell ref="D76:G76"/>
    <mergeCell ref="H76:K76"/>
    <mergeCell ref="L76:O76"/>
    <mergeCell ref="D77:E77"/>
    <mergeCell ref="F77:G77"/>
    <mergeCell ref="H77:I77"/>
    <mergeCell ref="D78:E78"/>
    <mergeCell ref="F78:G78"/>
    <mergeCell ref="H78:I78"/>
    <mergeCell ref="J78:K78"/>
    <mergeCell ref="D75:G75"/>
    <mergeCell ref="H75:K75"/>
    <mergeCell ref="T50:U50"/>
    <mergeCell ref="D41:G41"/>
    <mergeCell ref="H41:K41"/>
    <mergeCell ref="L41:O41"/>
    <mergeCell ref="J79:K79"/>
    <mergeCell ref="J77:K77"/>
    <mergeCell ref="L77:M77"/>
    <mergeCell ref="N77:O77"/>
    <mergeCell ref="L78:M78"/>
    <mergeCell ref="N78:O78"/>
    <mergeCell ref="N79:O79"/>
    <mergeCell ref="D56:E56"/>
    <mergeCell ref="F56:G56"/>
    <mergeCell ref="H56:I56"/>
    <mergeCell ref="J56:K56"/>
    <mergeCell ref="L45:M45"/>
    <mergeCell ref="N45:O45"/>
    <mergeCell ref="N51:O51"/>
    <mergeCell ref="L46:M46"/>
    <mergeCell ref="N46:O46"/>
    <mergeCell ref="L47:M47"/>
    <mergeCell ref="N47:O47"/>
    <mergeCell ref="L48:M48"/>
    <mergeCell ref="H51:I51"/>
    <mergeCell ref="J7:L7"/>
    <mergeCell ref="N49:O49"/>
    <mergeCell ref="N52:O52"/>
    <mergeCell ref="L53:M53"/>
    <mergeCell ref="N53:O53"/>
    <mergeCell ref="R50:S50"/>
    <mergeCell ref="L57:O57"/>
    <mergeCell ref="L55:M55"/>
    <mergeCell ref="N55:O55"/>
    <mergeCell ref="L56:M56"/>
    <mergeCell ref="N56:O56"/>
    <mergeCell ref="L52:M52"/>
    <mergeCell ref="L50:M50"/>
    <mergeCell ref="N50:O50"/>
    <mergeCell ref="L51:M51"/>
    <mergeCell ref="N48:O48"/>
    <mergeCell ref="L49:M49"/>
    <mergeCell ref="L42:O42"/>
    <mergeCell ref="L43:M43"/>
    <mergeCell ref="N43:O43"/>
    <mergeCell ref="L44:M44"/>
    <mergeCell ref="N44:O44"/>
    <mergeCell ref="L54:M54"/>
    <mergeCell ref="N54:O54"/>
    <mergeCell ref="J51:K51"/>
    <mergeCell ref="H48:I48"/>
    <mergeCell ref="J48:K48"/>
    <mergeCell ref="H49:I49"/>
    <mergeCell ref="J49:K49"/>
    <mergeCell ref="H54:I54"/>
    <mergeCell ref="J54:K54"/>
    <mergeCell ref="H55:I55"/>
    <mergeCell ref="J55:K55"/>
    <mergeCell ref="H52:I52"/>
    <mergeCell ref="J52:K52"/>
    <mergeCell ref="H53:I53"/>
    <mergeCell ref="J53:K53"/>
    <mergeCell ref="L92:O92"/>
    <mergeCell ref="D42:G42"/>
    <mergeCell ref="D44:E44"/>
    <mergeCell ref="F44:G44"/>
    <mergeCell ref="D45:E45"/>
    <mergeCell ref="D46:E46"/>
    <mergeCell ref="J45:K45"/>
    <mergeCell ref="H46:I46"/>
    <mergeCell ref="D43:E43"/>
    <mergeCell ref="F43:G43"/>
    <mergeCell ref="D51:E51"/>
    <mergeCell ref="D52:E52"/>
    <mergeCell ref="D53:E53"/>
    <mergeCell ref="D54:E54"/>
    <mergeCell ref="D47:E47"/>
    <mergeCell ref="D48:E48"/>
    <mergeCell ref="D49:E49"/>
    <mergeCell ref="D50:E50"/>
    <mergeCell ref="D55:E55"/>
    <mergeCell ref="F45:G45"/>
    <mergeCell ref="F46:G46"/>
    <mergeCell ref="F47:G47"/>
    <mergeCell ref="F48:G48"/>
    <mergeCell ref="F49:G49"/>
    <mergeCell ref="J23:K23"/>
    <mergeCell ref="J24:K24"/>
    <mergeCell ref="G25:I25"/>
    <mergeCell ref="G26:G27"/>
    <mergeCell ref="J27:K27"/>
    <mergeCell ref="I29:J29"/>
    <mergeCell ref="L58:O58"/>
    <mergeCell ref="J46:K46"/>
    <mergeCell ref="F54:G54"/>
    <mergeCell ref="F55:G55"/>
    <mergeCell ref="H42:K42"/>
    <mergeCell ref="H43:I43"/>
    <mergeCell ref="J43:K43"/>
    <mergeCell ref="H44:I44"/>
    <mergeCell ref="J44:K44"/>
    <mergeCell ref="F50:G50"/>
    <mergeCell ref="F51:G51"/>
    <mergeCell ref="F52:G52"/>
    <mergeCell ref="F53:G53"/>
    <mergeCell ref="H45:I45"/>
    <mergeCell ref="H47:I47"/>
    <mergeCell ref="J47:K47"/>
    <mergeCell ref="H50:I50"/>
    <mergeCell ref="J50:K50"/>
    <mergeCell ref="D4:U4"/>
    <mergeCell ref="D14:E16"/>
    <mergeCell ref="G29:H29"/>
    <mergeCell ref="G20:G23"/>
    <mergeCell ref="G18:I18"/>
    <mergeCell ref="H20:I20"/>
    <mergeCell ref="H21:I21"/>
    <mergeCell ref="H26:I26"/>
    <mergeCell ref="H27:I27"/>
    <mergeCell ref="J20:K20"/>
    <mergeCell ref="J21:K21"/>
    <mergeCell ref="J22:K22"/>
    <mergeCell ref="J25:K25"/>
    <mergeCell ref="G24:I24"/>
    <mergeCell ref="J16:K16"/>
    <mergeCell ref="J17:K17"/>
    <mergeCell ref="J18:K18"/>
    <mergeCell ref="J19:K19"/>
    <mergeCell ref="J26:K26"/>
    <mergeCell ref="D10:M12"/>
    <mergeCell ref="G17:I17"/>
    <mergeCell ref="G16:I16"/>
    <mergeCell ref="H22:I22"/>
    <mergeCell ref="H23:I23"/>
  </mergeCells>
  <phoneticPr fontId="26" type="noConversion"/>
  <dataValidations count="5">
    <dataValidation type="list" allowBlank="1" showInputMessage="1" showErrorMessage="1" sqref="T50:U50 G17:I17">
      <formula1>$AC$26:$AC$28</formula1>
    </dataValidation>
    <dataValidation type="list" allowBlank="1" showInputMessage="1" showErrorMessage="1" sqref="S51 S85">
      <formula1>"1,2,3"</formula1>
    </dataValidation>
    <dataValidation type="list" allowBlank="1" showInputMessage="1" showErrorMessage="1" sqref="R50:S50 R84:S84">
      <formula1>"Wood Consumption - tonnes,Fuel Cost - GBP"</formula1>
    </dataValidation>
    <dataValidation type="list" allowBlank="1" showInputMessage="1" showErrorMessage="1" sqref="T84:U84 G18:I18">
      <formula1>$AE$26:$AE$28</formula1>
    </dataValidation>
    <dataValidation type="list" allowBlank="1" showInputMessage="1" showErrorMessage="1" sqref="I29:J29">
      <formula1>"Woodenergy,SAP 2005,User Input"</formula1>
    </dataValidation>
  </dataValidations>
  <hyperlinks>
    <hyperlink ref="L57" location="Woodchip!A1" display="Back to woodchip fuel data"/>
    <hyperlink ref="L91" location="Woodchip!A1" display="Back to woodchip fuel data"/>
    <hyperlink ref="L91:O91" location="Pellet!A1" display="Back to Pellet fuel data"/>
    <hyperlink ref="L58:O58" location="'Boiler '!A1" display="Back to boiler sizing"/>
    <hyperlink ref="L92:O92" location="'Boiler '!A1" display="Back to boiler sizing"/>
    <hyperlink ref="G32" r:id="rId1"/>
    <hyperlink ref="G33" r:id="rId2"/>
    <hyperlink ref="D14:E16" location="'Main Menu'!A1" display="BACK TO MAIN MENU"/>
  </hyperlinks>
  <pageMargins left="0.511811024" right="0.511811024" top="0.78740157499999996" bottom="0.78740157499999996" header="0.31496062000000002" footer="0.31496062000000002"/>
  <pageSetup paperSize="9" orientation="portrait" r:id="rId3"/>
  <drawing r:id="rId4"/>
</worksheet>
</file>

<file path=xl/worksheets/sheet11.xml><?xml version="1.0" encoding="utf-8"?>
<worksheet xmlns="http://schemas.openxmlformats.org/spreadsheetml/2006/main" xmlns:r="http://schemas.openxmlformats.org/officeDocument/2006/relationships">
  <sheetPr codeName="Plan1"/>
  <dimension ref="A1:IV80"/>
  <sheetViews>
    <sheetView showGridLines="0" zoomScale="85" zoomScaleNormal="85" workbookViewId="0">
      <selection activeCell="E9" sqref="E9:F9"/>
    </sheetView>
  </sheetViews>
  <sheetFormatPr defaultColWidth="5.42578125" defaultRowHeight="14.25"/>
  <cols>
    <col min="1" max="1" width="4.28515625" style="353" customWidth="1"/>
    <col min="2" max="2" width="6.5703125" style="353" customWidth="1"/>
    <col min="3" max="3" width="12.28515625" style="352" customWidth="1"/>
    <col min="4" max="4" width="8.85546875" style="352" customWidth="1"/>
    <col min="5" max="5" width="14" style="352" customWidth="1"/>
    <col min="6" max="6" width="10" style="352" customWidth="1"/>
    <col min="7" max="7" width="9.140625" style="352" customWidth="1"/>
    <col min="8" max="8" width="14.5703125" style="352" customWidth="1"/>
    <col min="9" max="9" width="9" style="352" customWidth="1"/>
    <col min="10" max="10" width="9.140625" style="352" customWidth="1"/>
    <col min="11" max="11" width="7.85546875" style="352" customWidth="1"/>
    <col min="12" max="12" width="10.85546875" style="352" customWidth="1"/>
    <col min="13" max="13" width="9.5703125" style="352" customWidth="1"/>
    <col min="14" max="14" width="9.7109375" style="352" customWidth="1"/>
    <col min="15" max="15" width="9.28515625" style="352" customWidth="1"/>
    <col min="16" max="16" width="9.42578125" style="352" customWidth="1"/>
    <col min="17" max="17" width="7.85546875" style="352" customWidth="1"/>
    <col min="18" max="18" width="8.140625" style="352" customWidth="1"/>
    <col min="19" max="19" width="8.28515625" style="352" customWidth="1"/>
    <col min="20" max="21" width="9.42578125" style="352" customWidth="1"/>
    <col min="22" max="23" width="5.42578125" style="352"/>
    <col min="24" max="29" width="5.42578125" style="353"/>
    <col min="30" max="16384" width="5.42578125" style="352"/>
  </cols>
  <sheetData>
    <row r="1" spans="1:256" s="353" customFormat="1" ht="15" thickBot="1"/>
    <row r="2" spans="1:256" ht="26.25">
      <c r="A2" s="405"/>
      <c r="B2" s="400"/>
      <c r="C2" s="399"/>
      <c r="D2" s="399"/>
      <c r="E2" s="1394" t="s">
        <v>322</v>
      </c>
      <c r="F2" s="1394"/>
      <c r="G2" s="1394"/>
      <c r="H2" s="1394"/>
      <c r="I2" s="1394"/>
      <c r="J2" s="1394"/>
      <c r="K2" s="1394"/>
      <c r="L2" s="1394"/>
      <c r="M2" s="1394"/>
      <c r="N2" s="1394"/>
      <c r="O2" s="1394"/>
      <c r="P2" s="399"/>
      <c r="Q2" s="399"/>
      <c r="R2" s="399"/>
      <c r="S2" s="399"/>
      <c r="T2" s="399"/>
      <c r="U2" s="399"/>
      <c r="V2" s="399"/>
      <c r="W2" s="395"/>
      <c r="X2" s="402"/>
      <c r="Y2" s="402"/>
      <c r="Z2" s="402"/>
      <c r="AA2" s="402"/>
      <c r="AB2" s="402"/>
      <c r="AC2" s="402"/>
      <c r="AD2" s="405"/>
      <c r="AE2" s="405"/>
      <c r="AF2" s="405"/>
    </row>
    <row r="3" spans="1:256" ht="15" thickBot="1">
      <c r="A3" s="405"/>
      <c r="B3" s="361"/>
      <c r="C3" s="359"/>
      <c r="D3" s="359"/>
      <c r="E3" s="359"/>
      <c r="F3" s="359"/>
      <c r="G3" s="359"/>
      <c r="H3" s="359"/>
      <c r="I3" s="359"/>
      <c r="J3" s="359"/>
      <c r="K3" s="359"/>
      <c r="L3" s="359"/>
      <c r="M3" s="359"/>
      <c r="N3" s="359"/>
      <c r="O3" s="359"/>
      <c r="P3" s="359"/>
      <c r="Q3" s="359"/>
      <c r="R3" s="359"/>
      <c r="S3" s="359"/>
      <c r="T3" s="359"/>
      <c r="U3" s="359"/>
      <c r="V3" s="359"/>
      <c r="W3" s="359"/>
      <c r="X3" s="403"/>
      <c r="Y3" s="402"/>
      <c r="Z3" s="402"/>
      <c r="AA3" s="402"/>
      <c r="AB3" s="402"/>
      <c r="AC3" s="402"/>
      <c r="AD3" s="405"/>
      <c r="AE3" s="405"/>
      <c r="AF3" s="405"/>
    </row>
    <row r="4" spans="1:256" ht="61.5" thickTop="1" thickBot="1">
      <c r="A4" s="405"/>
      <c r="B4" s="361"/>
      <c r="C4" s="359" t="s">
        <v>395</v>
      </c>
      <c r="D4" s="359"/>
      <c r="E4" s="359"/>
      <c r="F4" s="359"/>
      <c r="G4" s="359"/>
      <c r="H4" s="1374" t="s">
        <v>323</v>
      </c>
      <c r="I4" s="397" t="s">
        <v>394</v>
      </c>
      <c r="J4" s="397" t="s">
        <v>393</v>
      </c>
      <c r="K4" s="397" t="s">
        <v>19</v>
      </c>
      <c r="L4" s="398" t="s">
        <v>516</v>
      </c>
      <c r="M4" s="397" t="s">
        <v>392</v>
      </c>
      <c r="N4" s="397" t="s">
        <v>324</v>
      </c>
      <c r="O4" s="396" t="s">
        <v>325</v>
      </c>
      <c r="P4" s="359"/>
      <c r="Q4" s="389"/>
      <c r="R4" s="389"/>
      <c r="S4" s="359"/>
      <c r="T4" s="359"/>
      <c r="U4" s="359"/>
      <c r="V4" s="359"/>
      <c r="W4" s="359"/>
      <c r="X4" s="404"/>
      <c r="Y4" s="402"/>
      <c r="Z4" s="402"/>
      <c r="AA4" s="402"/>
      <c r="AB4" s="402"/>
      <c r="AC4" s="402"/>
      <c r="AD4" s="402"/>
      <c r="AE4" s="405"/>
      <c r="AF4" s="405"/>
    </row>
    <row r="5" spans="1:256" ht="16.5" thickTop="1" thickBot="1">
      <c r="A5" s="405"/>
      <c r="B5" s="361"/>
      <c r="C5" s="1392" t="s">
        <v>552</v>
      </c>
      <c r="D5" s="1393"/>
      <c r="E5" s="1399" t="s">
        <v>174</v>
      </c>
      <c r="F5" s="1400"/>
      <c r="G5" s="359"/>
      <c r="H5" s="1374"/>
      <c r="I5" s="373" t="s">
        <v>106</v>
      </c>
      <c r="J5" s="373" t="s">
        <v>106</v>
      </c>
      <c r="K5" s="380" t="s">
        <v>106</v>
      </c>
      <c r="L5" s="380" t="s">
        <v>326</v>
      </c>
      <c r="M5" s="380" t="s">
        <v>106</v>
      </c>
      <c r="N5" s="380" t="s">
        <v>326</v>
      </c>
      <c r="O5" s="394" t="s">
        <v>327</v>
      </c>
      <c r="P5" s="359"/>
      <c r="Q5" s="389"/>
      <c r="R5" s="389"/>
      <c r="S5" s="359"/>
      <c r="T5" s="359"/>
      <c r="U5" s="359"/>
      <c r="V5" s="359"/>
      <c r="W5" s="359"/>
      <c r="X5" s="404"/>
      <c r="Y5" s="402"/>
      <c r="Z5" s="402"/>
      <c r="AA5" s="402"/>
      <c r="AB5" s="402"/>
      <c r="AC5" s="402"/>
      <c r="AD5" s="402"/>
      <c r="AE5" s="405"/>
      <c r="AF5" s="405"/>
    </row>
    <row r="6" spans="1:256" ht="15" customHeight="1" thickBot="1">
      <c r="A6" s="405"/>
      <c r="B6" s="361"/>
      <c r="C6" s="361"/>
      <c r="D6" s="359"/>
      <c r="E6" s="359"/>
      <c r="F6" s="358"/>
      <c r="G6" s="359"/>
      <c r="H6" s="1380" t="s">
        <v>512</v>
      </c>
      <c r="I6" s="1378">
        <v>2</v>
      </c>
      <c r="J6" s="1378">
        <v>2</v>
      </c>
      <c r="K6" s="1383">
        <f>J6</f>
        <v>2</v>
      </c>
      <c r="L6" s="1382" t="s">
        <v>328</v>
      </c>
      <c r="M6" s="1382" t="s">
        <v>328</v>
      </c>
      <c r="N6" s="1395">
        <f>IF(DEGREES(ATAN(1.5/J6))&lt;25,25,IF(DEGREES(ATAN(1.5/J6))&gt;65,65,ROUND(DEGREES(ATAN(1.5/J6)),0)))</f>
        <v>37</v>
      </c>
      <c r="O6" s="1398">
        <f>I$6*J$6*K$6*(1-0.5*TAN(RADIANS(N$6)))</f>
        <v>4.9857837995888232</v>
      </c>
      <c r="P6" s="359"/>
      <c r="Q6" s="389"/>
      <c r="R6" s="389"/>
      <c r="S6" s="359"/>
      <c r="T6" s="359"/>
      <c r="U6" s="359"/>
      <c r="V6" s="359"/>
      <c r="W6" s="359"/>
      <c r="X6" s="404"/>
      <c r="Y6" s="402"/>
      <c r="Z6" s="402"/>
      <c r="AA6" s="402"/>
      <c r="AB6" s="402"/>
      <c r="AC6" s="402"/>
      <c r="AD6" s="402"/>
      <c r="AE6" s="405"/>
      <c r="AF6" s="405"/>
    </row>
    <row r="7" spans="1:256" ht="28.5" customHeight="1" thickBot="1">
      <c r="A7" s="405"/>
      <c r="B7" s="361"/>
      <c r="C7" s="1385" t="s">
        <v>515</v>
      </c>
      <c r="D7" s="1386"/>
      <c r="E7" s="1375">
        <f>IF(AND(C$5="Square Silo Sloping Floor",E$5=C75),F23,IF(AND(C$5="Walking Floor",E$5=C75),F24,IF(AND(C$5="Square Silo Sloping Floor",E$5=C76),F36,IF(AND(C$5="Walking Floor",E$5=C76),F37,IF(AND(C$5="Gravity Hopper",E$5=C76),F38,"Can't Use Hoppers With Woodchips")))))</f>
        <v>1.6203797348663675</v>
      </c>
      <c r="F7" s="1376"/>
      <c r="G7" s="359"/>
      <c r="H7" s="1380"/>
      <c r="I7" s="1379"/>
      <c r="J7" s="1379"/>
      <c r="K7" s="1384"/>
      <c r="L7" s="1382"/>
      <c r="M7" s="1382"/>
      <c r="N7" s="1395"/>
      <c r="O7" s="1398"/>
      <c r="P7" s="359"/>
      <c r="Q7" s="389"/>
      <c r="R7" s="389"/>
      <c r="S7" s="359"/>
      <c r="T7" s="359"/>
      <c r="U7" s="359"/>
      <c r="V7" s="359"/>
      <c r="W7" s="359"/>
      <c r="X7" s="404"/>
      <c r="Y7" s="402"/>
      <c r="Z7" s="402"/>
      <c r="AA7" s="402"/>
      <c r="AB7" s="402"/>
      <c r="AC7" s="402"/>
      <c r="AD7" s="402"/>
      <c r="AE7" s="405"/>
      <c r="AF7" s="405"/>
    </row>
    <row r="8" spans="1:256" ht="31.5" customHeight="1" thickBot="1">
      <c r="A8" s="405"/>
      <c r="B8" s="361"/>
      <c r="C8" s="1387" t="s">
        <v>342</v>
      </c>
      <c r="D8" s="1388"/>
      <c r="E8" s="1401">
        <f>IF(AND(C$5="Square Silo Sloping Floor",E$5=C75),G23,IF(AND(C$5="Walking Floor",E$5=C75),G24,IF(AND(C$5="Square Silo Sloping Floor",E$5=C76),G36,IF(AND(C$5="Walking Floor",E$5=C76),G37,IF(AND(C$5="Gravity Hopper",E$5=C76),G38,"Can't Use Hoppers With Woodchips")))))</f>
        <v>89.1208854176502</v>
      </c>
      <c r="F8" s="1402"/>
      <c r="G8" s="359"/>
      <c r="H8" s="916" t="s">
        <v>513</v>
      </c>
      <c r="I8" s="917">
        <v>1</v>
      </c>
      <c r="J8" s="917">
        <v>2</v>
      </c>
      <c r="K8" s="917">
        <v>2</v>
      </c>
      <c r="L8" s="920" t="s">
        <v>328</v>
      </c>
      <c r="M8" s="922" t="s">
        <v>328</v>
      </c>
      <c r="N8" s="393" t="s">
        <v>328</v>
      </c>
      <c r="O8" s="392">
        <f>I8*J8*K8</f>
        <v>4</v>
      </c>
      <c r="P8" s="359"/>
      <c r="Q8" s="389"/>
      <c r="R8" s="389"/>
      <c r="S8" s="359"/>
      <c r="T8" s="359"/>
      <c r="U8" s="359"/>
      <c r="V8" s="359"/>
      <c r="W8" s="359"/>
      <c r="X8" s="404"/>
      <c r="Y8" s="402"/>
      <c r="Z8" s="402"/>
      <c r="AA8" s="402"/>
      <c r="AB8" s="402"/>
      <c r="AC8" s="402"/>
      <c r="AD8" s="402"/>
      <c r="AE8" s="405"/>
      <c r="AF8" s="405"/>
    </row>
    <row r="9" spans="1:256" ht="31.5" customHeight="1" thickBot="1">
      <c r="A9" s="405"/>
      <c r="B9" s="361"/>
      <c r="C9" s="359"/>
      <c r="D9" s="359"/>
      <c r="E9" s="1396" t="s">
        <v>458</v>
      </c>
      <c r="F9" s="1397"/>
      <c r="G9" s="359"/>
      <c r="H9" s="918" t="s">
        <v>514</v>
      </c>
      <c r="I9" s="942">
        <v>1</v>
      </c>
      <c r="J9" s="942">
        <v>1</v>
      </c>
      <c r="K9" s="919" t="s">
        <v>328</v>
      </c>
      <c r="L9" s="942">
        <v>40</v>
      </c>
      <c r="M9" s="942">
        <v>0.5</v>
      </c>
      <c r="N9" s="921" t="s">
        <v>328</v>
      </c>
      <c r="O9" s="391">
        <f>PI()*(J9^2)*0.25*I9+J9/2*TAN(RADIANS(L9))*PI()*(J9^2)*0.25*1/3-M9/2*TAN(RADIANS(L9))*PI()*(M9^2)*0.25*1/3</f>
        <v>0.8815063126607563</v>
      </c>
      <c r="P9" s="359"/>
      <c r="Q9" s="389"/>
      <c r="R9" s="389"/>
      <c r="S9" s="359"/>
      <c r="T9" s="359"/>
      <c r="U9" s="359"/>
      <c r="V9" s="359"/>
      <c r="W9" s="359"/>
      <c r="X9" s="404"/>
      <c r="Y9" s="402"/>
      <c r="Z9" s="402"/>
      <c r="AA9" s="402"/>
      <c r="AB9" s="402"/>
      <c r="AC9" s="402"/>
      <c r="AD9" s="402"/>
      <c r="AE9" s="405"/>
      <c r="AF9" s="405"/>
      <c r="IV9" s="389"/>
    </row>
    <row r="10" spans="1:256" ht="18.399999999999999" customHeight="1">
      <c r="A10" s="405"/>
      <c r="B10" s="361"/>
      <c r="C10" s="359"/>
      <c r="D10" s="359"/>
      <c r="E10" s="359"/>
      <c r="F10" s="359"/>
      <c r="G10" s="359"/>
      <c r="H10" s="390" t="str">
        <f>IF(I6&lt;1.5, "Warning: Increase depth of Square Silo Storage for maintenance purposes!","")</f>
        <v/>
      </c>
      <c r="I10" s="389"/>
      <c r="J10" s="389"/>
      <c r="K10" s="389"/>
      <c r="L10" s="389"/>
      <c r="M10" s="389"/>
      <c r="N10" s="389"/>
      <c r="O10" s="389"/>
      <c r="P10" s="359"/>
      <c r="Q10" s="389"/>
      <c r="R10" s="389"/>
      <c r="S10" s="359"/>
      <c r="T10" s="359"/>
      <c r="U10" s="359"/>
      <c r="V10" s="359"/>
      <c r="W10" s="359"/>
      <c r="X10" s="404"/>
      <c r="Y10" s="402"/>
      <c r="Z10" s="402"/>
      <c r="AA10" s="402"/>
      <c r="AB10" s="402"/>
      <c r="AC10" s="402"/>
      <c r="AD10" s="402"/>
      <c r="AE10" s="405"/>
      <c r="AF10" s="405"/>
      <c r="IV10" s="389"/>
    </row>
    <row r="11" spans="1:256" ht="15" thickBot="1">
      <c r="A11" s="405"/>
      <c r="B11" s="361"/>
      <c r="C11" s="386"/>
      <c r="D11" s="386"/>
      <c r="E11" s="386"/>
      <c r="F11" s="386"/>
      <c r="G11" s="386"/>
      <c r="H11" s="386"/>
      <c r="I11" s="386"/>
      <c r="J11" s="386"/>
      <c r="K11" s="386"/>
      <c r="L11" s="386"/>
      <c r="M11" s="386"/>
      <c r="N11" s="386"/>
      <c r="O11" s="386"/>
      <c r="P11" s="386"/>
      <c r="Q11" s="386"/>
      <c r="R11" s="386"/>
      <c r="S11" s="386"/>
      <c r="T11" s="386"/>
      <c r="U11" s="386"/>
      <c r="V11" s="359"/>
      <c r="W11" s="358"/>
      <c r="X11" s="402"/>
      <c r="Y11" s="402"/>
      <c r="Z11" s="402"/>
      <c r="AA11" s="402"/>
      <c r="AB11" s="402"/>
      <c r="AC11" s="402"/>
      <c r="AD11" s="405"/>
      <c r="AE11" s="405"/>
      <c r="AF11" s="405"/>
    </row>
    <row r="12" spans="1:256" ht="15" thickTop="1">
      <c r="A12" s="405"/>
      <c r="B12" s="361"/>
      <c r="C12" s="359"/>
      <c r="D12" s="359"/>
      <c r="E12" s="359"/>
      <c r="F12" s="359"/>
      <c r="G12" s="359"/>
      <c r="H12" s="359"/>
      <c r="I12" s="359"/>
      <c r="J12" s="359"/>
      <c r="K12" s="359"/>
      <c r="L12" s="359"/>
      <c r="M12" s="359"/>
      <c r="N12" s="359"/>
      <c r="O12" s="359"/>
      <c r="P12" s="359"/>
      <c r="Q12" s="359"/>
      <c r="R12" s="359"/>
      <c r="S12" s="359"/>
      <c r="T12" s="359"/>
      <c r="U12" s="359"/>
      <c r="V12" s="359"/>
      <c r="W12" s="358"/>
      <c r="X12" s="402"/>
      <c r="Y12" s="402"/>
      <c r="Z12" s="402"/>
      <c r="AA12" s="402"/>
      <c r="AB12" s="402"/>
      <c r="AC12" s="402"/>
      <c r="AD12" s="405"/>
      <c r="AE12" s="405"/>
      <c r="AF12" s="405"/>
    </row>
    <row r="13" spans="1:256" ht="24.75" customHeight="1">
      <c r="A13" s="405"/>
      <c r="B13" s="361"/>
      <c r="C13" s="385" t="s">
        <v>375</v>
      </c>
      <c r="D13" s="359"/>
      <c r="E13" s="359"/>
      <c r="F13" s="359"/>
      <c r="G13" s="359"/>
      <c r="H13" s="359"/>
      <c r="I13" s="359"/>
      <c r="J13" s="359"/>
      <c r="K13" s="359"/>
      <c r="L13" s="359"/>
      <c r="M13" s="359"/>
      <c r="N13" s="359"/>
      <c r="O13" s="359"/>
      <c r="P13" s="359"/>
      <c r="Q13" s="359"/>
      <c r="R13" s="359"/>
      <c r="S13" s="359"/>
      <c r="T13" s="359"/>
      <c r="U13" s="359"/>
      <c r="V13" s="359"/>
      <c r="W13" s="358"/>
      <c r="X13" s="402"/>
      <c r="Y13" s="402"/>
      <c r="Z13" s="402"/>
      <c r="AA13" s="402"/>
      <c r="AB13" s="402"/>
      <c r="AC13" s="402"/>
      <c r="AD13" s="405"/>
      <c r="AE13" s="405"/>
      <c r="AF13" s="405"/>
    </row>
    <row r="14" spans="1:256">
      <c r="A14" s="405"/>
      <c r="B14" s="361"/>
      <c r="C14" s="359"/>
      <c r="D14" s="359"/>
      <c r="E14" s="359"/>
      <c r="F14" s="359"/>
      <c r="G14" s="359"/>
      <c r="H14" s="359"/>
      <c r="I14" s="359"/>
      <c r="J14" s="359"/>
      <c r="K14" s="359"/>
      <c r="L14" s="359"/>
      <c r="M14" s="359"/>
      <c r="N14" s="359"/>
      <c r="O14" s="359"/>
      <c r="P14" s="359"/>
      <c r="Q14" s="359"/>
      <c r="R14" s="359"/>
      <c r="S14" s="359"/>
      <c r="T14" s="359"/>
      <c r="U14" s="359"/>
      <c r="V14" s="359"/>
      <c r="W14" s="358"/>
      <c r="X14" s="402"/>
      <c r="Y14" s="402"/>
      <c r="Z14" s="402"/>
      <c r="AA14" s="402"/>
      <c r="AB14" s="402"/>
      <c r="AC14" s="402"/>
      <c r="AD14" s="405"/>
      <c r="AE14" s="405"/>
      <c r="AF14" s="405"/>
    </row>
    <row r="15" spans="1:256">
      <c r="A15" s="405"/>
      <c r="B15" s="361"/>
      <c r="C15" s="359"/>
      <c r="D15" s="359"/>
      <c r="E15" s="359"/>
      <c r="F15" s="359"/>
      <c r="G15" s="359"/>
      <c r="O15" s="359"/>
      <c r="P15" s="359"/>
      <c r="Q15" s="359"/>
      <c r="R15" s="359"/>
      <c r="S15" s="359"/>
      <c r="T15" s="359"/>
      <c r="U15" s="359"/>
      <c r="V15" s="359"/>
      <c r="W15" s="358"/>
      <c r="X15" s="402"/>
      <c r="Y15" s="402"/>
      <c r="Z15" s="402"/>
      <c r="AA15" s="402"/>
      <c r="AB15" s="402"/>
      <c r="AC15" s="402"/>
      <c r="AD15" s="405"/>
      <c r="AE15" s="405"/>
      <c r="AF15" s="405"/>
    </row>
    <row r="16" spans="1:256" ht="15" customHeight="1">
      <c r="A16" s="405"/>
      <c r="B16" s="361"/>
      <c r="C16" s="359"/>
      <c r="D16" s="359"/>
      <c r="E16" s="359"/>
      <c r="F16" s="359"/>
      <c r="G16" s="359"/>
      <c r="O16" s="359"/>
      <c r="P16" s="359"/>
      <c r="Q16" s="359"/>
      <c r="R16" s="359"/>
      <c r="S16" s="359"/>
      <c r="T16" s="359"/>
      <c r="U16" s="359"/>
      <c r="V16" s="359"/>
      <c r="W16" s="358"/>
      <c r="X16" s="402"/>
      <c r="Y16" s="402"/>
      <c r="Z16" s="402"/>
      <c r="AA16" s="402"/>
      <c r="AB16" s="402"/>
      <c r="AC16" s="402"/>
      <c r="AD16" s="405"/>
      <c r="AE16" s="405"/>
      <c r="AF16" s="405"/>
    </row>
    <row r="17" spans="1:32" ht="14.25" customHeight="1">
      <c r="A17" s="405"/>
      <c r="B17" s="361"/>
      <c r="C17" s="359"/>
      <c r="D17" s="359"/>
      <c r="E17" s="359"/>
      <c r="F17" s="359"/>
      <c r="G17" s="359"/>
      <c r="O17" s="359"/>
      <c r="P17" s="359"/>
      <c r="Q17" s="359"/>
      <c r="R17" s="359"/>
      <c r="S17" s="359"/>
      <c r="T17" s="359"/>
      <c r="U17" s="359"/>
      <c r="V17" s="359"/>
      <c r="W17" s="358"/>
      <c r="X17" s="405"/>
      <c r="Y17" s="405"/>
      <c r="Z17" s="405"/>
      <c r="AA17" s="405"/>
      <c r="AB17" s="405"/>
      <c r="AC17" s="405"/>
      <c r="AD17" s="405"/>
      <c r="AE17" s="405"/>
      <c r="AF17" s="405"/>
    </row>
    <row r="18" spans="1:32" ht="20.100000000000001" customHeight="1" thickBot="1">
      <c r="A18" s="405"/>
      <c r="B18" s="361"/>
      <c r="C18" s="359"/>
      <c r="D18" s="359"/>
      <c r="E18" s="359"/>
      <c r="F18" s="359"/>
      <c r="G18" s="359"/>
      <c r="H18" s="360"/>
      <c r="I18" s="360"/>
      <c r="J18" s="360"/>
      <c r="K18" s="360"/>
      <c r="L18" s="360"/>
      <c r="M18" s="360"/>
      <c r="N18" s="360"/>
      <c r="O18" s="359"/>
      <c r="P18" s="359"/>
      <c r="Q18" s="359"/>
      <c r="R18" s="359"/>
      <c r="S18" s="359"/>
      <c r="T18" s="359"/>
      <c r="U18" s="359"/>
      <c r="V18" s="359"/>
      <c r="W18" s="358"/>
      <c r="X18" s="405"/>
      <c r="Y18" s="405"/>
      <c r="Z18" s="405"/>
      <c r="AA18" s="405"/>
      <c r="AB18" s="405"/>
      <c r="AC18" s="405"/>
      <c r="AD18" s="405"/>
      <c r="AE18" s="405"/>
      <c r="AF18" s="405"/>
    </row>
    <row r="19" spans="1:32" ht="17.649999999999999" customHeight="1" thickTop="1" thickBot="1">
      <c r="A19" s="405"/>
      <c r="B19" s="361"/>
      <c r="C19" s="359"/>
      <c r="D19" s="359"/>
      <c r="E19" s="359"/>
      <c r="F19" s="359"/>
      <c r="G19" s="359"/>
      <c r="H19" s="1374" t="s">
        <v>329</v>
      </c>
      <c r="I19" s="1373" t="s">
        <v>107</v>
      </c>
      <c r="J19" s="1373"/>
      <c r="K19" s="1373"/>
      <c r="L19" s="1373"/>
      <c r="M19" s="1373"/>
      <c r="N19" s="1373"/>
      <c r="O19" s="1373"/>
      <c r="P19" s="1373"/>
      <c r="Q19" s="1373"/>
      <c r="R19" s="1373"/>
      <c r="S19" s="1373"/>
      <c r="T19" s="1373"/>
      <c r="U19" s="359"/>
      <c r="V19" s="359"/>
      <c r="W19" s="358"/>
      <c r="X19" s="405"/>
      <c r="Y19" s="405"/>
      <c r="Z19" s="405"/>
      <c r="AA19" s="405"/>
      <c r="AB19" s="405"/>
      <c r="AC19" s="405"/>
      <c r="AD19" s="405"/>
      <c r="AE19" s="405"/>
      <c r="AF19" s="405"/>
    </row>
    <row r="20" spans="1:32" ht="18.399999999999999" customHeight="1" thickTop="1" thickBot="1">
      <c r="A20" s="405"/>
      <c r="B20" s="361"/>
      <c r="C20" s="382"/>
      <c r="D20" s="382"/>
      <c r="E20" s="382"/>
      <c r="F20" s="382"/>
      <c r="G20" s="382"/>
      <c r="H20" s="1374"/>
      <c r="I20" s="384" t="s">
        <v>330</v>
      </c>
      <c r="J20" s="384" t="s">
        <v>331</v>
      </c>
      <c r="K20" s="384" t="s">
        <v>332</v>
      </c>
      <c r="L20" s="384" t="s">
        <v>333</v>
      </c>
      <c r="M20" s="384" t="s">
        <v>105</v>
      </c>
      <c r="N20" s="384" t="s">
        <v>334</v>
      </c>
      <c r="O20" s="384" t="s">
        <v>335</v>
      </c>
      <c r="P20" s="384" t="s">
        <v>336</v>
      </c>
      <c r="Q20" s="384" t="s">
        <v>337</v>
      </c>
      <c r="R20" s="384" t="s">
        <v>338</v>
      </c>
      <c r="S20" s="384" t="s">
        <v>339</v>
      </c>
      <c r="T20" s="383" t="s">
        <v>340</v>
      </c>
      <c r="U20" s="382"/>
      <c r="V20" s="359"/>
      <c r="W20" s="358"/>
      <c r="X20" s="405"/>
      <c r="Y20" s="405"/>
      <c r="Z20" s="405"/>
      <c r="AA20" s="405"/>
      <c r="AB20" s="405"/>
      <c r="AC20" s="405"/>
      <c r="AD20" s="405"/>
      <c r="AE20" s="405"/>
      <c r="AF20" s="405"/>
    </row>
    <row r="21" spans="1:32" ht="46.5" thickTop="1" thickBot="1">
      <c r="A21" s="405"/>
      <c r="B21" s="369"/>
      <c r="C21" s="1377" t="s">
        <v>194</v>
      </c>
      <c r="D21" s="376" t="s">
        <v>341</v>
      </c>
      <c r="E21" s="1381" t="s">
        <v>323</v>
      </c>
      <c r="F21" s="376" t="s">
        <v>325</v>
      </c>
      <c r="G21" s="381" t="s">
        <v>342</v>
      </c>
      <c r="H21" s="380" t="s">
        <v>343</v>
      </c>
      <c r="I21" s="379">
        <f>IF($C23='Fuel Comparator and Consumption'!$D42,'Fuel Comparator and Consumption'!$D44*1000,IF($C23='Fuel Comparator and Consumption'!$H42,'Fuel Comparator and Consumption'!$H44*1000,'Fuel Comparator and Consumption'!$L44*1000))</f>
        <v>6432.6617375592896</v>
      </c>
      <c r="J21" s="379">
        <f>IF($C23='Fuel Comparator and Consumption'!$D42,'Fuel Comparator and Consumption'!$D45*1000,IF($C23='Fuel Comparator and Consumption'!$H42,'Fuel Comparator and Consumption'!$H45*1000,'Fuel Comparator and Consumption'!$L45*1000))</f>
        <v>5883.8452458978782</v>
      </c>
      <c r="K21" s="379">
        <f>IF($C23='Fuel Comparator and Consumption'!$D42,'Fuel Comparator and Consumption'!$D46*1000,IF($C23='Fuel Comparator and Consumption'!$H42,'Fuel Comparator and Consumption'!$H46*1000,'Fuel Comparator and Consumption'!$L46*1000))</f>
        <v>5359.2160935147895</v>
      </c>
      <c r="L21" s="379">
        <f>IF($C23='Fuel Comparator and Consumption'!$D42,'Fuel Comparator and Consumption'!$D47*1000,IF($C23='Fuel Comparator and Consumption'!$H42,'Fuel Comparator and Consumption'!$H47*1000,'Fuel Comparator and Consumption'!$L47*1000))</f>
        <v>4755.9605345223281</v>
      </c>
      <c r="M21" s="379">
        <f>IF($C23='Fuel Comparator and Consumption'!$D42,'Fuel Comparator and Consumption'!$D48*1000,IF($C23='Fuel Comparator and Consumption'!$H42,'Fuel Comparator and Consumption'!$H48*1000,'Fuel Comparator and Consumption'!$L48*1000))</f>
        <v>4105.8573251317875</v>
      </c>
      <c r="N21" s="379">
        <f>IF($C23='Fuel Comparator and Consumption'!$D42,'Fuel Comparator and Consumption'!$D49*1000,IF($C23='Fuel Comparator and Consumption'!$H42,'Fuel Comparator and Consumption'!$H49*1000,'Fuel Comparator and Consumption'!$L49*1000))</f>
        <v>2870.7850574801005</v>
      </c>
      <c r="O21" s="379">
        <f>IF($C23='Fuel Comparator and Consumption'!$D42,'Fuel Comparator and Consumption'!$D50*1000,IF($C23='Fuel Comparator and Consumption'!$H42,'Fuel Comparator and Consumption'!$H50*1000,'Fuel Comparator and Consumption'!$L50*1000))</f>
        <v>2081.1561978877153</v>
      </c>
      <c r="P21" s="379">
        <f>IF($C23='Fuel Comparator and Consumption'!$D42,'Fuel Comparator and Consumption'!$D51*1000,IF($C23='Fuel Comparator and Consumption'!$H42,'Fuel Comparator and Consumption'!$H51*1000,'Fuel Comparator and Consumption'!$L51*1000))</f>
        <v>2081.1561978877153</v>
      </c>
      <c r="Q21" s="379">
        <f>IF($C23='Fuel Comparator and Consumption'!$D42,'Fuel Comparator and Consumption'!$D52*1000,IF($C23='Fuel Comparator and Consumption'!$H42,'Fuel Comparator and Consumption'!$H52*1000,'Fuel Comparator and Consumption'!$L52*1000))</f>
        <v>3194.742707724798</v>
      </c>
      <c r="R21" s="379">
        <f>IF($C23='Fuel Comparator and Consumption'!$D42,'Fuel Comparator and Consumption'!$D53*1000,IF($C23='Fuel Comparator and Consumption'!$H42,'Fuel Comparator and Consumption'!$H53*1000,'Fuel Comparator and Consumption'!$L53*1000))</f>
        <v>4134.5070330388962</v>
      </c>
      <c r="S21" s="379">
        <f>IF($C23='Fuel Comparator and Consumption'!$D42,'Fuel Comparator and Consumption'!$D54*1000,IF($C23='Fuel Comparator and Consumption'!$H42,'Fuel Comparator and Consumption'!$H54*1000,'Fuel Comparator and Consumption'!$L54*1000))</f>
        <v>5125.9280553230456</v>
      </c>
      <c r="T21" s="378">
        <f>IF($C23='Fuel Comparator and Consumption'!$D42,'Fuel Comparator and Consumption'!$D55*1000,IF($C23='Fuel Comparator and Consumption'!$H42,'Fuel Comparator and Consumption'!$H55*1000,'Fuel Comparator and Consumption'!$L55*1000))</f>
        <v>6504.1293358640223</v>
      </c>
      <c r="U21" s="360"/>
      <c r="V21" s="359"/>
      <c r="W21" s="358"/>
      <c r="X21" s="405"/>
      <c r="Y21" s="405"/>
      <c r="Z21" s="405"/>
      <c r="AA21" s="405"/>
      <c r="AB21" s="405"/>
      <c r="AC21" s="405"/>
      <c r="AD21" s="405"/>
      <c r="AE21" s="405"/>
      <c r="AF21" s="405"/>
    </row>
    <row r="22" spans="1:32" ht="16.5" customHeight="1" thickTop="1" thickBot="1">
      <c r="A22" s="405"/>
      <c r="B22" s="369"/>
      <c r="C22" s="1377"/>
      <c r="D22" s="377" t="s">
        <v>74</v>
      </c>
      <c r="E22" s="1381"/>
      <c r="F22" s="375" t="s">
        <v>344</v>
      </c>
      <c r="G22" s="374" t="s">
        <v>345</v>
      </c>
      <c r="H22" s="373" t="s">
        <v>346</v>
      </c>
      <c r="I22" s="825">
        <f>I21/(31*24)</f>
        <v>8.646050722525926</v>
      </c>
      <c r="J22" s="825">
        <f>J21/(28.25*24)</f>
        <v>8.678237825808079</v>
      </c>
      <c r="K22" s="825">
        <f>K21/(31*24)</f>
        <v>7.2032474375198783</v>
      </c>
      <c r="L22" s="825">
        <f>L21/(30*24)</f>
        <v>6.6055007423921221</v>
      </c>
      <c r="M22" s="825">
        <f>M21/(31*24)</f>
        <v>5.5186254370050909</v>
      </c>
      <c r="N22" s="825">
        <f>N21/(30*24)</f>
        <v>3.9872014687223616</v>
      </c>
      <c r="O22" s="825">
        <f>O21/(31*24)</f>
        <v>2.7972529541501547</v>
      </c>
      <c r="P22" s="825">
        <f>P21/(31*24)</f>
        <v>2.7972529541501547</v>
      </c>
      <c r="Q22" s="825">
        <f>Q21/(30*24)</f>
        <v>4.4371426496177753</v>
      </c>
      <c r="R22" s="825">
        <f>R21/(31*24)</f>
        <v>5.5571331089232476</v>
      </c>
      <c r="S22" s="825">
        <f>S21/(30*24)</f>
        <v>7.1193445212820077</v>
      </c>
      <c r="T22" s="826">
        <f>T21/(31*24)</f>
        <v>8.7421093223978801</v>
      </c>
      <c r="U22" s="360"/>
      <c r="V22" s="359"/>
      <c r="W22" s="358"/>
      <c r="X22" s="405"/>
      <c r="Y22" s="405"/>
      <c r="Z22" s="405"/>
      <c r="AA22" s="405"/>
      <c r="AB22" s="405"/>
      <c r="AC22" s="405"/>
      <c r="AD22" s="405"/>
      <c r="AE22" s="405"/>
      <c r="AF22" s="405"/>
    </row>
    <row r="23" spans="1:32" ht="37.5" customHeight="1" thickTop="1" thickBot="1">
      <c r="A23" s="405"/>
      <c r="B23" s="369"/>
      <c r="C23" s="1389" t="str">
        <f>'Fuel Comparator and Consumption'!$G$17</f>
        <v>Woodchip1</v>
      </c>
      <c r="D23" s="1390">
        <f>'Fuel Comparator and Consumption'!$AD$32</f>
        <v>325</v>
      </c>
      <c r="E23" s="372" t="str">
        <f>H6</f>
        <v>Square silo sloping floor</v>
      </c>
      <c r="F23" s="822">
        <f>O$6*D23/1000</f>
        <v>1.6203797348663675</v>
      </c>
      <c r="G23" s="371">
        <f>O6*'Fuel Comparator and Consumption'!$AC$32*'Fuel Comparator and Consumption'!$J$17/100</f>
        <v>89.1208854176502</v>
      </c>
      <c r="H23" s="1391" t="s">
        <v>347</v>
      </c>
      <c r="I23" s="371">
        <f t="shared" ref="I23:T24" si="0">$F23*1000/(I$22*24)</f>
        <v>7.8088626186516334</v>
      </c>
      <c r="J23" s="371">
        <f t="shared" si="0"/>
        <v>7.7798999798454904</v>
      </c>
      <c r="K23" s="371">
        <f t="shared" si="0"/>
        <v>9.3729700210527191</v>
      </c>
      <c r="L23" s="371">
        <f t="shared" si="0"/>
        <v>10.221151267579513</v>
      </c>
      <c r="M23" s="371">
        <f t="shared" si="0"/>
        <v>12.234173718943115</v>
      </c>
      <c r="N23" s="371">
        <f t="shared" si="0"/>
        <v>16.933135387245198</v>
      </c>
      <c r="O23" s="371">
        <f t="shared" si="0"/>
        <v>24.136473673547666</v>
      </c>
      <c r="P23" s="371">
        <f t="shared" si="0"/>
        <v>24.136473673547666</v>
      </c>
      <c r="Q23" s="371">
        <f t="shared" si="0"/>
        <v>15.216058535308663</v>
      </c>
      <c r="R23" s="371">
        <f t="shared" si="0"/>
        <v>12.149398073205507</v>
      </c>
      <c r="S23" s="371">
        <f t="shared" si="0"/>
        <v>9.4834323699706022</v>
      </c>
      <c r="T23" s="370">
        <f t="shared" si="0"/>
        <v>7.7230585658679081</v>
      </c>
      <c r="U23" s="388"/>
      <c r="V23" s="359"/>
      <c r="W23" s="358"/>
      <c r="X23" s="405"/>
      <c r="Y23" s="405"/>
      <c r="Z23" s="405"/>
      <c r="AA23" s="405"/>
      <c r="AB23" s="405"/>
      <c r="AC23" s="405"/>
      <c r="AD23" s="405"/>
      <c r="AE23" s="405"/>
      <c r="AF23" s="405"/>
    </row>
    <row r="24" spans="1:32" ht="33" customHeight="1" thickTop="1" thickBot="1">
      <c r="A24" s="405"/>
      <c r="B24" s="369"/>
      <c r="C24" s="1389"/>
      <c r="D24" s="1390"/>
      <c r="E24" s="364" t="str">
        <f>H8</f>
        <v>Walking floor</v>
      </c>
      <c r="F24" s="823">
        <f>O$8*D23/1000</f>
        <v>1.3</v>
      </c>
      <c r="G24" s="363">
        <f>O8*'Fuel Comparator and Consumption'!$AC$32*'Fuel Comparator and Consumption'!$J$17/100</f>
        <v>71.499999999999986</v>
      </c>
      <c r="H24" s="1391"/>
      <c r="I24" s="363">
        <f t="shared" si="0"/>
        <v>6.2649027174388339</v>
      </c>
      <c r="J24" s="363">
        <f t="shared" si="0"/>
        <v>6.2416665403639024</v>
      </c>
      <c r="K24" s="363">
        <f t="shared" si="0"/>
        <v>7.5197564899029175</v>
      </c>
      <c r="L24" s="363">
        <f t="shared" si="0"/>
        <v>8.2002362544661072</v>
      </c>
      <c r="M24" s="363">
        <f t="shared" si="0"/>
        <v>9.8152460762153915</v>
      </c>
      <c r="N24" s="363">
        <f t="shared" si="0"/>
        <v>13.585134107613467</v>
      </c>
      <c r="O24" s="363">
        <f t="shared" si="0"/>
        <v>19.364236111111115</v>
      </c>
      <c r="P24" s="363">
        <f t="shared" si="0"/>
        <v>19.364236111111115</v>
      </c>
      <c r="Q24" s="363">
        <f t="shared" si="0"/>
        <v>12.207555840318252</v>
      </c>
      <c r="R24" s="363">
        <f t="shared" si="0"/>
        <v>9.7472321797888366</v>
      </c>
      <c r="S24" s="363">
        <f t="shared" si="0"/>
        <v>7.6083783422399502</v>
      </c>
      <c r="T24" s="362">
        <f t="shared" si="0"/>
        <v>6.1960637494989879</v>
      </c>
      <c r="U24" s="360"/>
      <c r="V24" s="359"/>
      <c r="W24" s="358"/>
      <c r="X24" s="405"/>
      <c r="Y24" s="405"/>
      <c r="Z24" s="405"/>
      <c r="AA24" s="405"/>
      <c r="AB24" s="405"/>
      <c r="AC24" s="405"/>
      <c r="AD24" s="405"/>
      <c r="AE24" s="405"/>
      <c r="AF24" s="405"/>
    </row>
    <row r="25" spans="1:32" ht="15" thickTop="1">
      <c r="A25" s="405"/>
      <c r="B25" s="361"/>
      <c r="C25" s="359"/>
      <c r="D25" s="359"/>
      <c r="E25" s="359"/>
      <c r="F25" s="359"/>
      <c r="G25" s="359"/>
      <c r="H25" s="360"/>
      <c r="I25" s="360"/>
      <c r="J25" s="360"/>
      <c r="K25" s="360"/>
      <c r="L25" s="360"/>
      <c r="M25" s="360"/>
      <c r="N25" s="360"/>
      <c r="O25" s="360"/>
      <c r="P25" s="360"/>
      <c r="Q25" s="360"/>
      <c r="R25" s="360"/>
      <c r="S25" s="360"/>
      <c r="T25" s="360"/>
      <c r="U25" s="360"/>
      <c r="V25" s="359"/>
      <c r="W25" s="358"/>
      <c r="X25" s="405"/>
      <c r="Y25" s="405"/>
      <c r="Z25" s="405"/>
      <c r="AA25" s="405"/>
      <c r="AB25" s="405"/>
      <c r="AC25" s="405"/>
      <c r="AD25" s="405"/>
      <c r="AE25" s="405"/>
      <c r="AF25" s="405"/>
    </row>
    <row r="26" spans="1:32" ht="15" thickBot="1">
      <c r="A26" s="405"/>
      <c r="B26" s="361"/>
      <c r="C26" s="386"/>
      <c r="D26" s="386"/>
      <c r="E26" s="386"/>
      <c r="F26" s="386"/>
      <c r="G26" s="386"/>
      <c r="H26" s="387"/>
      <c r="I26" s="387"/>
      <c r="J26" s="387"/>
      <c r="K26" s="387"/>
      <c r="L26" s="387"/>
      <c r="M26" s="387"/>
      <c r="N26" s="387"/>
      <c r="O26" s="387"/>
      <c r="P26" s="387"/>
      <c r="Q26" s="387"/>
      <c r="R26" s="387"/>
      <c r="S26" s="387"/>
      <c r="T26" s="387"/>
      <c r="U26" s="387"/>
      <c r="V26" s="386"/>
      <c r="W26" s="358"/>
      <c r="X26" s="405"/>
      <c r="Y26" s="405"/>
      <c r="Z26" s="405"/>
      <c r="AA26" s="405"/>
      <c r="AB26" s="405"/>
      <c r="AC26" s="405"/>
      <c r="AD26" s="405"/>
      <c r="AE26" s="405"/>
      <c r="AF26" s="405"/>
    </row>
    <row r="27" spans="1:32" ht="15" thickTop="1">
      <c r="A27" s="405"/>
      <c r="B27" s="361"/>
      <c r="C27" s="359"/>
      <c r="D27" s="359"/>
      <c r="E27" s="359"/>
      <c r="F27" s="359"/>
      <c r="G27" s="359"/>
      <c r="H27" s="360"/>
      <c r="I27" s="360"/>
      <c r="J27" s="360"/>
      <c r="K27" s="360"/>
      <c r="L27" s="360"/>
      <c r="M27" s="360"/>
      <c r="N27" s="360"/>
      <c r="O27" s="360"/>
      <c r="P27" s="360"/>
      <c r="Q27" s="360"/>
      <c r="R27" s="360"/>
      <c r="S27" s="360"/>
      <c r="T27" s="360"/>
      <c r="U27" s="360"/>
      <c r="V27" s="359"/>
      <c r="W27" s="358"/>
      <c r="X27" s="405"/>
      <c r="Y27" s="405"/>
      <c r="Z27" s="405"/>
      <c r="AA27" s="405"/>
      <c r="AB27" s="405"/>
      <c r="AC27" s="405"/>
      <c r="AD27" s="405"/>
      <c r="AE27" s="405"/>
      <c r="AF27" s="405"/>
    </row>
    <row r="28" spans="1:32" ht="24" customHeight="1">
      <c r="A28" s="405"/>
      <c r="B28" s="361"/>
      <c r="C28" s="385" t="s">
        <v>376</v>
      </c>
      <c r="D28" s="360"/>
      <c r="G28" s="360"/>
      <c r="H28" s="360"/>
      <c r="I28" s="360"/>
      <c r="J28" s="360"/>
      <c r="K28" s="360"/>
      <c r="L28" s="360"/>
      <c r="M28" s="360"/>
      <c r="N28" s="360"/>
      <c r="O28" s="360"/>
      <c r="P28" s="360"/>
      <c r="Q28" s="360"/>
      <c r="R28" s="360"/>
      <c r="S28" s="360"/>
      <c r="T28" s="360"/>
      <c r="U28" s="360"/>
      <c r="V28" s="359"/>
      <c r="W28" s="358"/>
      <c r="X28" s="405"/>
      <c r="Y28" s="405"/>
      <c r="Z28" s="405"/>
      <c r="AA28" s="405"/>
      <c r="AB28" s="405"/>
      <c r="AC28" s="405"/>
      <c r="AD28" s="405"/>
      <c r="AE28" s="405"/>
      <c r="AF28" s="405"/>
    </row>
    <row r="29" spans="1:32">
      <c r="A29" s="405"/>
      <c r="B29" s="361"/>
      <c r="C29" s="360"/>
      <c r="D29" s="360"/>
      <c r="G29" s="360"/>
      <c r="H29" s="360"/>
      <c r="I29" s="360"/>
      <c r="J29" s="360"/>
      <c r="K29" s="388"/>
      <c r="L29" s="360"/>
      <c r="M29" s="360"/>
      <c r="N29" s="360"/>
      <c r="O29" s="360"/>
      <c r="P29" s="360"/>
      <c r="Q29" s="360"/>
      <c r="R29" s="360"/>
      <c r="S29" s="360"/>
      <c r="T29" s="360"/>
      <c r="U29" s="360"/>
      <c r="V29" s="359"/>
      <c r="W29" s="358"/>
      <c r="X29" s="405"/>
      <c r="Y29" s="405"/>
      <c r="Z29" s="405"/>
      <c r="AA29" s="405"/>
      <c r="AB29" s="405"/>
      <c r="AC29" s="405"/>
      <c r="AD29" s="405"/>
      <c r="AE29" s="405"/>
      <c r="AF29" s="405"/>
    </row>
    <row r="30" spans="1:32">
      <c r="A30" s="405"/>
      <c r="B30" s="361"/>
      <c r="C30" s="360"/>
      <c r="D30" s="360"/>
      <c r="G30" s="360"/>
      <c r="H30" s="360"/>
      <c r="I30" s="360"/>
      <c r="J30" s="360"/>
      <c r="K30" s="360"/>
      <c r="L30" s="360"/>
      <c r="M30" s="360"/>
      <c r="N30" s="360"/>
      <c r="O30" s="360"/>
      <c r="P30" s="360"/>
      <c r="Q30" s="360"/>
      <c r="R30" s="360"/>
      <c r="S30" s="360"/>
      <c r="T30" s="360"/>
      <c r="U30" s="360"/>
      <c r="V30" s="359"/>
      <c r="W30" s="358"/>
      <c r="X30" s="405"/>
      <c r="Y30" s="405"/>
      <c r="Z30" s="405"/>
      <c r="AA30" s="405"/>
      <c r="AB30" s="405"/>
      <c r="AC30" s="405"/>
      <c r="AD30" s="405"/>
      <c r="AE30" s="405"/>
      <c r="AF30" s="405"/>
    </row>
    <row r="31" spans="1:32" ht="17.649999999999999" customHeight="1" thickBot="1">
      <c r="A31" s="405"/>
      <c r="B31" s="361"/>
      <c r="C31" s="360"/>
      <c r="D31" s="360"/>
      <c r="E31" s="360"/>
      <c r="F31" s="360"/>
      <c r="G31" s="360"/>
      <c r="H31" s="360"/>
      <c r="I31" s="360"/>
      <c r="J31" s="360"/>
      <c r="K31" s="360"/>
      <c r="L31" s="360"/>
      <c r="M31" s="360"/>
      <c r="N31" s="360"/>
      <c r="O31" s="360"/>
      <c r="P31" s="360"/>
      <c r="Q31" s="360"/>
      <c r="R31" s="360"/>
      <c r="S31" s="360"/>
      <c r="T31" s="360"/>
      <c r="U31" s="360"/>
      <c r="V31" s="359"/>
      <c r="W31" s="358"/>
      <c r="X31" s="405"/>
      <c r="Y31" s="405"/>
      <c r="Z31" s="405"/>
      <c r="AA31" s="405"/>
      <c r="AB31" s="405"/>
      <c r="AC31" s="405"/>
      <c r="AD31" s="405"/>
      <c r="AE31" s="405"/>
      <c r="AF31" s="405"/>
    </row>
    <row r="32" spans="1:32" ht="21" customHeight="1" thickTop="1" thickBot="1">
      <c r="A32" s="405"/>
      <c r="B32" s="361"/>
      <c r="C32" s="359"/>
      <c r="D32" s="359"/>
      <c r="E32" s="359"/>
      <c r="F32" s="359"/>
      <c r="G32" s="359"/>
      <c r="H32" s="1374" t="s">
        <v>329</v>
      </c>
      <c r="I32" s="1373" t="s">
        <v>107</v>
      </c>
      <c r="J32" s="1373"/>
      <c r="K32" s="1373"/>
      <c r="L32" s="1373"/>
      <c r="M32" s="1373"/>
      <c r="N32" s="1373"/>
      <c r="O32" s="1373"/>
      <c r="P32" s="1373"/>
      <c r="Q32" s="1373"/>
      <c r="R32" s="1373"/>
      <c r="S32" s="1373"/>
      <c r="T32" s="1373"/>
      <c r="U32" s="359"/>
      <c r="V32" s="359"/>
      <c r="W32" s="358"/>
      <c r="X32" s="405"/>
      <c r="Y32" s="405"/>
      <c r="Z32" s="405"/>
      <c r="AA32" s="405"/>
      <c r="AB32" s="405"/>
      <c r="AC32" s="405"/>
      <c r="AD32" s="405"/>
      <c r="AE32" s="405"/>
      <c r="AF32" s="405"/>
    </row>
    <row r="33" spans="1:32" ht="14.25" customHeight="1" thickTop="1" thickBot="1">
      <c r="A33" s="405"/>
      <c r="B33" s="361"/>
      <c r="C33" s="382"/>
      <c r="D33" s="382"/>
      <c r="E33" s="382"/>
      <c r="F33" s="382"/>
      <c r="G33" s="382"/>
      <c r="H33" s="1374"/>
      <c r="I33" s="384" t="s">
        <v>330</v>
      </c>
      <c r="J33" s="384" t="s">
        <v>331</v>
      </c>
      <c r="K33" s="384" t="s">
        <v>332</v>
      </c>
      <c r="L33" s="384" t="s">
        <v>333</v>
      </c>
      <c r="M33" s="384" t="s">
        <v>105</v>
      </c>
      <c r="N33" s="384" t="s">
        <v>334</v>
      </c>
      <c r="O33" s="384" t="s">
        <v>335</v>
      </c>
      <c r="P33" s="384" t="s">
        <v>336</v>
      </c>
      <c r="Q33" s="384" t="s">
        <v>337</v>
      </c>
      <c r="R33" s="384" t="s">
        <v>338</v>
      </c>
      <c r="S33" s="384" t="s">
        <v>339</v>
      </c>
      <c r="T33" s="383" t="s">
        <v>340</v>
      </c>
      <c r="U33" s="382"/>
      <c r="V33" s="359"/>
      <c r="W33" s="358"/>
      <c r="X33" s="405"/>
      <c r="Y33" s="405"/>
      <c r="Z33" s="405"/>
      <c r="AA33" s="405"/>
      <c r="AB33" s="405"/>
      <c r="AC33" s="405"/>
      <c r="AD33" s="405"/>
      <c r="AE33" s="405"/>
      <c r="AF33" s="405"/>
    </row>
    <row r="34" spans="1:32" ht="46.5" thickTop="1" thickBot="1">
      <c r="A34" s="405"/>
      <c r="B34" s="369"/>
      <c r="C34" s="1377" t="s">
        <v>194</v>
      </c>
      <c r="D34" s="376" t="s">
        <v>341</v>
      </c>
      <c r="E34" s="1381" t="s">
        <v>323</v>
      </c>
      <c r="F34" s="376" t="s">
        <v>325</v>
      </c>
      <c r="G34" s="381" t="s">
        <v>342</v>
      </c>
      <c r="H34" s="380" t="s">
        <v>343</v>
      </c>
      <c r="I34" s="379">
        <f>IF($C36='Fuel Comparator and Consumption'!$D76,'Fuel Comparator and Consumption'!$D78*1000,IF($C36='Fuel Comparator and Consumption'!$H76,'Fuel Comparator and Consumption'!$H78*1000,'Fuel Comparator and Consumption'!$L78*1000))</f>
        <v>5474.7074822481081</v>
      </c>
      <c r="J34" s="379">
        <f>IF($C36='Fuel Comparator and Consumption'!$D76,'Fuel Comparator and Consumption'!$D79*1000,IF($C36='Fuel Comparator and Consumption'!$H76,'Fuel Comparator and Consumption'!$H79*1000,'Fuel Comparator and Consumption'!$L79*1000))</f>
        <v>5007.6209361397614</v>
      </c>
      <c r="K34" s="379">
        <f>IF($C36='Fuel Comparator and Consumption'!$D76,'Fuel Comparator and Consumption'!$D80*1000,IF($C36='Fuel Comparator and Consumption'!$H76,'Fuel Comparator and Consumption'!$H80*1000,'Fuel Comparator and Consumption'!$L80*1000))</f>
        <v>4561.1197422114519</v>
      </c>
      <c r="L34" s="379">
        <f>IF($C36='Fuel Comparator and Consumption'!$D76,'Fuel Comparator and Consumption'!$D81*1000,IF($C36='Fuel Comparator and Consumption'!$H76,'Fuel Comparator and Consumption'!$H81*1000,'Fuel Comparator and Consumption'!$L81*1000))</f>
        <v>4047.7012138843429</v>
      </c>
      <c r="M34" s="379">
        <f>IF($C36='Fuel Comparator and Consumption'!$D76,'Fuel Comparator and Consumption'!$D82*1000,IF($C36='Fuel Comparator and Consumption'!$H76,'Fuel Comparator and Consumption'!$H82*1000,'Fuel Comparator and Consumption'!$L82*1000))</f>
        <v>3494.4116037836384</v>
      </c>
      <c r="N34" s="379">
        <f>IF($C36='Fuel Comparator and Consumption'!$D76,'Fuel Comparator and Consumption'!$D83*1000,IF($C36='Fuel Comparator and Consumption'!$H76,'Fuel Comparator and Consumption'!$H83*1000,'Fuel Comparator and Consumption'!$L83*1000))</f>
        <v>2443.2667339470081</v>
      </c>
      <c r="O34" s="379">
        <f>IF($C36='Fuel Comparator and Consumption'!$D76,'Fuel Comparator and Consumption'!$D84*1000,IF($C36='Fuel Comparator and Consumption'!$H76,'Fuel Comparator and Consumption'!$H84*1000,'Fuel Comparator and Consumption'!$L84*1000))</f>
        <v>1771.229682695232</v>
      </c>
      <c r="P34" s="379">
        <f>IF($C36='Fuel Comparator and Consumption'!$D76,'Fuel Comparator and Consumption'!$D85*1000,IF($C36='Fuel Comparator and Consumption'!$H76,'Fuel Comparator and Consumption'!$H85*1000,'Fuel Comparator and Consumption'!$L85*1000))</f>
        <v>1771.229682695232</v>
      </c>
      <c r="Q34" s="379">
        <f>IF($C36='Fuel Comparator and Consumption'!$D76,'Fuel Comparator and Consumption'!$D86*1000,IF($C36='Fuel Comparator and Consumption'!$H76,'Fuel Comparator and Consumption'!$H86*1000,'Fuel Comparator and Consumption'!$L86*1000))</f>
        <v>2718.9804966294992</v>
      </c>
      <c r="R34" s="379">
        <f>IF($C36='Fuel Comparator and Consumption'!$D76,'Fuel Comparator and Consumption'!$D87*1000,IF($C36='Fuel Comparator and Consumption'!$H76,'Fuel Comparator and Consumption'!$H87*1000,'Fuel Comparator and Consumption'!$L87*1000))</f>
        <v>3518.7947870820012</v>
      </c>
      <c r="S34" s="379">
        <f>IF($C36='Fuel Comparator and Consumption'!$D76,'Fuel Comparator and Consumption'!$D88*1000,IF($C36='Fuel Comparator and Consumption'!$H76,'Fuel Comparator and Consumption'!$H88*1000,'Fuel Comparator and Consumption'!$L88*1000))</f>
        <v>4362.5730409680064</v>
      </c>
      <c r="T34" s="378">
        <f>IF($C36='Fuel Comparator and Consumption'!$D76,'Fuel Comparator and Consumption'!$D89*1000,IF($C36='Fuel Comparator and Consumption'!$H76,'Fuel Comparator and Consumption'!$H89*1000,'Fuel Comparator and Consumption'!$L89*1000))</f>
        <v>5535.5321006005233</v>
      </c>
      <c r="U34" s="360"/>
      <c r="V34" s="359"/>
      <c r="W34" s="358"/>
      <c r="X34" s="405"/>
      <c r="Y34" s="405"/>
      <c r="Z34" s="405"/>
      <c r="AA34" s="405"/>
      <c r="AB34" s="405"/>
      <c r="AC34" s="405"/>
      <c r="AD34" s="405"/>
      <c r="AE34" s="405"/>
      <c r="AF34" s="405"/>
    </row>
    <row r="35" spans="1:32" ht="21" customHeight="1" thickTop="1" thickBot="1">
      <c r="A35" s="405"/>
      <c r="B35" s="369"/>
      <c r="C35" s="1377"/>
      <c r="D35" s="377" t="s">
        <v>74</v>
      </c>
      <c r="E35" s="1381"/>
      <c r="F35" s="375" t="s">
        <v>344</v>
      </c>
      <c r="G35" s="374" t="s">
        <v>345</v>
      </c>
      <c r="H35" s="373" t="s">
        <v>346</v>
      </c>
      <c r="I35" s="825">
        <f>I34/(31*24)</f>
        <v>7.3584777987205756</v>
      </c>
      <c r="J35" s="825">
        <f>J34/(28.25*24)</f>
        <v>7.385871587226787</v>
      </c>
      <c r="K35" s="825">
        <f>K34/(31*24)</f>
        <v>6.1305372879186182</v>
      </c>
      <c r="L35" s="825">
        <f>L34/(30*24)</f>
        <v>5.6218072415060316</v>
      </c>
      <c r="M35" s="825">
        <f>M34/(31*24)</f>
        <v>4.6967897900317723</v>
      </c>
      <c r="N35" s="825">
        <f>N34/(30*24)</f>
        <v>3.3934260193708448</v>
      </c>
      <c r="O35" s="825">
        <f>O34/(31*24)</f>
        <v>2.3806850573860645</v>
      </c>
      <c r="P35" s="825">
        <f>P34/(31*24)</f>
        <v>2.3806850573860645</v>
      </c>
      <c r="Q35" s="825">
        <f>Q34/(30*24)</f>
        <v>3.7763618008743043</v>
      </c>
      <c r="R35" s="825">
        <f>R34/(31*24)</f>
        <v>4.7295628858629053</v>
      </c>
      <c r="S35" s="825">
        <f>S34/(30*24)</f>
        <v>6.0591292235666758</v>
      </c>
      <c r="T35" s="826">
        <f>T34/(31*24)</f>
        <v>7.4402313180114561</v>
      </c>
      <c r="U35" s="360"/>
      <c r="V35" s="359"/>
      <c r="W35" s="358"/>
      <c r="X35" s="405"/>
      <c r="Y35" s="405"/>
      <c r="Z35" s="405"/>
      <c r="AA35" s="405"/>
      <c r="AB35" s="405"/>
      <c r="AC35" s="405"/>
      <c r="AD35" s="405"/>
      <c r="AE35" s="405"/>
      <c r="AF35" s="405"/>
    </row>
    <row r="36" spans="1:32" ht="35.1" customHeight="1" thickTop="1" thickBot="1">
      <c r="A36" s="405"/>
      <c r="B36" s="369"/>
      <c r="C36" s="1389" t="str">
        <f>'Fuel Comparator and Consumption'!$G$18</f>
        <v>Pellet1</v>
      </c>
      <c r="D36" s="1390">
        <f>'Fuel Comparator and Consumption'!$AD$33</f>
        <v>777.77777777777771</v>
      </c>
      <c r="E36" s="372" t="str">
        <f>H6</f>
        <v>Square silo sloping floor</v>
      </c>
      <c r="F36" s="822">
        <f>O$6*D36/1000</f>
        <v>3.87783184412464</v>
      </c>
      <c r="G36" s="371">
        <f>O6*'Fuel Comparator and Consumption'!$AC$33*'Fuel Comparator and Consumption'!$J$18/100</f>
        <v>504.1181397362032</v>
      </c>
      <c r="H36" s="1391" t="s">
        <v>347</v>
      </c>
      <c r="I36" s="371">
        <f t="shared" ref="I36:T38" si="1">$F36*1000/(I$35*24)</f>
        <v>21.957846616948423</v>
      </c>
      <c r="J36" s="371">
        <f t="shared" si="1"/>
        <v>21.876406180410537</v>
      </c>
      <c r="K36" s="371">
        <f t="shared" si="1"/>
        <v>26.355981417312858</v>
      </c>
      <c r="L36" s="371">
        <f t="shared" si="1"/>
        <v>28.74099375830642</v>
      </c>
      <c r="M36" s="371">
        <f t="shared" si="1"/>
        <v>34.401438868192066</v>
      </c>
      <c r="N36" s="371">
        <f t="shared" si="1"/>
        <v>47.614512859921902</v>
      </c>
      <c r="O36" s="371">
        <f t="shared" si="1"/>
        <v>67.869677401148408</v>
      </c>
      <c r="P36" s="371">
        <f t="shared" si="1"/>
        <v>67.869677401148408</v>
      </c>
      <c r="Q36" s="371">
        <f t="shared" si="1"/>
        <v>42.786241191487136</v>
      </c>
      <c r="R36" s="371">
        <f t="shared" si="1"/>
        <v>34.163057081129644</v>
      </c>
      <c r="S36" s="371">
        <f t="shared" si="1"/>
        <v>26.666591993133888</v>
      </c>
      <c r="T36" s="370">
        <f t="shared" si="1"/>
        <v>21.716573038176861</v>
      </c>
      <c r="U36" s="360"/>
      <c r="V36" s="359"/>
      <c r="W36" s="358"/>
      <c r="X36" s="405"/>
      <c r="Y36" s="405"/>
      <c r="Z36" s="405"/>
      <c r="AA36" s="405"/>
      <c r="AB36" s="405"/>
      <c r="AC36" s="405"/>
      <c r="AD36" s="405"/>
      <c r="AE36" s="405"/>
      <c r="AF36" s="405"/>
    </row>
    <row r="37" spans="1:32" ht="37.700000000000003" customHeight="1" thickTop="1" thickBot="1">
      <c r="A37" s="405"/>
      <c r="B37" s="369"/>
      <c r="C37" s="1389"/>
      <c r="D37" s="1390"/>
      <c r="E37" s="368" t="str">
        <f>H8</f>
        <v>Walking floor</v>
      </c>
      <c r="F37" s="824">
        <f>O$8*D36/1000</f>
        <v>3.1111111111111107</v>
      </c>
      <c r="G37" s="367">
        <f>O8*'Fuel Comparator and Consumption'!$AC$33*'Fuel Comparator and Consumption'!$J$18/100</f>
        <v>404.44444444444446</v>
      </c>
      <c r="H37" s="1391"/>
      <c r="I37" s="366">
        <f t="shared" si="1"/>
        <v>17.616364848198415</v>
      </c>
      <c r="J37" s="366">
        <f t="shared" si="1"/>
        <v>17.55102672700303</v>
      </c>
      <c r="K37" s="366">
        <f t="shared" si="1"/>
        <v>21.144905175781133</v>
      </c>
      <c r="L37" s="366">
        <f t="shared" si="1"/>
        <v>23.058355447082711</v>
      </c>
      <c r="M37" s="366">
        <f t="shared" si="1"/>
        <v>27.599623450201868</v>
      </c>
      <c r="N37" s="366">
        <f t="shared" si="1"/>
        <v>38.200222692246427</v>
      </c>
      <c r="O37" s="366">
        <f t="shared" si="1"/>
        <v>54.450557929724589</v>
      </c>
      <c r="P37" s="366">
        <f t="shared" si="1"/>
        <v>54.450557929724589</v>
      </c>
      <c r="Q37" s="366">
        <f t="shared" si="1"/>
        <v>34.32659169458227</v>
      </c>
      <c r="R37" s="366">
        <f t="shared" si="1"/>
        <v>27.408374253169228</v>
      </c>
      <c r="S37" s="366">
        <f t="shared" si="1"/>
        <v>21.394102163301245</v>
      </c>
      <c r="T37" s="365">
        <f t="shared" si="1"/>
        <v>17.422795621396837</v>
      </c>
      <c r="U37" s="360"/>
      <c r="V37" s="359"/>
      <c r="W37" s="358"/>
      <c r="X37" s="405"/>
      <c r="Y37" s="405"/>
      <c r="Z37" s="405"/>
      <c r="AA37" s="405"/>
      <c r="AB37" s="405"/>
      <c r="AC37" s="405"/>
      <c r="AD37" s="405"/>
      <c r="AE37" s="405"/>
      <c r="AF37" s="405"/>
    </row>
    <row r="38" spans="1:32" ht="37.700000000000003" customHeight="1" thickTop="1" thickBot="1">
      <c r="A38" s="405"/>
      <c r="B38" s="361"/>
      <c r="C38" s="359"/>
      <c r="D38" s="359"/>
      <c r="E38" s="364" t="str">
        <f>H9</f>
        <v>Gravity hopper</v>
      </c>
      <c r="F38" s="823">
        <f>O9*D36/1000</f>
        <v>0.68561602095836605</v>
      </c>
      <c r="G38" s="363">
        <f>O9*'Fuel Comparator and Consumption'!$AC$33*'Fuel Comparator and Consumption'!$J$18/100</f>
        <v>89.130082724587595</v>
      </c>
      <c r="H38" s="1391"/>
      <c r="I38" s="363">
        <f t="shared" si="1"/>
        <v>3.8822342049554877</v>
      </c>
      <c r="J38" s="363">
        <f t="shared" si="1"/>
        <v>3.8678352133827056</v>
      </c>
      <c r="K38" s="363">
        <f t="shared" si="1"/>
        <v>4.6598418482660415</v>
      </c>
      <c r="L38" s="363">
        <f t="shared" si="1"/>
        <v>5.081521471544737</v>
      </c>
      <c r="M38" s="363">
        <f t="shared" si="1"/>
        <v>6.0823105746031985</v>
      </c>
      <c r="N38" s="363">
        <f t="shared" si="1"/>
        <v>8.4184343620654758</v>
      </c>
      <c r="O38" s="363">
        <f t="shared" si="1"/>
        <v>11.999627635738108</v>
      </c>
      <c r="P38" s="363">
        <f t="shared" si="1"/>
        <v>11.999627635738108</v>
      </c>
      <c r="Q38" s="363">
        <f t="shared" si="1"/>
        <v>7.5647768177256394</v>
      </c>
      <c r="R38" s="363">
        <f t="shared" si="1"/>
        <v>6.0401637309843048</v>
      </c>
      <c r="S38" s="363">
        <f t="shared" si="1"/>
        <v>4.7147590276647975</v>
      </c>
      <c r="T38" s="362">
        <f t="shared" si="1"/>
        <v>3.8395760811148745</v>
      </c>
      <c r="U38" s="360"/>
      <c r="V38" s="359"/>
      <c r="W38" s="358"/>
      <c r="X38" s="405"/>
      <c r="Y38" s="405"/>
      <c r="Z38" s="405"/>
      <c r="AA38" s="405"/>
      <c r="AB38" s="405"/>
      <c r="AC38" s="405"/>
      <c r="AD38" s="405"/>
      <c r="AE38" s="405"/>
      <c r="AF38" s="405"/>
    </row>
    <row r="39" spans="1:32" ht="30.75" customHeight="1" thickTop="1">
      <c r="A39" s="405"/>
      <c r="B39" s="361"/>
      <c r="C39" s="360"/>
      <c r="D39" s="360"/>
      <c r="E39" s="360"/>
      <c r="F39" s="360"/>
      <c r="G39" s="360"/>
      <c r="H39" s="360"/>
      <c r="I39" s="360"/>
      <c r="J39" s="360"/>
      <c r="K39" s="360"/>
      <c r="L39" s="360"/>
      <c r="M39" s="360"/>
      <c r="N39" s="360"/>
      <c r="O39" s="360"/>
      <c r="P39" s="360"/>
      <c r="Q39" s="360"/>
      <c r="R39" s="360"/>
      <c r="S39" s="360"/>
      <c r="T39" s="360"/>
      <c r="U39" s="360"/>
      <c r="V39" s="359"/>
      <c r="W39" s="358"/>
      <c r="X39" s="405"/>
      <c r="Y39" s="405"/>
      <c r="Z39" s="405"/>
      <c r="AA39" s="405"/>
      <c r="AB39" s="405"/>
      <c r="AC39" s="405"/>
      <c r="AD39" s="405"/>
      <c r="AE39" s="405"/>
      <c r="AF39" s="405"/>
    </row>
    <row r="40" spans="1:32" ht="14.25" customHeight="1">
      <c r="A40" s="405"/>
      <c r="B40" s="361"/>
      <c r="C40" s="360"/>
      <c r="D40" s="360"/>
      <c r="E40" s="360"/>
      <c r="F40" s="360"/>
      <c r="G40" s="360"/>
      <c r="H40" s="360"/>
      <c r="I40" s="360"/>
      <c r="J40" s="360"/>
      <c r="K40" s="360"/>
      <c r="L40" s="360"/>
      <c r="M40" s="360"/>
      <c r="N40" s="360"/>
      <c r="O40" s="360"/>
      <c r="P40" s="360"/>
      <c r="Q40" s="360"/>
      <c r="R40" s="360"/>
      <c r="S40" s="360"/>
      <c r="T40" s="360"/>
      <c r="U40" s="360"/>
      <c r="V40" s="359"/>
      <c r="W40" s="358"/>
      <c r="X40" s="405"/>
      <c r="Y40" s="405"/>
      <c r="Z40" s="405"/>
      <c r="AA40" s="405"/>
      <c r="AB40" s="405"/>
      <c r="AC40" s="405"/>
      <c r="AD40" s="405"/>
      <c r="AE40" s="405"/>
      <c r="AF40" s="405"/>
    </row>
    <row r="41" spans="1:32">
      <c r="A41" s="405"/>
      <c r="B41" s="361"/>
      <c r="C41" s="360"/>
      <c r="D41" s="360"/>
      <c r="E41" s="360"/>
      <c r="F41" s="360"/>
      <c r="G41" s="360"/>
      <c r="H41" s="360"/>
      <c r="I41" s="360"/>
      <c r="J41" s="360"/>
      <c r="K41" s="360"/>
      <c r="L41" s="360"/>
      <c r="M41" s="360"/>
      <c r="N41" s="360"/>
      <c r="O41" s="360"/>
      <c r="P41" s="360"/>
      <c r="Q41" s="360"/>
      <c r="R41" s="360"/>
      <c r="S41" s="360"/>
      <c r="T41" s="360"/>
      <c r="U41" s="360"/>
      <c r="V41" s="359"/>
      <c r="W41" s="358"/>
      <c r="X41" s="405"/>
      <c r="Y41" s="405"/>
      <c r="Z41" s="405"/>
      <c r="AA41" s="405"/>
      <c r="AB41" s="405"/>
      <c r="AC41" s="405"/>
      <c r="AD41" s="405"/>
      <c r="AE41" s="405"/>
      <c r="AF41" s="405"/>
    </row>
    <row r="42" spans="1:32" ht="15" thickBot="1">
      <c r="A42" s="405"/>
      <c r="B42" s="357"/>
      <c r="C42" s="356"/>
      <c r="D42" s="356"/>
      <c r="E42" s="356"/>
      <c r="F42" s="356"/>
      <c r="G42" s="356"/>
      <c r="H42" s="356"/>
      <c r="I42" s="356"/>
      <c r="J42" s="356"/>
      <c r="K42" s="356"/>
      <c r="L42" s="356"/>
      <c r="M42" s="356"/>
      <c r="N42" s="356"/>
      <c r="O42" s="356"/>
      <c r="P42" s="356"/>
      <c r="Q42" s="356"/>
      <c r="R42" s="356"/>
      <c r="S42" s="356"/>
      <c r="T42" s="356"/>
      <c r="U42" s="356"/>
      <c r="V42" s="355"/>
      <c r="W42" s="354"/>
      <c r="X42" s="405"/>
      <c r="Y42" s="405"/>
      <c r="Z42" s="405"/>
      <c r="AA42" s="405"/>
      <c r="AB42" s="405"/>
      <c r="AC42" s="405"/>
      <c r="AD42" s="405"/>
      <c r="AE42" s="405"/>
      <c r="AF42" s="405"/>
    </row>
    <row r="43" spans="1:32" s="353" customFormat="1">
      <c r="A43" s="402"/>
    </row>
    <row r="44" spans="1:32" s="353" customFormat="1">
      <c r="A44" s="402"/>
    </row>
    <row r="45" spans="1:32" s="353" customFormat="1">
      <c r="A45" s="402"/>
    </row>
    <row r="46" spans="1:32" s="353" customFormat="1">
      <c r="A46" s="402"/>
    </row>
    <row r="47" spans="1:32" s="353" customFormat="1">
      <c r="A47" s="402"/>
    </row>
    <row r="48" spans="1:32" s="353" customFormat="1">
      <c r="A48" s="402"/>
    </row>
    <row r="49" s="353" customFormat="1"/>
    <row r="50" s="353" customFormat="1"/>
    <row r="51" s="353" customFormat="1"/>
    <row r="52" s="353" customFormat="1"/>
    <row r="53" s="353" customFormat="1"/>
    <row r="54" s="353" customFormat="1"/>
    <row r="55" s="353" customFormat="1"/>
    <row r="56" s="353" customFormat="1"/>
    <row r="57" s="353" customFormat="1"/>
    <row r="58" s="353" customFormat="1"/>
    <row r="59" s="353" customFormat="1"/>
    <row r="60" s="353" customFormat="1"/>
    <row r="61" s="353" customFormat="1"/>
    <row r="62" s="353" customFormat="1"/>
    <row r="63" s="353" customFormat="1"/>
    <row r="64" s="353" customFormat="1"/>
    <row r="65" spans="3:8" s="353" customFormat="1"/>
    <row r="66" spans="3:8" s="353" customFormat="1"/>
    <row r="67" spans="3:8" s="353" customFormat="1"/>
    <row r="68" spans="3:8" s="353" customFormat="1"/>
    <row r="69" spans="3:8" s="353" customFormat="1"/>
    <row r="70" spans="3:8" s="353" customFormat="1"/>
    <row r="71" spans="3:8" s="353" customFormat="1" hidden="1"/>
    <row r="72" spans="3:8" s="353" customFormat="1" hidden="1"/>
    <row r="73" spans="3:8" ht="15" hidden="1" thickBot="1"/>
    <row r="74" spans="3:8" hidden="1">
      <c r="C74" s="799" t="s">
        <v>457</v>
      </c>
      <c r="D74" s="800" t="s">
        <v>481</v>
      </c>
      <c r="E74" s="800" t="s">
        <v>482</v>
      </c>
      <c r="F74" s="801" t="s">
        <v>504</v>
      </c>
      <c r="G74" s="801"/>
      <c r="H74" s="802"/>
    </row>
    <row r="75" spans="3:8" hidden="1">
      <c r="C75" s="803" t="str">
        <f>C23</f>
        <v>Woodchip1</v>
      </c>
      <c r="D75" s="804">
        <f>SUM(I21:T21)</f>
        <v>52529.945521832371</v>
      </c>
      <c r="E75" s="805">
        <f>IF(C75=Woodchip!C8,Woodchip!S8*Woodchip!M8*'Storage options'!D75,IF('Storage options'!C75=Woodchip!C10,Woodchip!S10*Woodchip!M10*'Storage options'!D75,'Storage options'!D75*Woodchip!S12*Woodchip!M12))</f>
        <v>2889.1470037007803</v>
      </c>
      <c r="F75" s="359"/>
      <c r="G75" s="359"/>
      <c r="H75" s="806"/>
    </row>
    <row r="76" spans="3:8" hidden="1">
      <c r="C76" s="803" t="str">
        <f>C36</f>
        <v>Pellet1</v>
      </c>
      <c r="D76" s="804">
        <f>SUM(I34:T34)</f>
        <v>44707.167502884804</v>
      </c>
      <c r="E76" s="807">
        <f>IF(C76=Pellet!C8,Pellet!N8*Results!G20,IF('Storage options'!C76=Pellet!C10,Pellet!N10*Results!G20,Results!G20*Pellet!N12))</f>
        <v>6828.8929178382086</v>
      </c>
      <c r="F76" s="359"/>
      <c r="G76" s="359"/>
      <c r="H76" s="806"/>
    </row>
    <row r="77" spans="3:8" hidden="1">
      <c r="C77" s="803"/>
      <c r="D77" s="359"/>
      <c r="E77" s="359"/>
      <c r="F77" s="359"/>
      <c r="G77" s="359"/>
      <c r="H77" s="806"/>
    </row>
    <row r="78" spans="3:8" ht="15" hidden="1" thickBot="1">
      <c r="C78" s="808"/>
      <c r="D78" s="809"/>
      <c r="E78" s="809"/>
      <c r="F78" s="809"/>
      <c r="G78" s="809"/>
      <c r="H78" s="810"/>
    </row>
    <row r="79" spans="3:8" hidden="1"/>
    <row r="80" spans="3:8" hidden="1"/>
  </sheetData>
  <sheetProtection password="B1AA" sheet="1" selectLockedCells="1"/>
  <mergeCells count="31">
    <mergeCell ref="C5:D5"/>
    <mergeCell ref="E2:O2"/>
    <mergeCell ref="N6:N7"/>
    <mergeCell ref="E9:F9"/>
    <mergeCell ref="H4:H5"/>
    <mergeCell ref="O6:O7"/>
    <mergeCell ref="J6:J7"/>
    <mergeCell ref="E5:F5"/>
    <mergeCell ref="E8:F8"/>
    <mergeCell ref="L6:L7"/>
    <mergeCell ref="C36:C37"/>
    <mergeCell ref="D36:D37"/>
    <mergeCell ref="H36:H38"/>
    <mergeCell ref="C23:C24"/>
    <mergeCell ref="D23:D24"/>
    <mergeCell ref="C34:C35"/>
    <mergeCell ref="E34:E35"/>
    <mergeCell ref="H23:H24"/>
    <mergeCell ref="I32:T32"/>
    <mergeCell ref="H32:H33"/>
    <mergeCell ref="E7:F7"/>
    <mergeCell ref="C21:C22"/>
    <mergeCell ref="I6:I7"/>
    <mergeCell ref="H6:H7"/>
    <mergeCell ref="E21:E22"/>
    <mergeCell ref="M6:M7"/>
    <mergeCell ref="I19:T19"/>
    <mergeCell ref="K6:K7"/>
    <mergeCell ref="H19:H20"/>
    <mergeCell ref="C7:D7"/>
    <mergeCell ref="C8:D8"/>
  </mergeCells>
  <dataValidations count="2">
    <dataValidation type="list" allowBlank="1" showErrorMessage="1" sqref="C5:D5">
      <formula1>"Square Silo Sloping Floor,Walking Floor,Gravity Hopper"</formula1>
    </dataValidation>
    <dataValidation type="list" allowBlank="1" showErrorMessage="1" sqref="E5:F5">
      <formula1>$C$75:$C$76</formula1>
    </dataValidation>
  </dataValidations>
  <hyperlinks>
    <hyperlink ref="E9:F9" location="'Main Menu'!A1" display="'Main Menu'!A1"/>
  </hyperlink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Roman,Normalny"&amp;12&amp;A</oddHeader>
    <oddFooter>&amp;C&amp;"Times New Roman,Normalny"&amp;12Strona &amp;P</oddFooter>
  </headerFooter>
  <drawing r:id="rId2"/>
</worksheet>
</file>

<file path=xl/worksheets/sheet12.xml><?xml version="1.0" encoding="utf-8"?>
<worksheet xmlns="http://schemas.openxmlformats.org/spreadsheetml/2006/main" xmlns:r="http://schemas.openxmlformats.org/officeDocument/2006/relationships">
  <sheetPr codeName="Plan18"/>
  <dimension ref="A1:AI99"/>
  <sheetViews>
    <sheetView showGridLines="0" zoomScale="85" zoomScaleNormal="85" workbookViewId="0">
      <selection activeCell="L6" sqref="L6:N7"/>
    </sheetView>
  </sheetViews>
  <sheetFormatPr defaultColWidth="9" defaultRowHeight="14.25"/>
  <cols>
    <col min="1" max="1" width="3.7109375" style="202" customWidth="1"/>
    <col min="2" max="2" width="4.85546875" style="89" customWidth="1"/>
    <col min="3" max="3" width="3.85546875" style="89" customWidth="1"/>
    <col min="4" max="4" width="9" style="89"/>
    <col min="5" max="5" width="15.42578125" style="89" customWidth="1"/>
    <col min="6" max="6" width="8.140625" style="89" customWidth="1"/>
    <col min="7" max="7" width="10.5703125" style="89" customWidth="1"/>
    <col min="8" max="8" width="11.85546875" style="89" customWidth="1"/>
    <col min="9" max="9" width="3.28515625" style="89" customWidth="1"/>
    <col min="10" max="10" width="5.7109375" style="89" customWidth="1"/>
    <col min="11" max="11" width="9" style="89"/>
    <col min="12" max="12" width="12.42578125" style="89" customWidth="1"/>
    <col min="13" max="13" width="9.140625" style="89" customWidth="1"/>
    <col min="14" max="14" width="3.7109375" style="89" customWidth="1"/>
    <col min="15" max="15" width="10.42578125" style="89" customWidth="1"/>
    <col min="16" max="16" width="14.7109375" style="89" customWidth="1"/>
    <col min="17" max="22" width="9" style="89"/>
    <col min="23" max="23" width="9" style="202"/>
    <col min="24" max="24" width="15" style="202" bestFit="1" customWidth="1"/>
    <col min="25" max="25" width="19.42578125" style="202" bestFit="1" customWidth="1"/>
    <col min="26" max="26" width="13.85546875" style="202" bestFit="1" customWidth="1"/>
    <col min="27" max="27" width="11.140625" style="89" customWidth="1"/>
    <col min="28" max="28" width="14.5703125" style="89" customWidth="1"/>
    <col min="29" max="29" width="13.28515625" style="89" customWidth="1"/>
    <col min="30" max="16384" width="9" style="89"/>
  </cols>
  <sheetData>
    <row r="1" spans="2:35" s="202" customFormat="1" ht="15" thickBot="1">
      <c r="B1" s="204"/>
      <c r="C1" s="204"/>
      <c r="D1" s="204"/>
      <c r="E1" s="204"/>
      <c r="F1" s="204"/>
      <c r="G1" s="204"/>
      <c r="H1" s="204"/>
      <c r="I1" s="204"/>
      <c r="J1" s="204"/>
      <c r="K1" s="204"/>
      <c r="L1" s="204"/>
      <c r="M1" s="204"/>
      <c r="N1" s="204"/>
      <c r="O1" s="204"/>
      <c r="P1" s="204"/>
      <c r="Q1" s="204"/>
      <c r="R1" s="204"/>
      <c r="S1" s="204"/>
      <c r="T1" s="204"/>
      <c r="U1" s="204"/>
      <c r="V1" s="204"/>
    </row>
    <row r="2" spans="2:35">
      <c r="B2" s="90"/>
      <c r="C2" s="91"/>
      <c r="D2" s="91"/>
      <c r="E2" s="91"/>
      <c r="F2" s="91"/>
      <c r="G2" s="91"/>
      <c r="H2" s="91"/>
      <c r="I2" s="91"/>
      <c r="J2" s="91"/>
      <c r="K2" s="91"/>
      <c r="L2" s="91"/>
      <c r="M2" s="91"/>
      <c r="N2" s="91"/>
      <c r="O2" s="91"/>
      <c r="P2" s="91"/>
      <c r="Q2" s="91"/>
      <c r="R2" s="91"/>
      <c r="S2" s="91"/>
      <c r="T2" s="91"/>
      <c r="U2" s="91"/>
      <c r="V2" s="107"/>
      <c r="AA2" s="487"/>
      <c r="AB2" s="487"/>
      <c r="AC2" s="487"/>
      <c r="AD2" s="487"/>
      <c r="AE2" s="487"/>
      <c r="AF2" s="487"/>
      <c r="AG2" s="487"/>
      <c r="AH2" s="487"/>
      <c r="AI2" s="487"/>
    </row>
    <row r="3" spans="2:35" ht="21.75" customHeight="1">
      <c r="B3" s="93"/>
      <c r="C3" s="94"/>
      <c r="D3" s="94"/>
      <c r="E3" s="94"/>
      <c r="F3" s="1403" t="s">
        <v>570</v>
      </c>
      <c r="G3" s="1403"/>
      <c r="H3" s="1403"/>
      <c r="I3" s="1403"/>
      <c r="J3" s="1403"/>
      <c r="K3" s="1403"/>
      <c r="L3" s="1403"/>
      <c r="M3" s="1403"/>
      <c r="N3" s="1403"/>
      <c r="O3" s="1403"/>
      <c r="P3" s="1403"/>
      <c r="Q3" s="1403"/>
      <c r="R3" s="1403"/>
      <c r="S3" s="94"/>
      <c r="T3" s="94"/>
      <c r="U3" s="94"/>
      <c r="V3" s="108"/>
      <c r="AA3" s="487"/>
      <c r="AB3" s="487"/>
      <c r="AC3" s="487"/>
      <c r="AD3" s="487"/>
      <c r="AE3" s="487"/>
      <c r="AF3" s="487"/>
      <c r="AG3" s="487"/>
      <c r="AH3" s="487"/>
      <c r="AI3" s="487"/>
    </row>
    <row r="4" spans="2:35">
      <c r="B4" s="93"/>
      <c r="C4" s="94"/>
      <c r="D4" s="94"/>
      <c r="E4" s="94"/>
      <c r="F4" s="94"/>
      <c r="G4" s="94"/>
      <c r="H4" s="94"/>
      <c r="I4" s="94"/>
      <c r="J4" s="94"/>
      <c r="K4" s="94"/>
      <c r="L4" s="94"/>
      <c r="M4" s="94"/>
      <c r="N4" s="94"/>
      <c r="O4" s="94"/>
      <c r="P4" s="94"/>
      <c r="Q4" s="94"/>
      <c r="R4" s="94"/>
      <c r="S4" s="94"/>
      <c r="T4" s="94"/>
      <c r="U4" s="94"/>
      <c r="V4" s="108"/>
      <c r="AA4" s="487"/>
      <c r="AB4" s="487"/>
      <c r="AC4" s="487"/>
      <c r="AD4" s="487"/>
      <c r="AE4" s="487"/>
      <c r="AF4" s="487"/>
      <c r="AG4" s="487"/>
      <c r="AH4" s="487"/>
      <c r="AI4" s="487"/>
    </row>
    <row r="5" spans="2:35" ht="15" thickBot="1">
      <c r="B5" s="93"/>
      <c r="C5" s="94"/>
      <c r="D5" s="94"/>
      <c r="E5" s="94"/>
      <c r="F5" s="94"/>
      <c r="G5" s="94"/>
      <c r="H5" s="94"/>
      <c r="I5" s="94"/>
      <c r="J5" s="94"/>
      <c r="K5" s="94"/>
      <c r="L5" s="94"/>
      <c r="M5" s="94"/>
      <c r="N5" s="94"/>
      <c r="O5" s="94"/>
      <c r="P5" s="94"/>
      <c r="Q5" s="94"/>
      <c r="R5" s="94"/>
      <c r="S5" s="94"/>
      <c r="T5" s="94"/>
      <c r="U5" s="94"/>
      <c r="V5" s="108"/>
      <c r="AA5" s="932"/>
      <c r="AB5" s="487"/>
      <c r="AC5" s="487"/>
      <c r="AD5" s="487"/>
      <c r="AE5" s="487"/>
      <c r="AF5" s="487"/>
      <c r="AG5" s="487"/>
      <c r="AH5" s="487"/>
      <c r="AI5" s="487"/>
    </row>
    <row r="6" spans="2:35" ht="15" customHeight="1">
      <c r="B6" s="93"/>
      <c r="C6" s="94"/>
      <c r="D6" s="94"/>
      <c r="E6" s="94"/>
      <c r="F6" s="94"/>
      <c r="G6" s="94"/>
      <c r="H6" s="94"/>
      <c r="I6" s="94"/>
      <c r="J6" s="94"/>
      <c r="K6" s="94"/>
      <c r="L6" s="1410" t="s">
        <v>453</v>
      </c>
      <c r="M6" s="1411"/>
      <c r="N6" s="1412"/>
      <c r="O6" s="94"/>
      <c r="P6" s="94"/>
      <c r="Q6" s="94"/>
      <c r="R6" s="94"/>
      <c r="S6" s="94"/>
      <c r="T6" s="94"/>
      <c r="U6" s="94"/>
      <c r="V6" s="108"/>
      <c r="AA6" s="487"/>
      <c r="AB6" s="487"/>
      <c r="AC6" s="487"/>
      <c r="AD6" s="487"/>
      <c r="AE6" s="487"/>
      <c r="AF6" s="487"/>
      <c r="AG6" s="487"/>
      <c r="AH6" s="487"/>
      <c r="AI6" s="487"/>
    </row>
    <row r="7" spans="2:35" ht="15.75" customHeight="1" thickBot="1">
      <c r="B7" s="93"/>
      <c r="C7" s="172" t="s">
        <v>420</v>
      </c>
      <c r="D7" s="94"/>
      <c r="E7" s="94"/>
      <c r="F7" s="94"/>
      <c r="G7" s="94"/>
      <c r="H7" s="94"/>
      <c r="I7" s="94"/>
      <c r="J7" s="94"/>
      <c r="K7" s="94"/>
      <c r="L7" s="1413"/>
      <c r="M7" s="1414"/>
      <c r="N7" s="1415"/>
      <c r="O7" s="94"/>
      <c r="P7" s="172" t="s">
        <v>560</v>
      </c>
      <c r="Q7" s="94"/>
      <c r="R7" s="94"/>
      <c r="S7" s="94"/>
      <c r="T7" s="94"/>
      <c r="U7" s="94"/>
      <c r="V7" s="108"/>
      <c r="AA7" s="569"/>
      <c r="AB7" s="569"/>
      <c r="AC7" s="487"/>
      <c r="AD7" s="487"/>
      <c r="AE7" s="487"/>
      <c r="AF7" s="487"/>
      <c r="AG7" s="487"/>
      <c r="AH7" s="487"/>
      <c r="AI7" s="487"/>
    </row>
    <row r="8" spans="2:35" ht="15" thickBot="1">
      <c r="B8" s="93"/>
      <c r="C8" s="90"/>
      <c r="D8" s="551" t="str">
        <f>IF(F13="Defined by user","User Input","HWS")</f>
        <v>HWS</v>
      </c>
      <c r="E8" s="91"/>
      <c r="F8" s="91"/>
      <c r="G8" s="91"/>
      <c r="H8" s="91"/>
      <c r="I8" s="123"/>
      <c r="J8" s="91"/>
      <c r="K8" s="91"/>
      <c r="L8" s="91"/>
      <c r="M8" s="91"/>
      <c r="N8" s="107"/>
      <c r="P8" s="544"/>
      <c r="Q8" s="909"/>
      <c r="R8" s="909"/>
      <c r="S8" s="909"/>
      <c r="T8" s="546"/>
      <c r="U8" s="94"/>
      <c r="V8" s="108"/>
      <c r="AA8" s="933"/>
      <c r="AB8" s="933"/>
      <c r="AC8" s="487"/>
      <c r="AD8" s="487"/>
      <c r="AE8" s="487"/>
      <c r="AF8" s="487"/>
      <c r="AG8" s="487"/>
      <c r="AH8" s="487"/>
      <c r="AI8" s="487"/>
    </row>
    <row r="9" spans="2:35" ht="15.75" thickBot="1">
      <c r="B9" s="93"/>
      <c r="C9" s="93"/>
      <c r="D9" s="1408" t="str">
        <f>IF(F13="Defined by user","Insert the amount of energy (kWh)","Number of hours of stored hot water")</f>
        <v>Number of hours of stored hot water</v>
      </c>
      <c r="E9" s="1409"/>
      <c r="F9" s="1409"/>
      <c r="G9" s="1409"/>
      <c r="H9" s="539">
        <v>2</v>
      </c>
      <c r="I9" s="535"/>
      <c r="J9" s="552" t="s">
        <v>450</v>
      </c>
      <c r="N9" s="108"/>
      <c r="O9" s="828"/>
      <c r="P9" s="914" t="s">
        <v>558</v>
      </c>
      <c r="Q9" s="323"/>
      <c r="R9" s="323"/>
      <c r="S9" s="596">
        <f>P65</f>
        <v>13.287230000000001</v>
      </c>
      <c r="T9" s="910"/>
      <c r="U9" s="94"/>
      <c r="V9" s="108"/>
      <c r="AA9" s="933"/>
      <c r="AB9" s="933"/>
      <c r="AC9" s="487"/>
      <c r="AD9" s="487"/>
      <c r="AE9" s="487"/>
      <c r="AF9" s="487"/>
      <c r="AG9" s="487"/>
      <c r="AH9" s="487"/>
      <c r="AI9" s="487"/>
    </row>
    <row r="10" spans="2:35" ht="15.75" customHeight="1" thickBot="1">
      <c r="B10" s="93"/>
      <c r="C10" s="93"/>
      <c r="D10" s="1408" t="s">
        <v>448</v>
      </c>
      <c r="E10" s="1409"/>
      <c r="F10" s="1409"/>
      <c r="G10" s="1419"/>
      <c r="H10" s="771">
        <v>11</v>
      </c>
      <c r="I10" s="535"/>
      <c r="J10" s="544" t="s">
        <v>517</v>
      </c>
      <c r="K10" s="545"/>
      <c r="L10" s="545"/>
      <c r="M10" s="546">
        <f>F67</f>
        <v>20</v>
      </c>
      <c r="N10" s="108"/>
      <c r="O10" s="124"/>
      <c r="P10" s="914" t="s">
        <v>559</v>
      </c>
      <c r="Q10" s="323"/>
      <c r="R10" s="323"/>
      <c r="S10" s="596">
        <f>'Heat Demand Model'!D56</f>
        <v>0.8</v>
      </c>
      <c r="T10" s="910"/>
      <c r="U10" s="94"/>
      <c r="V10" s="108"/>
      <c r="AA10" s="933"/>
      <c r="AB10" s="933"/>
      <c r="AC10" s="487"/>
      <c r="AD10" s="487"/>
      <c r="AE10" s="487"/>
      <c r="AF10" s="487"/>
      <c r="AG10" s="487"/>
      <c r="AH10" s="487"/>
      <c r="AI10" s="487"/>
    </row>
    <row r="11" spans="2:35" ht="15.75" customHeight="1" thickBot="1">
      <c r="B11" s="93"/>
      <c r="C11" s="93"/>
      <c r="D11" s="1408" t="str">
        <f>IF(F13="Defined by user"," ","Energy stored (kWh)")</f>
        <v>Energy stored (kWh)</v>
      </c>
      <c r="E11" s="1409"/>
      <c r="F11" s="1409"/>
      <c r="G11" s="1409"/>
      <c r="H11" s="596">
        <f>H9*'Heat Demand Model'!D56</f>
        <v>1.6</v>
      </c>
      <c r="I11" s="535"/>
      <c r="J11" s="547" t="s">
        <v>447</v>
      </c>
      <c r="K11" s="548"/>
      <c r="L11" s="548"/>
      <c r="M11" s="597">
        <f>IF(M10&lt;40,('Boiler '!N88+'Boiler '!N91)*0.5,('Boiler '!N88+'Boiler '!N91)*0.7)</f>
        <v>15</v>
      </c>
      <c r="N11" s="108"/>
      <c r="O11" s="124"/>
      <c r="P11" s="914" t="s">
        <v>557</v>
      </c>
      <c r="Q11" s="323"/>
      <c r="R11" s="323"/>
      <c r="S11" s="913">
        <f>M11/S9</f>
        <v>1.128903465959421</v>
      </c>
      <c r="T11" s="910"/>
      <c r="U11" s="94"/>
      <c r="V11" s="108"/>
      <c r="AA11" s="933"/>
      <c r="AB11" s="933"/>
      <c r="AC11" s="487"/>
      <c r="AD11" s="487"/>
      <c r="AE11" s="487"/>
      <c r="AF11" s="487"/>
      <c r="AG11" s="487"/>
      <c r="AH11" s="487"/>
      <c r="AI11" s="487"/>
    </row>
    <row r="12" spans="2:35" ht="15.75" customHeight="1" thickBot="1">
      <c r="B12" s="93"/>
      <c r="C12" s="93"/>
      <c r="D12" s="534"/>
      <c r="E12" s="534"/>
      <c r="F12" s="534"/>
      <c r="G12" s="534"/>
      <c r="H12" s="532"/>
      <c r="I12" s="535"/>
      <c r="J12" s="487"/>
      <c r="K12" s="541"/>
      <c r="L12" s="541"/>
      <c r="M12" s="540"/>
      <c r="N12" s="108"/>
      <c r="O12" s="124"/>
      <c r="P12" s="547"/>
      <c r="Q12" s="911"/>
      <c r="R12" s="911"/>
      <c r="S12" s="911"/>
      <c r="T12" s="912"/>
      <c r="U12" s="94"/>
      <c r="V12" s="108"/>
      <c r="AA12" s="933"/>
      <c r="AB12" s="933"/>
      <c r="AC12" s="487"/>
      <c r="AD12" s="487"/>
      <c r="AE12" s="487"/>
      <c r="AF12" s="487"/>
      <c r="AG12" s="487"/>
      <c r="AH12" s="487"/>
      <c r="AI12" s="487"/>
    </row>
    <row r="13" spans="2:35" ht="15.75" customHeight="1" thickBot="1">
      <c r="B13" s="93"/>
      <c r="C13" s="93"/>
      <c r="D13" s="549" t="s">
        <v>434</v>
      </c>
      <c r="E13" s="550"/>
      <c r="F13" s="1420" t="s">
        <v>555</v>
      </c>
      <c r="G13" s="1421"/>
      <c r="H13" s="535"/>
      <c r="I13" s="535"/>
      <c r="J13" s="487"/>
      <c r="K13" s="541"/>
      <c r="L13" s="541"/>
      <c r="M13" s="540"/>
      <c r="N13" s="108"/>
      <c r="O13" s="124"/>
      <c r="P13" s="552" t="s">
        <v>561</v>
      </c>
      <c r="Q13" s="552"/>
      <c r="S13" s="94"/>
      <c r="T13" s="94"/>
      <c r="U13" s="94"/>
      <c r="V13" s="108"/>
      <c r="AA13" s="933"/>
      <c r="AB13" s="933"/>
      <c r="AC13" s="487"/>
      <c r="AD13" s="487"/>
      <c r="AE13" s="487"/>
      <c r="AF13" s="487"/>
      <c r="AG13" s="487"/>
      <c r="AH13" s="487"/>
      <c r="AI13" s="487"/>
    </row>
    <row r="14" spans="2:35" ht="15.75" customHeight="1" thickBot="1">
      <c r="B14" s="93"/>
      <c r="C14" s="93"/>
      <c r="D14" s="534"/>
      <c r="E14" s="534"/>
      <c r="F14" s="534"/>
      <c r="G14" s="534"/>
      <c r="H14" s="532"/>
      <c r="I14" s="535"/>
      <c r="J14" s="487"/>
      <c r="K14" s="541"/>
      <c r="L14" s="541"/>
      <c r="M14" s="540"/>
      <c r="N14" s="108"/>
      <c r="O14" s="124"/>
      <c r="P14" s="552" t="s">
        <v>562</v>
      </c>
      <c r="Q14" s="552"/>
      <c r="S14" s="94"/>
      <c r="T14" s="94"/>
      <c r="U14" s="94"/>
      <c r="V14" s="108"/>
      <c r="AA14" s="933"/>
      <c r="AB14" s="933"/>
      <c r="AC14" s="487"/>
      <c r="AD14" s="487"/>
      <c r="AE14" s="487"/>
      <c r="AF14" s="487"/>
      <c r="AG14" s="487"/>
      <c r="AH14" s="487"/>
      <c r="AI14" s="487"/>
    </row>
    <row r="15" spans="2:35" ht="15.75" thickBot="1">
      <c r="B15" s="93"/>
      <c r="C15" s="93"/>
      <c r="D15" s="1424" t="s">
        <v>488</v>
      </c>
      <c r="E15" s="1425"/>
      <c r="F15" s="1426">
        <f>IF(F13="HWS supply",H11,IF(F13="HWS + Startup",M11+H11,IF(F13="Startup",M11,H9)))</f>
        <v>1.6</v>
      </c>
      <c r="G15" s="1427"/>
      <c r="H15" s="523"/>
      <c r="I15" s="535"/>
      <c r="J15" s="536"/>
      <c r="K15" s="487"/>
      <c r="L15" s="487"/>
      <c r="M15" s="487"/>
      <c r="N15" s="108"/>
      <c r="P15" s="552" t="s">
        <v>563</v>
      </c>
      <c r="Q15" s="552"/>
      <c r="S15" s="94"/>
      <c r="T15" s="94"/>
      <c r="U15" s="94"/>
      <c r="V15" s="108"/>
      <c r="AA15" s="933"/>
      <c r="AB15" s="933"/>
      <c r="AC15" s="487"/>
      <c r="AD15" s="487"/>
      <c r="AE15" s="487"/>
      <c r="AF15" s="487"/>
      <c r="AG15" s="487"/>
      <c r="AH15" s="487"/>
      <c r="AI15" s="487"/>
    </row>
    <row r="16" spans="2:35" ht="15" thickBot="1">
      <c r="B16" s="93"/>
      <c r="C16" s="118"/>
      <c r="D16" s="126"/>
      <c r="E16" s="126"/>
      <c r="F16" s="126"/>
      <c r="G16" s="126"/>
      <c r="H16" s="126"/>
      <c r="I16" s="127"/>
      <c r="J16" s="126"/>
      <c r="K16" s="126"/>
      <c r="L16" s="111"/>
      <c r="M16" s="111"/>
      <c r="N16" s="112"/>
      <c r="S16" s="94"/>
      <c r="T16" s="94"/>
      <c r="U16" s="94"/>
      <c r="V16" s="108"/>
      <c r="AA16" s="933"/>
      <c r="AB16" s="933"/>
      <c r="AC16" s="487"/>
      <c r="AD16" s="487"/>
      <c r="AE16" s="487"/>
      <c r="AF16" s="487"/>
      <c r="AG16" s="487"/>
      <c r="AH16" s="487"/>
      <c r="AI16" s="487"/>
    </row>
    <row r="17" spans="2:35">
      <c r="B17" s="93"/>
      <c r="C17" s="94"/>
      <c r="D17" s="125"/>
      <c r="E17" s="125"/>
      <c r="F17" s="125"/>
      <c r="G17" s="125"/>
      <c r="H17" s="125"/>
      <c r="I17" s="128"/>
      <c r="J17" s="125"/>
      <c r="K17" s="125"/>
      <c r="L17" s="94"/>
      <c r="M17" s="94"/>
      <c r="N17" s="94"/>
      <c r="S17" s="94"/>
      <c r="T17" s="94"/>
      <c r="U17" s="94"/>
      <c r="V17" s="108"/>
      <c r="AA17" s="933"/>
      <c r="AB17" s="933"/>
      <c r="AC17" s="487"/>
      <c r="AD17" s="487"/>
      <c r="AE17" s="487"/>
      <c r="AF17" s="487"/>
      <c r="AG17" s="487"/>
      <c r="AH17" s="487"/>
      <c r="AI17" s="487"/>
    </row>
    <row r="18" spans="2:35" ht="15" thickBot="1">
      <c r="B18" s="93"/>
      <c r="C18" s="172" t="s">
        <v>181</v>
      </c>
      <c r="D18" s="94"/>
      <c r="E18" s="94"/>
      <c r="F18" s="94"/>
      <c r="G18" s="94"/>
      <c r="H18" s="94"/>
      <c r="I18" s="97"/>
      <c r="J18" s="94"/>
      <c r="K18" s="94"/>
      <c r="L18" s="94"/>
      <c r="M18" s="94"/>
      <c r="N18" s="94"/>
      <c r="S18" s="94"/>
      <c r="T18" s="94"/>
      <c r="U18" s="94"/>
      <c r="V18" s="108"/>
      <c r="AA18" s="933"/>
      <c r="AB18" s="933"/>
      <c r="AC18" s="487"/>
      <c r="AD18" s="487"/>
      <c r="AE18" s="487"/>
      <c r="AF18" s="487"/>
      <c r="AG18" s="487"/>
      <c r="AH18" s="487"/>
      <c r="AI18" s="487"/>
    </row>
    <row r="19" spans="2:35" ht="15" thickBot="1">
      <c r="B19" s="93"/>
      <c r="C19" s="90"/>
      <c r="D19" s="91"/>
      <c r="E19" s="91"/>
      <c r="F19" s="91"/>
      <c r="G19" s="91"/>
      <c r="H19" s="91"/>
      <c r="I19" s="91"/>
      <c r="J19" s="91"/>
      <c r="K19" s="91"/>
      <c r="L19" s="91"/>
      <c r="M19" s="91"/>
      <c r="N19" s="107"/>
      <c r="S19" s="94"/>
      <c r="T19" s="94"/>
      <c r="U19" s="94"/>
      <c r="V19" s="108"/>
      <c r="AA19" s="933"/>
      <c r="AB19" s="933"/>
      <c r="AC19" s="487"/>
      <c r="AD19" s="487"/>
      <c r="AE19" s="487"/>
      <c r="AF19" s="487"/>
      <c r="AG19" s="487"/>
      <c r="AH19" s="487"/>
      <c r="AI19" s="487"/>
    </row>
    <row r="20" spans="2:35" ht="15.75" thickBot="1">
      <c r="B20" s="93"/>
      <c r="C20" s="93"/>
      <c r="D20" s="1408" t="s">
        <v>518</v>
      </c>
      <c r="E20" s="1409"/>
      <c r="F20" s="1409"/>
      <c r="G20" s="1409"/>
      <c r="H20" s="1422">
        <f>3600*F15/(4.2*(H10))</f>
        <v>124.67532467532467</v>
      </c>
      <c r="I20" s="1423"/>
      <c r="J20" s="94"/>
      <c r="K20" s="94"/>
      <c r="L20" s="94"/>
      <c r="M20" s="94"/>
      <c r="N20" s="108"/>
      <c r="S20" s="94"/>
      <c r="T20" s="94"/>
      <c r="U20" s="94"/>
      <c r="V20" s="108"/>
      <c r="AA20" s="933"/>
      <c r="AB20" s="933"/>
      <c r="AC20" s="487"/>
      <c r="AD20" s="487"/>
      <c r="AE20" s="487"/>
      <c r="AF20" s="487"/>
      <c r="AG20" s="487"/>
      <c r="AH20" s="487"/>
      <c r="AI20" s="487"/>
    </row>
    <row r="21" spans="2:35" ht="15" thickBot="1">
      <c r="B21" s="93"/>
      <c r="C21" s="93"/>
      <c r="D21" s="94"/>
      <c r="E21" s="94"/>
      <c r="F21" s="94"/>
      <c r="G21" s="94"/>
      <c r="H21" s="129"/>
      <c r="I21" s="97"/>
      <c r="J21" s="94"/>
      <c r="K21" s="94"/>
      <c r="L21" s="94"/>
      <c r="M21" s="94"/>
      <c r="N21" s="108"/>
      <c r="S21" s="94"/>
      <c r="T21" s="94"/>
      <c r="U21" s="94"/>
      <c r="V21" s="108"/>
      <c r="AA21" s="933"/>
      <c r="AB21" s="933"/>
      <c r="AC21" s="487"/>
      <c r="AD21" s="487"/>
      <c r="AE21" s="487"/>
      <c r="AF21" s="487"/>
      <c r="AG21" s="487"/>
      <c r="AH21" s="487"/>
      <c r="AI21" s="487"/>
    </row>
    <row r="22" spans="2:35" ht="15" thickBot="1">
      <c r="B22" s="93"/>
      <c r="C22" s="93"/>
      <c r="D22" s="160" t="s">
        <v>519</v>
      </c>
      <c r="E22" s="161"/>
      <c r="F22" s="161"/>
      <c r="G22" s="162"/>
      <c r="H22" s="1417">
        <f>H20*(10^-3)</f>
        <v>0.12467532467532468</v>
      </c>
      <c r="I22" s="1418"/>
      <c r="J22" s="94"/>
      <c r="K22" s="94"/>
      <c r="L22" s="94"/>
      <c r="M22" s="94"/>
      <c r="N22" s="108"/>
      <c r="S22" s="94"/>
      <c r="T22" s="94"/>
      <c r="U22" s="94"/>
      <c r="V22" s="108"/>
      <c r="AA22" s="933"/>
      <c r="AB22" s="933"/>
      <c r="AC22" s="487"/>
      <c r="AD22" s="487"/>
      <c r="AE22" s="487"/>
      <c r="AF22" s="487"/>
      <c r="AG22" s="487"/>
      <c r="AH22" s="487"/>
      <c r="AI22" s="487"/>
    </row>
    <row r="23" spans="2:35" ht="15.75" customHeight="1" thickBot="1">
      <c r="B23" s="93"/>
      <c r="C23" s="93"/>
      <c r="D23" s="160" t="s">
        <v>442</v>
      </c>
      <c r="E23" s="161"/>
      <c r="F23" s="161"/>
      <c r="G23" s="161"/>
      <c r="H23" s="1428">
        <v>2</v>
      </c>
      <c r="I23" s="1429"/>
      <c r="J23" s="94"/>
      <c r="K23" s="94"/>
      <c r="L23" s="94"/>
      <c r="M23" s="94"/>
      <c r="N23" s="108"/>
      <c r="S23" s="94"/>
      <c r="T23" s="94"/>
      <c r="U23" s="94"/>
      <c r="V23" s="108"/>
      <c r="AA23" s="933"/>
      <c r="AB23" s="933"/>
      <c r="AC23" s="487"/>
      <c r="AD23" s="487"/>
      <c r="AE23" s="487"/>
      <c r="AF23" s="487"/>
      <c r="AG23" s="487"/>
      <c r="AH23" s="487"/>
      <c r="AI23" s="487"/>
    </row>
    <row r="24" spans="2:35" ht="15" thickBot="1">
      <c r="B24" s="93"/>
      <c r="C24" s="93"/>
      <c r="D24" s="163" t="s">
        <v>520</v>
      </c>
      <c r="E24" s="164"/>
      <c r="F24" s="164"/>
      <c r="G24" s="164"/>
      <c r="H24" s="1417">
        <f>H22/H23*1.75</f>
        <v>0.10909090909090909</v>
      </c>
      <c r="I24" s="1418"/>
      <c r="J24" s="585" t="s">
        <v>443</v>
      </c>
      <c r="K24" s="94"/>
      <c r="L24" s="94"/>
      <c r="M24" s="94"/>
      <c r="N24" s="108"/>
      <c r="S24" s="94"/>
      <c r="T24" s="94"/>
      <c r="U24" s="94"/>
      <c r="V24" s="108"/>
      <c r="AA24" s="933"/>
      <c r="AB24" s="933"/>
      <c r="AC24" s="487"/>
      <c r="AD24" s="487"/>
      <c r="AE24" s="487"/>
      <c r="AF24" s="487"/>
      <c r="AG24" s="487"/>
      <c r="AH24" s="487"/>
      <c r="AI24" s="487"/>
    </row>
    <row r="25" spans="2:35">
      <c r="B25" s="93"/>
      <c r="C25" s="93"/>
      <c r="D25" s="585" t="s">
        <v>180</v>
      </c>
      <c r="E25" s="94"/>
      <c r="F25" s="94"/>
      <c r="G25" s="94"/>
      <c r="H25" s="94"/>
      <c r="I25" s="97"/>
      <c r="J25" s="94"/>
      <c r="K25" s="94"/>
      <c r="L25" s="94"/>
      <c r="M25" s="94"/>
      <c r="N25" s="108"/>
      <c r="S25" s="94"/>
      <c r="V25" s="108"/>
      <c r="AA25" s="487"/>
      <c r="AB25" s="487"/>
      <c r="AC25" s="487"/>
      <c r="AD25" s="487"/>
      <c r="AE25" s="487"/>
      <c r="AF25" s="487"/>
      <c r="AG25" s="487"/>
      <c r="AH25" s="487"/>
      <c r="AI25" s="487"/>
    </row>
    <row r="26" spans="2:35" ht="15" thickBot="1">
      <c r="B26" s="93"/>
      <c r="C26" s="118"/>
      <c r="D26" s="584" t="s">
        <v>445</v>
      </c>
      <c r="E26" s="111"/>
      <c r="F26" s="111"/>
      <c r="G26" s="111"/>
      <c r="H26" s="111"/>
      <c r="I26" s="119"/>
      <c r="J26" s="111"/>
      <c r="K26" s="111"/>
      <c r="L26" s="111"/>
      <c r="M26" s="111"/>
      <c r="N26" s="112"/>
      <c r="P26" s="94"/>
      <c r="S26" s="94"/>
      <c r="V26" s="108"/>
      <c r="AA26" s="487"/>
      <c r="AB26" s="487"/>
      <c r="AC26" s="487"/>
      <c r="AD26" s="487"/>
      <c r="AE26" s="487"/>
      <c r="AF26" s="487"/>
      <c r="AG26" s="487"/>
      <c r="AH26" s="487"/>
      <c r="AI26" s="487"/>
    </row>
    <row r="27" spans="2:35">
      <c r="B27" s="93"/>
      <c r="C27" s="94"/>
      <c r="K27" s="94"/>
      <c r="L27" s="94"/>
      <c r="M27" s="94"/>
      <c r="N27" s="94"/>
      <c r="O27" s="94"/>
      <c r="P27" s="94"/>
      <c r="Q27" s="94"/>
      <c r="R27" s="94"/>
      <c r="S27" s="94"/>
      <c r="V27" s="108"/>
      <c r="AA27" s="487"/>
      <c r="AB27" s="487"/>
      <c r="AC27" s="487"/>
      <c r="AD27" s="487"/>
      <c r="AE27" s="487"/>
      <c r="AF27" s="487"/>
      <c r="AG27" s="487"/>
      <c r="AH27" s="487"/>
      <c r="AI27" s="487"/>
    </row>
    <row r="28" spans="2:35" ht="15" thickBot="1">
      <c r="B28" s="93"/>
      <c r="C28" s="172" t="s">
        <v>446</v>
      </c>
      <c r="K28" s="94"/>
      <c r="L28" s="94"/>
      <c r="M28" s="94"/>
      <c r="N28" s="94"/>
      <c r="O28" s="94"/>
      <c r="P28" s="94"/>
      <c r="Q28" s="94"/>
      <c r="R28" s="94"/>
      <c r="S28" s="94"/>
      <c r="V28" s="108"/>
      <c r="AA28" s="487"/>
      <c r="AB28" s="487"/>
      <c r="AC28" s="487"/>
      <c r="AD28" s="487"/>
      <c r="AE28" s="487"/>
      <c r="AF28" s="487"/>
      <c r="AG28" s="487"/>
      <c r="AH28" s="487"/>
      <c r="AI28" s="487"/>
    </row>
    <row r="29" spans="2:35" ht="15" thickBot="1">
      <c r="B29" s="93"/>
      <c r="C29" s="90"/>
      <c r="D29" s="91"/>
      <c r="E29" s="91"/>
      <c r="F29" s="91"/>
      <c r="G29" s="91"/>
      <c r="H29" s="91"/>
      <c r="I29" s="91"/>
      <c r="J29" s="91"/>
      <c r="K29" s="91"/>
      <c r="L29" s="91"/>
      <c r="M29" s="91"/>
      <c r="N29" s="107"/>
      <c r="O29" s="94"/>
      <c r="P29" s="94"/>
      <c r="Q29" s="94"/>
      <c r="R29" s="94"/>
      <c r="S29" s="94"/>
      <c r="V29" s="108"/>
      <c r="AA29" s="487"/>
      <c r="AB29" s="487"/>
      <c r="AC29" s="487"/>
      <c r="AD29" s="487"/>
      <c r="AE29" s="487"/>
      <c r="AF29" s="487"/>
      <c r="AG29" s="487"/>
      <c r="AH29" s="487"/>
      <c r="AI29" s="487"/>
    </row>
    <row r="30" spans="2:35" ht="15" thickBot="1">
      <c r="B30" s="93"/>
      <c r="C30" s="93"/>
      <c r="D30" s="165" t="s">
        <v>185</v>
      </c>
      <c r="E30" s="166"/>
      <c r="F30" s="166"/>
      <c r="G30" s="167"/>
      <c r="H30" s="166"/>
      <c r="I30" s="168"/>
      <c r="J30" s="772">
        <v>0.6</v>
      </c>
      <c r="K30" s="94" t="s">
        <v>182</v>
      </c>
      <c r="L30" s="1416"/>
      <c r="M30" s="1416"/>
      <c r="N30" s="108"/>
      <c r="O30" s="94"/>
      <c r="P30" s="94"/>
      <c r="Q30" s="94"/>
      <c r="R30" s="94"/>
      <c r="S30" s="94"/>
      <c r="V30" s="108"/>
      <c r="AA30" s="487"/>
      <c r="AB30" s="487"/>
      <c r="AC30" s="487"/>
      <c r="AD30" s="487"/>
      <c r="AE30" s="487"/>
      <c r="AF30" s="487"/>
      <c r="AG30" s="487"/>
      <c r="AH30" s="487"/>
      <c r="AI30" s="487"/>
    </row>
    <row r="31" spans="2:35" ht="15" thickBot="1">
      <c r="B31" s="93"/>
      <c r="C31" s="93"/>
      <c r="D31" s="94"/>
      <c r="E31" s="94"/>
      <c r="F31" s="94"/>
      <c r="G31" s="94"/>
      <c r="H31" s="94"/>
      <c r="I31" s="97"/>
      <c r="J31" s="94"/>
      <c r="K31" s="94"/>
      <c r="L31" s="1416"/>
      <c r="M31" s="1416"/>
      <c r="N31" s="108"/>
      <c r="O31" s="94"/>
      <c r="P31" s="94"/>
      <c r="Q31" s="94"/>
      <c r="R31" s="94"/>
      <c r="S31" s="94"/>
      <c r="V31" s="108"/>
      <c r="AA31" s="487"/>
      <c r="AB31" s="487"/>
      <c r="AC31" s="487"/>
      <c r="AD31" s="487"/>
      <c r="AE31" s="487"/>
      <c r="AF31" s="487"/>
      <c r="AG31" s="487"/>
      <c r="AH31" s="487"/>
      <c r="AI31" s="487"/>
    </row>
    <row r="32" spans="2:35">
      <c r="B32" s="93"/>
      <c r="C32" s="93"/>
      <c r="D32" s="155" t="s">
        <v>179</v>
      </c>
      <c r="E32" s="542">
        <f>E33*J30</f>
        <v>0.43680068419741785</v>
      </c>
      <c r="F32" s="157" t="s">
        <v>106</v>
      </c>
      <c r="G32" s="94"/>
      <c r="H32" s="94"/>
      <c r="I32" s="97"/>
      <c r="J32" s="94"/>
      <c r="K32" s="94"/>
      <c r="L32" s="1416"/>
      <c r="M32" s="1416"/>
      <c r="N32" s="108"/>
      <c r="O32" s="94"/>
      <c r="P32" s="94"/>
      <c r="Q32" s="94"/>
      <c r="R32" s="94"/>
      <c r="S32" s="94"/>
      <c r="V32" s="108"/>
      <c r="AA32" s="487"/>
      <c r="AB32" s="487"/>
      <c r="AC32" s="487"/>
      <c r="AD32" s="487"/>
      <c r="AE32" s="487"/>
      <c r="AF32" s="487"/>
      <c r="AG32" s="487"/>
      <c r="AH32" s="487"/>
      <c r="AI32" s="487"/>
    </row>
    <row r="33" spans="1:35" ht="15" thickBot="1">
      <c r="B33" s="93"/>
      <c r="C33" s="93"/>
      <c r="D33" s="169" t="s">
        <v>20</v>
      </c>
      <c r="E33" s="543">
        <f>((4*H24)/((J30^2)*PI()))^(1/3)</f>
        <v>0.72800114032902974</v>
      </c>
      <c r="F33" s="170" t="s">
        <v>106</v>
      </c>
      <c r="G33" s="94"/>
      <c r="H33" s="94"/>
      <c r="I33" s="97"/>
      <c r="J33" s="94"/>
      <c r="K33" s="94"/>
      <c r="L33" s="1416"/>
      <c r="M33" s="1416"/>
      <c r="N33" s="108"/>
      <c r="O33" s="94"/>
      <c r="P33" s="94"/>
      <c r="Q33" s="94"/>
      <c r="R33" s="94"/>
      <c r="S33" s="94"/>
      <c r="V33" s="108"/>
      <c r="AA33" s="487"/>
      <c r="AB33" s="487"/>
      <c r="AC33" s="487"/>
      <c r="AD33" s="487"/>
      <c r="AE33" s="487"/>
      <c r="AF33" s="487"/>
      <c r="AG33" s="487"/>
      <c r="AH33" s="487"/>
      <c r="AI33" s="487"/>
    </row>
    <row r="34" spans="1:35" ht="15" thickBot="1">
      <c r="B34" s="93"/>
      <c r="C34" s="118"/>
      <c r="D34" s="111"/>
      <c r="E34" s="111"/>
      <c r="F34" s="111"/>
      <c r="G34" s="111"/>
      <c r="H34" s="111"/>
      <c r="I34" s="119"/>
      <c r="J34" s="111"/>
      <c r="K34" s="111"/>
      <c r="L34" s="111"/>
      <c r="M34" s="111"/>
      <c r="N34" s="112"/>
      <c r="O34" s="94"/>
      <c r="P34" s="94"/>
      <c r="Q34" s="94"/>
      <c r="R34" s="94"/>
      <c r="S34" s="94"/>
      <c r="V34" s="108"/>
      <c r="AA34" s="487"/>
      <c r="AB34" s="487"/>
      <c r="AC34" s="487"/>
      <c r="AD34" s="487"/>
      <c r="AE34" s="487"/>
      <c r="AF34" s="487"/>
      <c r="AG34" s="487"/>
      <c r="AH34" s="487"/>
      <c r="AI34" s="487"/>
    </row>
    <row r="35" spans="1:35">
      <c r="B35" s="93"/>
      <c r="C35" s="585" t="s">
        <v>444</v>
      </c>
      <c r="D35" s="94"/>
      <c r="E35" s="94"/>
      <c r="F35" s="94"/>
      <c r="G35" s="94"/>
      <c r="H35" s="94"/>
      <c r="I35" s="94"/>
      <c r="J35" s="94"/>
      <c r="K35" s="94"/>
      <c r="L35" s="94"/>
      <c r="M35" s="94"/>
      <c r="N35" s="94"/>
      <c r="O35" s="94"/>
      <c r="P35" s="94"/>
      <c r="Q35" s="94"/>
      <c r="R35" s="94"/>
      <c r="S35" s="94"/>
      <c r="V35" s="108"/>
      <c r="AA35" s="487"/>
      <c r="AB35" s="487"/>
      <c r="AC35" s="487"/>
      <c r="AD35" s="487"/>
      <c r="AE35" s="487"/>
      <c r="AF35" s="487"/>
      <c r="AG35" s="487"/>
      <c r="AH35" s="487"/>
      <c r="AI35" s="487"/>
    </row>
    <row r="36" spans="1:35">
      <c r="B36" s="93"/>
      <c r="C36" s="94"/>
      <c r="D36" s="94"/>
      <c r="E36" s="94"/>
      <c r="F36" s="94"/>
      <c r="G36" s="94"/>
      <c r="H36" s="94"/>
      <c r="I36" s="94"/>
      <c r="J36" s="94"/>
      <c r="K36" s="94"/>
      <c r="L36" s="94"/>
      <c r="M36" s="94"/>
      <c r="N36" s="94"/>
      <c r="O36" s="94"/>
      <c r="P36" s="94"/>
      <c r="Q36" s="94"/>
      <c r="R36" s="94"/>
      <c r="S36" s="94"/>
      <c r="V36" s="108"/>
      <c r="AA36" s="487"/>
      <c r="AB36" s="487"/>
      <c r="AC36" s="487"/>
      <c r="AD36" s="487"/>
      <c r="AE36" s="487"/>
      <c r="AF36" s="487"/>
      <c r="AG36" s="487"/>
      <c r="AH36" s="487"/>
      <c r="AI36" s="487"/>
    </row>
    <row r="37" spans="1:35" ht="15" thickBot="1">
      <c r="B37" s="118"/>
      <c r="C37" s="111"/>
      <c r="D37" s="111"/>
      <c r="E37" s="111"/>
      <c r="F37" s="111"/>
      <c r="G37" s="111"/>
      <c r="H37" s="111"/>
      <c r="I37" s="111"/>
      <c r="J37" s="111"/>
      <c r="K37" s="111"/>
      <c r="L37" s="111"/>
      <c r="M37" s="111"/>
      <c r="N37" s="111"/>
      <c r="O37" s="111"/>
      <c r="P37" s="119"/>
      <c r="Q37" s="111"/>
      <c r="R37" s="111"/>
      <c r="S37" s="111"/>
      <c r="T37" s="111"/>
      <c r="U37" s="111"/>
      <c r="V37" s="112"/>
      <c r="AA37" s="487"/>
      <c r="AB37" s="487"/>
      <c r="AC37" s="487"/>
      <c r="AD37" s="487"/>
      <c r="AE37" s="487"/>
      <c r="AF37" s="487"/>
      <c r="AG37" s="487"/>
      <c r="AH37" s="487"/>
      <c r="AI37" s="487"/>
    </row>
    <row r="38" spans="1:35">
      <c r="A38" s="203"/>
      <c r="B38" s="203"/>
      <c r="C38" s="203"/>
      <c r="D38" s="203"/>
      <c r="E38" s="203"/>
      <c r="F38" s="203"/>
      <c r="G38" s="203"/>
      <c r="H38" s="203"/>
      <c r="I38" s="203"/>
      <c r="J38" s="203"/>
      <c r="K38" s="203"/>
      <c r="L38" s="203"/>
      <c r="M38" s="203"/>
      <c r="N38" s="203"/>
      <c r="O38" s="203"/>
      <c r="P38" s="203"/>
      <c r="Q38" s="203"/>
      <c r="R38" s="203"/>
      <c r="S38" s="203"/>
      <c r="T38" s="203"/>
      <c r="U38" s="203"/>
      <c r="V38" s="203"/>
      <c r="W38" s="203"/>
      <c r="AA38" s="487"/>
      <c r="AB38" s="487"/>
      <c r="AC38" s="487"/>
      <c r="AD38" s="487"/>
      <c r="AE38" s="487"/>
      <c r="AF38" s="487"/>
      <c r="AG38" s="487"/>
      <c r="AH38" s="487"/>
      <c r="AI38" s="487"/>
    </row>
    <row r="39" spans="1:35">
      <c r="A39" s="203"/>
      <c r="B39" s="203"/>
      <c r="C39" s="203"/>
      <c r="D39" s="203"/>
      <c r="E39" s="203"/>
      <c r="F39" s="203"/>
      <c r="G39" s="203"/>
      <c r="H39" s="203"/>
      <c r="I39" s="203"/>
      <c r="J39" s="203"/>
      <c r="K39" s="203"/>
      <c r="L39" s="203"/>
      <c r="M39" s="203"/>
      <c r="N39" s="203"/>
      <c r="O39" s="203"/>
      <c r="P39" s="203"/>
      <c r="Q39" s="203"/>
      <c r="R39" s="203"/>
      <c r="S39" s="203"/>
      <c r="T39" s="203"/>
      <c r="U39" s="203"/>
      <c r="V39" s="203"/>
      <c r="W39" s="203"/>
      <c r="AA39" s="487"/>
      <c r="AB39" s="487"/>
      <c r="AC39" s="487"/>
      <c r="AD39" s="487"/>
      <c r="AE39" s="487"/>
      <c r="AF39" s="487"/>
      <c r="AG39" s="487"/>
      <c r="AH39" s="487"/>
      <c r="AI39" s="487"/>
    </row>
    <row r="40" spans="1:35">
      <c r="A40" s="203"/>
      <c r="B40" s="203"/>
      <c r="C40" s="203"/>
      <c r="D40" s="203"/>
      <c r="E40" s="203"/>
      <c r="F40" s="203"/>
      <c r="G40" s="203"/>
      <c r="H40" s="203"/>
      <c r="I40" s="203"/>
      <c r="J40" s="203"/>
      <c r="K40" s="203"/>
      <c r="L40" s="203"/>
      <c r="M40" s="203"/>
      <c r="N40" s="203"/>
      <c r="O40" s="203"/>
      <c r="P40" s="203"/>
      <c r="Q40" s="203"/>
      <c r="R40" s="203"/>
      <c r="S40" s="203"/>
      <c r="T40" s="203"/>
      <c r="U40" s="203"/>
      <c r="V40" s="203"/>
      <c r="W40" s="203"/>
      <c r="AA40" s="487"/>
      <c r="AB40" s="487"/>
      <c r="AC40" s="487"/>
      <c r="AD40" s="487"/>
      <c r="AE40" s="487"/>
      <c r="AF40" s="487"/>
      <c r="AG40" s="487"/>
      <c r="AH40" s="487"/>
      <c r="AI40" s="487"/>
    </row>
    <row r="41" spans="1:35">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AA41" s="487"/>
      <c r="AB41" s="487"/>
      <c r="AC41" s="487"/>
      <c r="AD41" s="487"/>
      <c r="AE41" s="487"/>
      <c r="AF41" s="487"/>
      <c r="AG41" s="487"/>
      <c r="AH41" s="487"/>
      <c r="AI41" s="487"/>
    </row>
    <row r="42" spans="1:3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AA42" s="487"/>
      <c r="AB42" s="487"/>
      <c r="AC42" s="487"/>
      <c r="AD42" s="487"/>
      <c r="AE42" s="487"/>
      <c r="AF42" s="487"/>
      <c r="AG42" s="487"/>
      <c r="AH42" s="487"/>
      <c r="AI42" s="487"/>
    </row>
    <row r="43" spans="1:35">
      <c r="A43" s="203"/>
      <c r="B43" s="203"/>
      <c r="C43" s="203"/>
      <c r="D43" s="203"/>
      <c r="E43" s="203"/>
      <c r="F43" s="203"/>
      <c r="G43" s="203"/>
      <c r="H43" s="203"/>
      <c r="I43" s="203"/>
      <c r="J43" s="203"/>
      <c r="K43" s="203"/>
      <c r="L43" s="203"/>
      <c r="M43" s="203"/>
      <c r="N43" s="203"/>
      <c r="O43" s="203"/>
      <c r="P43" s="203"/>
      <c r="Q43" s="203"/>
      <c r="R43" s="203"/>
      <c r="S43" s="203"/>
      <c r="T43" s="203"/>
      <c r="U43" s="203"/>
      <c r="V43" s="203"/>
      <c r="W43" s="203"/>
      <c r="AA43" s="487"/>
      <c r="AB43" s="487"/>
      <c r="AC43" s="487"/>
      <c r="AD43" s="487"/>
      <c r="AE43" s="487"/>
      <c r="AF43" s="487"/>
      <c r="AG43" s="487"/>
      <c r="AH43" s="487"/>
      <c r="AI43" s="487"/>
    </row>
    <row r="44" spans="1:35">
      <c r="A44" s="203"/>
      <c r="B44" s="203"/>
      <c r="C44" s="203"/>
      <c r="D44" s="203"/>
      <c r="E44" s="203"/>
      <c r="F44" s="203"/>
      <c r="G44" s="203"/>
      <c r="H44" s="203"/>
      <c r="I44" s="203"/>
      <c r="J44" s="203"/>
      <c r="K44" s="203"/>
      <c r="L44" s="203"/>
      <c r="M44" s="203"/>
      <c r="N44" s="203"/>
      <c r="O44" s="203"/>
      <c r="P44" s="203"/>
      <c r="Q44" s="203"/>
      <c r="R44" s="203"/>
      <c r="S44" s="203"/>
      <c r="T44" s="203"/>
      <c r="U44" s="203"/>
      <c r="V44" s="203"/>
      <c r="W44" s="203"/>
      <c r="AA44" s="487"/>
      <c r="AB44" s="487"/>
      <c r="AC44" s="487"/>
      <c r="AD44" s="487"/>
      <c r="AE44" s="487"/>
      <c r="AF44" s="487"/>
      <c r="AG44" s="487"/>
      <c r="AH44" s="487"/>
      <c r="AI44" s="487"/>
    </row>
    <row r="45" spans="1:35">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AA45" s="487"/>
      <c r="AB45" s="487"/>
      <c r="AC45" s="487"/>
      <c r="AD45" s="487"/>
      <c r="AE45" s="487"/>
      <c r="AF45" s="487"/>
      <c r="AG45" s="487"/>
      <c r="AH45" s="487"/>
      <c r="AI45" s="487"/>
    </row>
    <row r="46" spans="1:35">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AA46" s="487"/>
      <c r="AB46" s="487"/>
      <c r="AC46" s="487"/>
      <c r="AD46" s="487"/>
      <c r="AE46" s="487"/>
      <c r="AF46" s="487"/>
      <c r="AG46" s="487"/>
      <c r="AH46" s="487"/>
      <c r="AI46" s="487"/>
    </row>
    <row r="47" spans="1:35">
      <c r="A47" s="203"/>
      <c r="B47" s="203"/>
      <c r="C47" s="203"/>
      <c r="D47" s="203"/>
      <c r="E47" s="203"/>
      <c r="F47" s="203"/>
      <c r="G47" s="203"/>
      <c r="H47" s="203"/>
      <c r="I47" s="203"/>
      <c r="J47" s="203"/>
      <c r="K47" s="203"/>
      <c r="L47" s="203"/>
      <c r="M47" s="203"/>
      <c r="N47" s="203"/>
      <c r="O47" s="203"/>
      <c r="P47" s="203"/>
      <c r="Q47" s="203"/>
      <c r="R47" s="203"/>
      <c r="S47" s="203"/>
      <c r="T47" s="203"/>
      <c r="U47" s="203"/>
      <c r="V47" s="203"/>
      <c r="W47" s="203"/>
      <c r="AA47" s="487"/>
      <c r="AB47" s="487"/>
      <c r="AC47" s="487"/>
      <c r="AD47" s="487"/>
      <c r="AE47" s="487"/>
      <c r="AF47" s="487"/>
      <c r="AG47" s="487"/>
      <c r="AH47" s="487"/>
      <c r="AI47" s="487"/>
    </row>
    <row r="48" spans="1:35">
      <c r="A48" s="203"/>
      <c r="B48" s="203"/>
      <c r="C48" s="203"/>
      <c r="D48" s="351"/>
      <c r="E48" s="203"/>
      <c r="F48" s="203"/>
      <c r="G48" s="203"/>
      <c r="H48" s="203"/>
      <c r="I48" s="203"/>
      <c r="J48" s="203"/>
      <c r="K48" s="203"/>
      <c r="L48" s="203"/>
      <c r="M48" s="203"/>
      <c r="N48" s="203"/>
      <c r="O48" s="203"/>
      <c r="P48" s="203"/>
      <c r="Q48" s="203"/>
      <c r="R48" s="203"/>
      <c r="S48" s="203"/>
      <c r="T48" s="203"/>
      <c r="U48" s="203"/>
      <c r="V48" s="203"/>
      <c r="W48" s="203"/>
      <c r="AA48" s="487"/>
      <c r="AB48" s="487"/>
      <c r="AC48" s="487"/>
      <c r="AD48" s="487"/>
      <c r="AE48" s="487"/>
      <c r="AF48" s="487"/>
      <c r="AG48" s="487"/>
      <c r="AH48" s="487"/>
      <c r="AI48" s="487"/>
    </row>
    <row r="49" spans="1:35">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AA49" s="487"/>
      <c r="AB49" s="487"/>
      <c r="AC49" s="487"/>
      <c r="AD49" s="487"/>
      <c r="AE49" s="487"/>
      <c r="AF49" s="487"/>
      <c r="AG49" s="487"/>
      <c r="AH49" s="487"/>
      <c r="AI49" s="487"/>
    </row>
    <row r="50" spans="1:35">
      <c r="A50" s="203"/>
      <c r="B50" s="203"/>
      <c r="C50" s="203"/>
      <c r="D50" s="203"/>
      <c r="E50" s="203"/>
      <c r="F50" s="203"/>
      <c r="G50" s="203"/>
      <c r="H50" s="203"/>
      <c r="I50" s="203"/>
      <c r="J50" s="203"/>
      <c r="K50" s="203"/>
      <c r="L50" s="203"/>
      <c r="M50" s="203"/>
      <c r="N50" s="203"/>
      <c r="O50" s="203"/>
      <c r="P50" s="203"/>
      <c r="Q50" s="203"/>
      <c r="R50" s="203"/>
      <c r="S50" s="203"/>
      <c r="T50" s="203"/>
      <c r="U50" s="203"/>
      <c r="V50" s="203"/>
      <c r="W50" s="203"/>
      <c r="AA50" s="487"/>
      <c r="AB50" s="487"/>
      <c r="AC50" s="487"/>
      <c r="AD50" s="487"/>
      <c r="AE50" s="487"/>
      <c r="AF50" s="487"/>
      <c r="AG50" s="487"/>
      <c r="AH50" s="487"/>
      <c r="AI50" s="487"/>
    </row>
    <row r="51" spans="1:35">
      <c r="A51" s="203"/>
      <c r="B51" s="203"/>
      <c r="C51" s="203"/>
      <c r="D51" s="203"/>
      <c r="E51" s="203"/>
      <c r="F51" s="203"/>
      <c r="G51" s="203"/>
      <c r="H51" s="203"/>
      <c r="I51" s="203"/>
      <c r="J51" s="203"/>
      <c r="K51" s="203"/>
      <c r="L51" s="203"/>
      <c r="M51" s="203"/>
      <c r="N51" s="203"/>
      <c r="O51" s="203"/>
      <c r="P51" s="203"/>
      <c r="Q51" s="203"/>
      <c r="R51" s="203"/>
      <c r="S51" s="203"/>
      <c r="T51" s="203"/>
      <c r="U51" s="203"/>
      <c r="V51" s="203"/>
      <c r="W51" s="203"/>
      <c r="AA51" s="487"/>
      <c r="AB51" s="487"/>
      <c r="AC51" s="487"/>
      <c r="AD51" s="487"/>
      <c r="AE51" s="487"/>
      <c r="AF51" s="487"/>
      <c r="AG51" s="487"/>
      <c r="AH51" s="487"/>
      <c r="AI51" s="487"/>
    </row>
    <row r="52" spans="1:35">
      <c r="A52" s="203"/>
      <c r="B52" s="203"/>
      <c r="C52" s="203"/>
      <c r="D52" s="203"/>
      <c r="E52" s="203"/>
      <c r="F52" s="203"/>
      <c r="G52" s="203"/>
      <c r="H52" s="203"/>
      <c r="I52" s="203"/>
      <c r="J52" s="203"/>
      <c r="K52" s="203"/>
      <c r="L52" s="203"/>
      <c r="M52" s="203"/>
      <c r="N52" s="203"/>
      <c r="O52" s="203"/>
      <c r="P52" s="203"/>
      <c r="Q52" s="203"/>
      <c r="R52" s="203"/>
      <c r="S52" s="203"/>
      <c r="T52" s="203"/>
      <c r="U52" s="203"/>
      <c r="V52" s="203"/>
      <c r="W52" s="203"/>
      <c r="AA52" s="487"/>
      <c r="AB52" s="487"/>
      <c r="AC52" s="487"/>
      <c r="AD52" s="487"/>
      <c r="AE52" s="487"/>
      <c r="AF52" s="487"/>
      <c r="AG52" s="487"/>
      <c r="AH52" s="487"/>
      <c r="AI52" s="487"/>
    </row>
    <row r="53" spans="1:35">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AA53" s="487"/>
      <c r="AB53" s="487"/>
      <c r="AC53" s="487"/>
      <c r="AD53" s="487"/>
      <c r="AE53" s="487"/>
      <c r="AF53" s="487"/>
      <c r="AG53" s="487"/>
      <c r="AH53" s="487"/>
      <c r="AI53" s="487"/>
    </row>
    <row r="54" spans="1:35" s="202" customFormat="1">
      <c r="A54" s="203"/>
      <c r="B54" s="203"/>
      <c r="C54" s="203"/>
      <c r="D54" s="203"/>
      <c r="E54" s="203"/>
      <c r="F54" s="203"/>
      <c r="G54" s="203"/>
      <c r="H54" s="203"/>
      <c r="I54" s="203"/>
      <c r="J54" s="203"/>
      <c r="K54" s="203"/>
      <c r="L54" s="203"/>
      <c r="M54" s="203"/>
      <c r="N54" s="203"/>
      <c r="O54" s="203"/>
      <c r="P54" s="203"/>
      <c r="Q54" s="203"/>
      <c r="R54" s="203"/>
      <c r="S54" s="203"/>
      <c r="T54" s="203"/>
      <c r="U54" s="203"/>
      <c r="V54" s="203"/>
      <c r="W54" s="203"/>
    </row>
    <row r="55" spans="1:35" s="202" customFormat="1">
      <c r="A55" s="203"/>
      <c r="B55" s="203"/>
      <c r="C55" s="203"/>
      <c r="D55" s="203"/>
      <c r="E55" s="203"/>
      <c r="F55" s="203"/>
      <c r="G55" s="203"/>
      <c r="H55" s="203"/>
      <c r="I55" s="203"/>
      <c r="J55" s="203"/>
      <c r="K55" s="203"/>
      <c r="L55" s="203"/>
      <c r="M55" s="203"/>
      <c r="N55" s="203"/>
      <c r="O55" s="203"/>
      <c r="P55" s="203"/>
      <c r="Q55" s="203"/>
      <c r="R55" s="203"/>
      <c r="S55" s="203"/>
      <c r="T55" s="203"/>
      <c r="U55" s="203"/>
      <c r="V55" s="203"/>
      <c r="W55" s="203"/>
    </row>
    <row r="56" spans="1:35" s="202" customFormat="1">
      <c r="A56" s="203"/>
      <c r="B56" s="203"/>
      <c r="C56" s="203"/>
      <c r="D56" s="203"/>
      <c r="E56" s="203"/>
      <c r="F56" s="203"/>
      <c r="G56" s="203"/>
      <c r="H56" s="203"/>
      <c r="I56" s="203"/>
      <c r="J56" s="203"/>
      <c r="K56" s="203"/>
      <c r="L56" s="203"/>
      <c r="M56" s="203"/>
      <c r="N56" s="203"/>
      <c r="O56" s="203"/>
      <c r="P56" s="203"/>
      <c r="Q56" s="203"/>
      <c r="R56" s="203"/>
      <c r="S56" s="203"/>
      <c r="T56" s="203"/>
      <c r="U56" s="203"/>
      <c r="V56" s="203"/>
      <c r="W56" s="203"/>
    </row>
    <row r="57" spans="1:35" s="202" customFormat="1">
      <c r="A57" s="203"/>
      <c r="B57" s="203"/>
      <c r="C57" s="203"/>
      <c r="D57" s="203"/>
      <c r="E57" s="203"/>
      <c r="F57" s="203"/>
      <c r="G57" s="203"/>
      <c r="H57" s="203"/>
      <c r="I57" s="203"/>
      <c r="J57" s="203"/>
      <c r="K57" s="203"/>
      <c r="L57" s="203"/>
      <c r="M57" s="203"/>
      <c r="N57" s="203"/>
      <c r="O57" s="203"/>
      <c r="P57" s="203"/>
      <c r="Q57" s="203"/>
      <c r="R57" s="203"/>
      <c r="S57" s="203"/>
      <c r="T57" s="203"/>
      <c r="U57" s="203"/>
      <c r="V57" s="203"/>
      <c r="W57" s="203"/>
    </row>
    <row r="58" spans="1:35" s="202" customFormat="1">
      <c r="A58" s="203"/>
      <c r="B58" s="203"/>
      <c r="C58" s="203"/>
      <c r="D58" s="203"/>
      <c r="E58" s="203"/>
      <c r="F58" s="203"/>
      <c r="G58" s="203"/>
      <c r="H58" s="203"/>
      <c r="I58" s="203"/>
      <c r="J58" s="203"/>
      <c r="K58" s="203"/>
      <c r="L58" s="203"/>
      <c r="M58" s="203"/>
      <c r="N58" s="203"/>
      <c r="O58" s="203"/>
      <c r="P58" s="97"/>
      <c r="Q58" s="203"/>
      <c r="R58" s="203"/>
      <c r="S58" s="203"/>
      <c r="T58" s="203"/>
      <c r="U58" s="203"/>
      <c r="V58" s="203"/>
      <c r="W58" s="203"/>
    </row>
    <row r="59" spans="1:35" s="202" customFormat="1" hidden="1">
      <c r="A59" s="203"/>
      <c r="B59" s="97"/>
      <c r="C59" s="97"/>
      <c r="D59" s="97"/>
      <c r="E59" s="97"/>
      <c r="F59" s="97"/>
      <c r="G59" s="97"/>
      <c r="H59" s="97"/>
      <c r="I59" s="97"/>
      <c r="J59" s="97"/>
      <c r="K59" s="97"/>
      <c r="L59" s="97"/>
      <c r="M59" s="97"/>
      <c r="N59" s="97"/>
      <c r="O59" s="97"/>
      <c r="P59" s="97"/>
      <c r="Q59" s="97"/>
      <c r="R59" s="97"/>
      <c r="S59" s="97"/>
      <c r="T59" s="97"/>
      <c r="U59" s="97"/>
      <c r="V59" s="97"/>
      <c r="W59" s="211"/>
      <c r="X59" s="210"/>
    </row>
    <row r="60" spans="1:35" s="202" customFormat="1" hidden="1">
      <c r="A60" s="203"/>
      <c r="B60" s="97"/>
      <c r="C60" s="97" t="s">
        <v>420</v>
      </c>
      <c r="D60" s="97"/>
      <c r="E60" s="97"/>
      <c r="F60" s="97"/>
      <c r="G60" s="97"/>
      <c r="H60" s="97"/>
      <c r="I60" s="97"/>
      <c r="J60" s="97"/>
      <c r="K60" s="97"/>
      <c r="L60" s="97"/>
      <c r="M60" s="97"/>
      <c r="N60" s="97"/>
      <c r="O60" s="97"/>
      <c r="P60" s="97"/>
      <c r="Q60" s="97"/>
      <c r="R60" s="97"/>
      <c r="S60" s="97"/>
      <c r="T60" s="97"/>
      <c r="U60" s="97"/>
      <c r="V60" s="97"/>
      <c r="W60" s="211"/>
      <c r="X60" s="210"/>
    </row>
    <row r="61" spans="1:35" s="202" customFormat="1" hidden="1">
      <c r="A61" s="203"/>
      <c r="B61" s="97"/>
      <c r="C61" s="97"/>
      <c r="D61" s="97"/>
      <c r="E61" s="97"/>
      <c r="F61" s="97"/>
      <c r="G61" s="97"/>
      <c r="H61" s="97"/>
      <c r="I61" s="97"/>
      <c r="J61" s="97"/>
      <c r="K61" s="97"/>
      <c r="L61" s="97"/>
      <c r="M61" s="97"/>
      <c r="N61" s="97"/>
      <c r="O61" s="97"/>
      <c r="P61" s="97"/>
      <c r="Q61" s="97"/>
      <c r="R61" s="97"/>
      <c r="S61" s="97"/>
      <c r="T61" s="97"/>
      <c r="U61" s="97"/>
      <c r="V61" s="97"/>
      <c r="W61" s="211"/>
      <c r="X61" s="210"/>
    </row>
    <row r="62" spans="1:35" s="202" customFormat="1" hidden="1">
      <c r="A62" s="203"/>
      <c r="B62" s="97"/>
      <c r="C62" s="97" t="s">
        <v>421</v>
      </c>
      <c r="D62" s="97"/>
      <c r="E62" s="97"/>
      <c r="F62" s="97"/>
      <c r="G62" s="97"/>
      <c r="H62" s="97"/>
      <c r="I62" s="97"/>
      <c r="J62" s="97"/>
      <c r="K62" s="97"/>
      <c r="L62" s="97"/>
      <c r="M62" s="97"/>
      <c r="N62" s="97"/>
      <c r="O62" s="417"/>
      <c r="P62" s="97"/>
      <c r="Q62" s="97"/>
      <c r="R62" s="97"/>
      <c r="S62" s="97"/>
      <c r="T62" s="97"/>
      <c r="U62" s="97"/>
      <c r="V62" s="97"/>
      <c r="W62" s="211"/>
      <c r="X62" s="210"/>
    </row>
    <row r="63" spans="1:35" s="202" customFormat="1" hidden="1">
      <c r="A63" s="203"/>
      <c r="B63" s="97"/>
      <c r="C63" s="97"/>
      <c r="D63" s="97"/>
      <c r="E63" s="97"/>
      <c r="F63" s="97"/>
      <c r="G63" s="97"/>
      <c r="H63" s="97"/>
      <c r="I63" s="97"/>
      <c r="J63" s="97"/>
      <c r="K63" s="97"/>
      <c r="L63" s="97"/>
      <c r="M63" s="97"/>
      <c r="N63" s="97"/>
      <c r="O63" s="417"/>
      <c r="P63" s="97"/>
      <c r="Q63" s="97"/>
      <c r="R63" s="97"/>
      <c r="S63" s="97"/>
      <c r="T63" s="97"/>
      <c r="U63" s="97"/>
      <c r="V63" s="97"/>
      <c r="W63" s="211"/>
      <c r="X63" s="210"/>
    </row>
    <row r="64" spans="1:35" s="202" customFormat="1" ht="15" hidden="1" thickBot="1">
      <c r="A64" s="203"/>
      <c r="B64" s="97"/>
      <c r="C64" s="97"/>
      <c r="D64" s="97"/>
      <c r="E64" s="97"/>
      <c r="F64" s="97"/>
      <c r="G64" s="97"/>
      <c r="H64" s="97"/>
      <c r="I64" s="97"/>
      <c r="J64" s="97"/>
      <c r="K64" s="97"/>
      <c r="L64" s="97"/>
      <c r="M64" s="97"/>
      <c r="N64" s="97"/>
      <c r="O64" s="417"/>
      <c r="P64" s="97" t="s">
        <v>556</v>
      </c>
      <c r="Q64" s="97"/>
      <c r="R64" s="97"/>
      <c r="S64" s="97"/>
      <c r="T64" s="97"/>
      <c r="U64" s="97"/>
      <c r="V64" s="97"/>
      <c r="W64" s="211"/>
      <c r="X64" s="210"/>
    </row>
    <row r="65" spans="1:32" hidden="1">
      <c r="A65" s="203"/>
      <c r="B65" s="97"/>
      <c r="C65" s="525" t="s">
        <v>422</v>
      </c>
      <c r="D65" s="123"/>
      <c r="E65" s="123"/>
      <c r="F65" s="123"/>
      <c r="G65" s="92"/>
      <c r="H65" s="97"/>
      <c r="I65" s="525" t="s">
        <v>430</v>
      </c>
      <c r="J65" s="123"/>
      <c r="K65" s="123">
        <f>(F72+F68)*3600/(4.2*M67)</f>
        <v>37402.597402597399</v>
      </c>
      <c r="L65" s="123"/>
      <c r="M65" s="92"/>
      <c r="N65" s="97"/>
      <c r="O65" s="417"/>
      <c r="P65" s="106">
        <f>'Boiler '!K18</f>
        <v>13.287230000000001</v>
      </c>
      <c r="Q65" s="97"/>
      <c r="R65" s="97"/>
      <c r="S65" s="97"/>
      <c r="T65" s="97"/>
      <c r="U65" s="97"/>
      <c r="V65" s="97"/>
      <c r="W65" s="211"/>
      <c r="X65" s="210"/>
      <c r="AA65" s="122"/>
      <c r="AB65" s="122"/>
      <c r="AC65" s="122"/>
      <c r="AD65" s="122"/>
      <c r="AE65" s="122"/>
      <c r="AF65" s="122"/>
    </row>
    <row r="66" spans="1:32" hidden="1">
      <c r="A66" s="203"/>
      <c r="B66" s="97"/>
      <c r="C66" s="526"/>
      <c r="D66" s="97"/>
      <c r="E66" s="97"/>
      <c r="F66" s="97"/>
      <c r="G66" s="96"/>
      <c r="H66" s="97"/>
      <c r="I66" s="526"/>
      <c r="J66" s="97"/>
      <c r="K66" s="97"/>
      <c r="L66" s="97"/>
      <c r="M66" s="96"/>
      <c r="N66" s="97"/>
      <c r="O66" s="417"/>
      <c r="P66" s="97"/>
      <c r="Q66" s="97"/>
      <c r="R66" s="97"/>
      <c r="S66" s="97"/>
      <c r="T66" s="97"/>
      <c r="U66" s="97"/>
      <c r="V66" s="97"/>
      <c r="W66" s="211"/>
      <c r="X66" s="210"/>
      <c r="AA66" s="122"/>
      <c r="AB66" s="122"/>
      <c r="AC66" s="122"/>
    </row>
    <row r="67" spans="1:32" hidden="1">
      <c r="A67" s="203"/>
      <c r="B67" s="97"/>
      <c r="C67" s="526" t="s">
        <v>423</v>
      </c>
      <c r="D67" s="97"/>
      <c r="E67" s="97"/>
      <c r="F67" s="97">
        <f>B90</f>
        <v>20</v>
      </c>
      <c r="G67" s="96"/>
      <c r="H67" s="97"/>
      <c r="I67" s="526" t="s">
        <v>432</v>
      </c>
      <c r="J67" s="97"/>
      <c r="K67" s="97"/>
      <c r="L67" s="97"/>
      <c r="M67" s="96">
        <v>11</v>
      </c>
      <c r="N67" s="97"/>
      <c r="O67" s="417"/>
      <c r="P67" s="97">
        <f>H11/H9</f>
        <v>0.8</v>
      </c>
      <c r="Q67" s="97"/>
      <c r="R67" s="97"/>
      <c r="S67" s="97"/>
      <c r="T67" s="97"/>
      <c r="U67" s="97"/>
      <c r="V67" s="97"/>
      <c r="W67" s="211"/>
      <c r="X67" s="210"/>
      <c r="AA67" s="122"/>
      <c r="AB67" s="122"/>
      <c r="AC67" s="122"/>
    </row>
    <row r="68" spans="1:32" ht="15" hidden="1" thickBot="1">
      <c r="A68" s="203"/>
      <c r="B68" s="97"/>
      <c r="C68" s="527" t="s">
        <v>428</v>
      </c>
      <c r="D68" s="119"/>
      <c r="E68" s="119"/>
      <c r="F68" s="119">
        <f>IF(F67&lt;40,400*0.5,H10*0.7)</f>
        <v>200</v>
      </c>
      <c r="G68" s="121"/>
      <c r="H68" s="97"/>
      <c r="I68" s="527"/>
      <c r="J68" s="119"/>
      <c r="K68" s="119"/>
      <c r="L68" s="119"/>
      <c r="M68" s="121"/>
      <c r="N68" s="97"/>
      <c r="O68" s="417"/>
      <c r="P68" s="97"/>
      <c r="Q68" s="97"/>
      <c r="R68" s="97"/>
      <c r="S68" s="97"/>
      <c r="T68" s="97"/>
      <c r="U68" s="97"/>
      <c r="V68" s="97"/>
      <c r="W68" s="211"/>
      <c r="X68" s="210"/>
      <c r="AA68" s="122"/>
      <c r="AB68" s="122"/>
      <c r="AC68" s="122"/>
    </row>
    <row r="69" spans="1:32" ht="15" hidden="1" thickBot="1">
      <c r="A69" s="203"/>
      <c r="B69" s="97"/>
      <c r="C69" s="97"/>
      <c r="D69" s="97"/>
      <c r="E69" s="97"/>
      <c r="F69" s="97"/>
      <c r="G69" s="97"/>
      <c r="H69" s="97"/>
      <c r="I69" s="97" t="s">
        <v>433</v>
      </c>
      <c r="J69" s="97"/>
      <c r="K69" s="97"/>
      <c r="L69" s="97"/>
      <c r="M69" s="533">
        <f>(F68+F72)/70</f>
        <v>6.8571428571428568</v>
      </c>
      <c r="N69" s="97"/>
      <c r="O69" s="417"/>
      <c r="P69" s="97"/>
      <c r="Q69" s="97"/>
      <c r="R69" s="97"/>
      <c r="S69" s="97"/>
      <c r="T69" s="97"/>
      <c r="U69" s="97"/>
      <c r="V69" s="97"/>
      <c r="W69" s="211"/>
      <c r="X69" s="210"/>
      <c r="AA69" s="122"/>
      <c r="AB69" s="122"/>
      <c r="AC69" s="122"/>
    </row>
    <row r="70" spans="1:32" hidden="1">
      <c r="A70" s="203"/>
      <c r="B70" s="97"/>
      <c r="C70" s="97"/>
      <c r="D70" s="97"/>
      <c r="E70" s="97"/>
      <c r="F70" s="97"/>
      <c r="G70" s="97"/>
      <c r="H70" s="97"/>
      <c r="I70" s="97"/>
      <c r="J70" s="97"/>
      <c r="K70" s="97"/>
      <c r="L70" s="97"/>
      <c r="M70" s="97"/>
      <c r="N70" s="97"/>
      <c r="O70" s="417"/>
      <c r="P70" s="97"/>
      <c r="Q70" s="97"/>
      <c r="R70" s="97"/>
      <c r="S70" s="97"/>
      <c r="T70" s="97"/>
      <c r="U70" s="97"/>
      <c r="V70" s="97"/>
      <c r="W70" s="211"/>
      <c r="X70" s="210"/>
      <c r="AA70" s="122"/>
      <c r="AB70" s="122"/>
      <c r="AC70" s="122"/>
    </row>
    <row r="71" spans="1:32" ht="15" hidden="1" thickBot="1">
      <c r="A71" s="203"/>
      <c r="B71" s="97"/>
      <c r="C71" s="97"/>
      <c r="D71" s="97"/>
      <c r="E71" s="97"/>
      <c r="F71" s="97"/>
      <c r="G71" s="97"/>
      <c r="H71" s="97"/>
      <c r="J71" s="97"/>
      <c r="K71" s="97"/>
      <c r="L71" s="97"/>
      <c r="N71" s="97"/>
      <c r="O71" s="417"/>
      <c r="P71" s="524"/>
      <c r="Q71" s="97"/>
      <c r="R71" s="97"/>
      <c r="S71" s="97"/>
      <c r="T71" s="97"/>
      <c r="U71" s="97"/>
      <c r="V71" s="97"/>
      <c r="W71" s="211"/>
      <c r="X71" s="210"/>
      <c r="AA71" s="122"/>
      <c r="AB71" s="122"/>
      <c r="AC71" s="122"/>
    </row>
    <row r="72" spans="1:32" hidden="1">
      <c r="B72" s="524"/>
      <c r="C72" s="525" t="s">
        <v>429</v>
      </c>
      <c r="D72" s="123"/>
      <c r="E72" s="123"/>
      <c r="F72" s="531">
        <f>70*F73</f>
        <v>280</v>
      </c>
      <c r="G72" s="92"/>
      <c r="H72" s="524"/>
      <c r="I72" s="524"/>
      <c r="J72" s="524"/>
      <c r="K72" s="524"/>
      <c r="L72" s="524"/>
      <c r="M72" s="524"/>
      <c r="N72" s="524"/>
      <c r="O72" s="417"/>
      <c r="P72" s="524"/>
      <c r="Q72" s="524"/>
      <c r="R72" s="524"/>
      <c r="S72" s="524"/>
      <c r="T72" s="524"/>
      <c r="U72" s="524"/>
      <c r="V72" s="524"/>
      <c r="W72" s="210"/>
      <c r="X72" s="210"/>
      <c r="AA72" s="122"/>
      <c r="AB72" s="122"/>
      <c r="AC72" s="122"/>
    </row>
    <row r="73" spans="1:32" ht="15" hidden="1" customHeight="1">
      <c r="B73" s="524"/>
      <c r="C73" s="1404" t="s">
        <v>431</v>
      </c>
      <c r="D73" s="1405"/>
      <c r="E73" s="1405"/>
      <c r="F73" s="97">
        <v>4</v>
      </c>
      <c r="G73" s="96"/>
      <c r="H73" s="524"/>
      <c r="I73" s="524"/>
      <c r="J73" s="524"/>
      <c r="K73" s="524"/>
      <c r="L73" s="524"/>
      <c r="M73" s="524"/>
      <c r="N73" s="524"/>
      <c r="O73" s="417"/>
      <c r="P73" s="524"/>
      <c r="Q73" s="524"/>
      <c r="R73" s="524"/>
      <c r="S73" s="524"/>
      <c r="T73" s="524"/>
      <c r="U73" s="524"/>
      <c r="V73" s="524"/>
      <c r="W73" s="210"/>
      <c r="X73" s="210"/>
      <c r="AA73" s="122"/>
      <c r="AB73" s="122"/>
      <c r="AC73" s="122"/>
    </row>
    <row r="74" spans="1:32" ht="15.75" hidden="1" customHeight="1" thickBot="1">
      <c r="B74" s="524"/>
      <c r="C74" s="1406"/>
      <c r="D74" s="1407"/>
      <c r="E74" s="1407"/>
      <c r="F74" s="119"/>
      <c r="G74" s="121"/>
      <c r="H74" s="524"/>
      <c r="I74" s="524"/>
      <c r="J74" s="524"/>
      <c r="K74" s="524"/>
      <c r="L74" s="524"/>
      <c r="M74" s="524"/>
      <c r="N74" s="524"/>
      <c r="O74" s="417"/>
      <c r="P74" s="524"/>
      <c r="Q74" s="524"/>
      <c r="R74" s="524"/>
      <c r="S74" s="524"/>
      <c r="T74" s="524"/>
      <c r="U74" s="524"/>
      <c r="V74" s="524"/>
      <c r="W74" s="210"/>
      <c r="X74" s="210"/>
      <c r="AA74" s="122"/>
      <c r="AB74" s="122"/>
      <c r="AC74" s="122"/>
    </row>
    <row r="75" spans="1:32" hidden="1">
      <c r="B75" s="524"/>
      <c r="C75" s="524"/>
      <c r="D75" s="524"/>
      <c r="E75" s="524"/>
      <c r="F75" s="524"/>
      <c r="G75" s="524"/>
      <c r="H75" s="524"/>
      <c r="I75" s="524"/>
      <c r="J75" s="524"/>
      <c r="K75" s="524"/>
      <c r="L75" s="524"/>
      <c r="M75" s="524"/>
      <c r="N75" s="524"/>
      <c r="O75" s="417"/>
      <c r="P75" s="524"/>
      <c r="Q75" s="524"/>
      <c r="R75" s="524"/>
      <c r="S75" s="524"/>
      <c r="T75" s="524"/>
      <c r="U75" s="524"/>
      <c r="V75" s="524"/>
      <c r="W75" s="210"/>
      <c r="X75" s="210"/>
      <c r="AA75" s="122"/>
      <c r="AB75" s="122"/>
      <c r="AC75" s="122"/>
    </row>
    <row r="76" spans="1:32" hidden="1">
      <c r="B76" s="524"/>
      <c r="C76" s="524"/>
      <c r="D76" s="524"/>
      <c r="E76" s="524"/>
      <c r="F76" s="524"/>
      <c r="G76" s="524"/>
      <c r="H76" s="524"/>
      <c r="I76" s="524"/>
      <c r="J76" s="524"/>
      <c r="K76" s="524"/>
      <c r="L76" s="524"/>
      <c r="M76" s="524"/>
      <c r="N76" s="524"/>
      <c r="O76" s="417"/>
      <c r="P76" s="524"/>
      <c r="Q76" s="524"/>
      <c r="R76" s="524"/>
      <c r="S76" s="524"/>
      <c r="T76" s="524"/>
      <c r="U76" s="524"/>
      <c r="V76" s="524"/>
      <c r="W76" s="210"/>
      <c r="X76" s="210"/>
      <c r="AA76" s="122"/>
      <c r="AB76" s="122"/>
      <c r="AC76" s="122"/>
    </row>
    <row r="77" spans="1:32" hidden="1">
      <c r="B77" s="524"/>
      <c r="C77" s="524"/>
      <c r="D77" s="524"/>
      <c r="E77" s="524"/>
      <c r="F77" s="524"/>
      <c r="G77" s="524"/>
      <c r="H77" s="524"/>
      <c r="I77" s="524"/>
      <c r="J77" s="524"/>
      <c r="K77" s="524"/>
      <c r="L77" s="524"/>
      <c r="M77" s="524"/>
      <c r="N77" s="524"/>
      <c r="O77" s="417"/>
      <c r="Q77" s="524"/>
      <c r="R77" s="524"/>
      <c r="S77" s="524"/>
      <c r="T77" s="524"/>
      <c r="U77" s="524"/>
      <c r="V77" s="524"/>
      <c r="W77" s="210"/>
      <c r="X77" s="210"/>
      <c r="AA77" s="122"/>
      <c r="AB77" s="122"/>
      <c r="AC77" s="122"/>
    </row>
    <row r="78" spans="1:32" hidden="1">
      <c r="O78" s="414"/>
      <c r="W78" s="210"/>
      <c r="X78" s="210"/>
    </row>
    <row r="79" spans="1:32" hidden="1">
      <c r="O79" s="414"/>
      <c r="W79" s="210"/>
      <c r="X79" s="210"/>
    </row>
    <row r="80" spans="1:32" hidden="1">
      <c r="O80" s="414"/>
    </row>
    <row r="81" spans="2:15" hidden="1">
      <c r="O81" s="414"/>
    </row>
    <row r="82" spans="2:15" hidden="1">
      <c r="O82" s="414"/>
    </row>
    <row r="83" spans="2:15" hidden="1">
      <c r="O83" s="414"/>
    </row>
    <row r="84" spans="2:15" hidden="1">
      <c r="O84" s="414"/>
    </row>
    <row r="85" spans="2:15" hidden="1">
      <c r="O85" s="414"/>
    </row>
    <row r="86" spans="2:15" hidden="1">
      <c r="B86" s="89" t="s">
        <v>449</v>
      </c>
      <c r="O86" s="414"/>
    </row>
    <row r="87" spans="2:15" hidden="1">
      <c r="O87" s="414"/>
    </row>
    <row r="88" spans="2:15" hidden="1">
      <c r="B88" s="89" t="s">
        <v>424</v>
      </c>
      <c r="O88" s="414"/>
    </row>
    <row r="89" spans="2:15" hidden="1">
      <c r="B89" s="89" t="s">
        <v>425</v>
      </c>
      <c r="O89" s="414"/>
    </row>
    <row r="90" spans="2:15" hidden="1">
      <c r="B90" s="89">
        <f>IF('Storage options'!E5="Wood Pellet",B94,G94)</f>
        <v>20</v>
      </c>
      <c r="O90" s="414"/>
    </row>
    <row r="91" spans="2:15" hidden="1">
      <c r="O91" s="414"/>
    </row>
    <row r="92" spans="2:15" hidden="1">
      <c r="O92" s="414"/>
    </row>
    <row r="93" spans="2:15" ht="15" hidden="1" thickBot="1">
      <c r="B93" s="89" t="s">
        <v>426</v>
      </c>
      <c r="G93" s="89" t="s">
        <v>427</v>
      </c>
      <c r="O93" s="414"/>
    </row>
    <row r="94" spans="2:15" hidden="1">
      <c r="B94" s="90">
        <f>IF('Storage options'!C36='Thermal Buffer'!B95,'Thermal Buffer'!D95,IF('Storage options'!C36='Thermal Buffer'!B96,'Thermal Buffer'!D96,'Thermal Buffer'!D97))</f>
        <v>10</v>
      </c>
      <c r="C94" s="91"/>
      <c r="D94" s="91"/>
      <c r="E94" s="107"/>
      <c r="G94" s="90">
        <f>IF('Storage options'!C23='Thermal Buffer'!G95,'Thermal Buffer'!I95,IF('Storage options'!C23='Thermal Buffer'!G96,'Thermal Buffer'!I96,'Thermal Buffer'!I97))</f>
        <v>20</v>
      </c>
      <c r="H94" s="91"/>
      <c r="I94" s="91"/>
      <c r="J94" s="91"/>
      <c r="K94" s="107"/>
      <c r="O94" s="414"/>
    </row>
    <row r="95" spans="2:15" hidden="1">
      <c r="B95" s="93" t="str">
        <f>Pellet!C8</f>
        <v>Pellet1</v>
      </c>
      <c r="C95" s="94"/>
      <c r="D95" s="94">
        <f>Pellet!D9</f>
        <v>10</v>
      </c>
      <c r="E95" s="108"/>
      <c r="G95" s="529" t="str">
        <f>Woodchip!C8</f>
        <v>Woodchip1</v>
      </c>
      <c r="H95" s="94"/>
      <c r="I95" s="94">
        <f>Woodchip!D9</f>
        <v>20</v>
      </c>
      <c r="J95" s="94"/>
      <c r="K95" s="108"/>
      <c r="O95" s="414"/>
    </row>
    <row r="96" spans="2:15" hidden="1">
      <c r="B96" s="93" t="str">
        <f>Pellet!C10</f>
        <v>Pellet2</v>
      </c>
      <c r="C96" s="94"/>
      <c r="D96" s="94">
        <f>Pellet!D11</f>
        <v>10</v>
      </c>
      <c r="E96" s="108"/>
      <c r="G96" s="529" t="str">
        <f>Woodchip!C10</f>
        <v>Woodchip2</v>
      </c>
      <c r="H96" s="94"/>
      <c r="I96" s="94">
        <f>Woodchip!D11</f>
        <v>20</v>
      </c>
      <c r="J96" s="94"/>
      <c r="K96" s="108"/>
    </row>
    <row r="97" spans="2:11" ht="15" hidden="1" thickBot="1">
      <c r="B97" s="118" t="str">
        <f>Pellet!C12</f>
        <v>Pellet3</v>
      </c>
      <c r="C97" s="111"/>
      <c r="D97" s="111">
        <f>Pellet!D13</f>
        <v>10</v>
      </c>
      <c r="E97" s="112"/>
      <c r="G97" s="530" t="str">
        <f>Woodchip!C12</f>
        <v>WoodChip3</v>
      </c>
      <c r="H97" s="111"/>
      <c r="I97" s="111">
        <f>Woodchip!D13</f>
        <v>20</v>
      </c>
      <c r="J97" s="111"/>
      <c r="K97" s="112"/>
    </row>
    <row r="99" spans="2:11">
      <c r="G99" s="528"/>
    </row>
  </sheetData>
  <sheetProtection password="B1AA" sheet="1"/>
  <mergeCells count="15">
    <mergeCell ref="F3:R3"/>
    <mergeCell ref="C73:E74"/>
    <mergeCell ref="D9:G9"/>
    <mergeCell ref="D11:G11"/>
    <mergeCell ref="D20:G20"/>
    <mergeCell ref="L6:N7"/>
    <mergeCell ref="L30:M33"/>
    <mergeCell ref="H22:I22"/>
    <mergeCell ref="H24:I24"/>
    <mergeCell ref="D10:G10"/>
    <mergeCell ref="F13:G13"/>
    <mergeCell ref="H20:I20"/>
    <mergeCell ref="D15:E15"/>
    <mergeCell ref="F15:G15"/>
    <mergeCell ref="H23:I23"/>
  </mergeCells>
  <phoneticPr fontId="26" type="noConversion"/>
  <dataValidations count="1">
    <dataValidation type="list" allowBlank="1" showInputMessage="1" showErrorMessage="1" sqref="F13">
      <formula1>"HWS supply, HWS + Startup,Startup,Defined by user"</formula1>
    </dataValidation>
  </dataValidations>
  <hyperlinks>
    <hyperlink ref="L6:N7" location="'Main Menu'!A1" display="RETURN TO MAIN MENU"/>
  </hyperlink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Plan15"/>
  <dimension ref="A1:AE96"/>
  <sheetViews>
    <sheetView showGridLines="0" showRowColHeaders="0" zoomScaleNormal="100" workbookViewId="0">
      <selection activeCell="K17" sqref="K17:N24"/>
    </sheetView>
  </sheetViews>
  <sheetFormatPr defaultRowHeight="14.25"/>
  <cols>
    <col min="1" max="1" width="2.5703125" style="231" customWidth="1"/>
    <col min="2" max="2" width="4.5703125" style="236" customWidth="1"/>
    <col min="3" max="5" width="9.140625" style="236"/>
    <col min="6" max="6" width="11.42578125" style="236" customWidth="1"/>
    <col min="7" max="10" width="9.140625" style="236"/>
    <col min="11" max="11" width="12" style="236" customWidth="1"/>
    <col min="12" max="12" width="5.42578125" style="236" customWidth="1"/>
    <col min="13" max="18" width="9.140625" style="236"/>
    <col min="19" max="19" width="10.5703125" style="236" customWidth="1"/>
    <col min="20" max="20" width="9.140625" style="236"/>
    <col min="21" max="28" width="9.140625" style="231"/>
    <col min="29" max="16384" width="9.140625" style="236"/>
  </cols>
  <sheetData>
    <row r="1" spans="2:31" s="231" customFormat="1" ht="15" thickBot="1"/>
    <row r="2" spans="2:31">
      <c r="B2" s="232"/>
      <c r="C2" s="233"/>
      <c r="D2" s="233"/>
      <c r="E2" s="233"/>
      <c r="F2" s="233"/>
      <c r="G2" s="233"/>
      <c r="H2" s="233"/>
      <c r="I2" s="233"/>
      <c r="J2" s="233"/>
      <c r="K2" s="233"/>
      <c r="L2" s="233"/>
      <c r="M2" s="233"/>
      <c r="N2" s="233"/>
      <c r="O2" s="233"/>
      <c r="P2" s="233"/>
      <c r="Q2" s="233"/>
      <c r="R2" s="233"/>
      <c r="S2" s="233"/>
      <c r="T2" s="234"/>
      <c r="AC2" s="235"/>
      <c r="AD2" s="235"/>
      <c r="AE2" s="235"/>
    </row>
    <row r="3" spans="2:31" ht="20.25">
      <c r="B3" s="237"/>
      <c r="C3" s="238"/>
      <c r="D3" s="238"/>
      <c r="E3" s="1525" t="s">
        <v>484</v>
      </c>
      <c r="F3" s="1525"/>
      <c r="G3" s="1525"/>
      <c r="H3" s="1525"/>
      <c r="I3" s="1525"/>
      <c r="J3" s="1525"/>
      <c r="K3" s="1525"/>
      <c r="L3" s="1525"/>
      <c r="M3" s="1525"/>
      <c r="N3" s="1525"/>
      <c r="O3" s="1525"/>
      <c r="P3" s="1525"/>
      <c r="Q3" s="238"/>
      <c r="R3" s="238"/>
      <c r="S3" s="238"/>
      <c r="T3" s="239"/>
      <c r="AC3" s="235"/>
      <c r="AD3" s="235"/>
      <c r="AE3" s="235"/>
    </row>
    <row r="4" spans="2:31" ht="15" thickBot="1">
      <c r="B4" s="237"/>
      <c r="C4" s="238"/>
      <c r="D4" s="238"/>
      <c r="E4" s="238"/>
      <c r="F4" s="238"/>
      <c r="G4" s="238"/>
      <c r="H4" s="238"/>
      <c r="I4" s="238"/>
      <c r="J4" s="238"/>
      <c r="K4" s="238"/>
      <c r="L4" s="238"/>
      <c r="M4" s="238"/>
      <c r="N4" s="238"/>
      <c r="O4" s="238"/>
      <c r="P4" s="238"/>
      <c r="Q4" s="238"/>
      <c r="R4" s="238"/>
      <c r="S4" s="238"/>
      <c r="T4" s="239"/>
      <c r="AC4" s="235"/>
      <c r="AD4" s="235"/>
      <c r="AE4" s="235"/>
    </row>
    <row r="5" spans="2:31" ht="15" customHeight="1">
      <c r="B5" s="237"/>
      <c r="C5" s="238"/>
      <c r="D5" s="238"/>
      <c r="E5" s="1430" t="s">
        <v>453</v>
      </c>
      <c r="F5" s="1431"/>
      <c r="G5" s="1431"/>
      <c r="H5" s="1047"/>
      <c r="I5" s="238"/>
      <c r="J5" s="238"/>
      <c r="K5" s="238"/>
      <c r="L5" s="238"/>
      <c r="M5" s="238"/>
      <c r="N5" s="238"/>
      <c r="O5" s="238"/>
      <c r="P5" s="238"/>
      <c r="Q5" s="238"/>
      <c r="R5" s="238"/>
      <c r="S5" s="238"/>
      <c r="T5" s="239"/>
      <c r="AC5" s="235"/>
      <c r="AD5" s="235"/>
      <c r="AE5" s="235"/>
    </row>
    <row r="6" spans="2:31" ht="15" customHeight="1" thickBot="1">
      <c r="B6" s="237"/>
      <c r="C6" s="238"/>
      <c r="D6" s="238"/>
      <c r="E6" s="1048"/>
      <c r="F6" s="1432"/>
      <c r="G6" s="1432"/>
      <c r="H6" s="1049"/>
      <c r="I6" s="238"/>
      <c r="J6" s="238"/>
      <c r="K6" s="238"/>
      <c r="L6" s="238"/>
      <c r="M6" s="238"/>
      <c r="N6" s="238"/>
      <c r="O6" s="238"/>
      <c r="P6" s="238"/>
      <c r="Q6" s="238"/>
      <c r="R6" s="238"/>
      <c r="S6" s="238"/>
      <c r="T6" s="239"/>
      <c r="AC6" s="235"/>
      <c r="AD6" s="235"/>
      <c r="AE6" s="235"/>
    </row>
    <row r="7" spans="2:31">
      <c r="B7" s="237"/>
      <c r="C7" s="238"/>
      <c r="D7" s="238"/>
      <c r="E7" s="238"/>
      <c r="F7" s="238"/>
      <c r="G7" s="238"/>
      <c r="H7" s="238"/>
      <c r="I7" s="238"/>
      <c r="J7" s="238"/>
      <c r="K7" s="238"/>
      <c r="L7" s="238"/>
      <c r="M7" s="238"/>
      <c r="N7" s="238"/>
      <c r="O7" s="238"/>
      <c r="P7" s="238"/>
      <c r="Q7" s="238"/>
      <c r="R7" s="238"/>
      <c r="S7" s="238"/>
      <c r="T7" s="239"/>
      <c r="AC7" s="235"/>
      <c r="AD7" s="235"/>
      <c r="AE7" s="235"/>
    </row>
    <row r="8" spans="2:31">
      <c r="B8" s="237"/>
      <c r="C8" s="238"/>
      <c r="D8" s="238"/>
      <c r="E8" s="238"/>
      <c r="F8" s="238"/>
      <c r="G8" s="238"/>
      <c r="H8" s="238"/>
      <c r="I8" s="238"/>
      <c r="J8" s="238"/>
      <c r="K8" s="238"/>
      <c r="L8" s="238"/>
      <c r="M8" s="238"/>
      <c r="N8" s="238"/>
      <c r="O8" s="238"/>
      <c r="P8" s="238"/>
      <c r="Q8" s="238"/>
      <c r="R8" s="238"/>
      <c r="S8" s="238"/>
      <c r="T8" s="239"/>
      <c r="AC8" s="235"/>
      <c r="AD8" s="235"/>
      <c r="AE8" s="235"/>
    </row>
    <row r="9" spans="2:31">
      <c r="B9" s="237"/>
      <c r="C9" s="238"/>
      <c r="D9" s="238"/>
      <c r="E9" s="238"/>
      <c r="F9" s="238"/>
      <c r="G9" s="238"/>
      <c r="H9" s="238"/>
      <c r="I9" s="238"/>
      <c r="J9" s="238"/>
      <c r="K9" s="238"/>
      <c r="L9" s="238"/>
      <c r="M9" s="238"/>
      <c r="N9" s="238"/>
      <c r="O9" s="238"/>
      <c r="P9" s="238"/>
      <c r="Q9" s="238"/>
      <c r="R9" s="238"/>
      <c r="S9" s="238"/>
      <c r="T9" s="239"/>
      <c r="AC9" s="235"/>
      <c r="AD9" s="235"/>
      <c r="AE9" s="235"/>
    </row>
    <row r="10" spans="2:31" ht="15" thickBot="1">
      <c r="B10" s="237"/>
      <c r="C10" s="238"/>
      <c r="D10" s="238"/>
      <c r="E10" s="238"/>
      <c r="F10" s="238"/>
      <c r="G10" s="238"/>
      <c r="H10" s="238"/>
      <c r="I10" s="238"/>
      <c r="J10" s="238"/>
      <c r="K10" s="238"/>
      <c r="L10" s="238"/>
      <c r="M10" s="238"/>
      <c r="N10" s="238"/>
      <c r="O10" s="238"/>
      <c r="P10" s="238"/>
      <c r="Q10" s="238"/>
      <c r="R10" s="238"/>
      <c r="S10" s="238"/>
      <c r="T10" s="239"/>
      <c r="AC10" s="235"/>
      <c r="AD10" s="235"/>
      <c r="AE10" s="235"/>
    </row>
    <row r="11" spans="2:31" ht="15.75" thickBot="1">
      <c r="B11" s="237"/>
      <c r="C11" s="1433" t="s">
        <v>231</v>
      </c>
      <c r="D11" s="1434"/>
      <c r="E11" s="1434"/>
      <c r="F11" s="1435"/>
      <c r="G11" s="1433" t="s">
        <v>232</v>
      </c>
      <c r="H11" s="1434"/>
      <c r="I11" s="1434"/>
      <c r="J11" s="1435"/>
      <c r="K11" s="1433" t="s">
        <v>233</v>
      </c>
      <c r="L11" s="1434"/>
      <c r="M11" s="1434"/>
      <c r="N11" s="1435"/>
      <c r="O11" s="1433" t="s">
        <v>235</v>
      </c>
      <c r="P11" s="1434"/>
      <c r="Q11" s="1434"/>
      <c r="R11" s="1434"/>
      <c r="S11" s="1435"/>
      <c r="T11" s="239"/>
      <c r="AC11" s="235"/>
      <c r="AD11" s="235"/>
      <c r="AE11" s="235"/>
    </row>
    <row r="12" spans="2:31">
      <c r="B12" s="237"/>
      <c r="C12" s="1450" t="s">
        <v>230</v>
      </c>
      <c r="D12" s="1443"/>
      <c r="E12" s="1443"/>
      <c r="F12" s="1444"/>
      <c r="G12" s="1469" t="s">
        <v>362</v>
      </c>
      <c r="H12" s="1470"/>
      <c r="I12" s="1470"/>
      <c r="J12" s="1471"/>
      <c r="K12" s="1475" t="s">
        <v>383</v>
      </c>
      <c r="L12" s="1476"/>
      <c r="M12" s="1476"/>
      <c r="N12" s="1477"/>
      <c r="O12" s="326" t="s">
        <v>236</v>
      </c>
      <c r="P12" s="270"/>
      <c r="Q12" s="270"/>
      <c r="R12" s="270"/>
      <c r="S12" s="264"/>
      <c r="T12" s="239"/>
      <c r="AC12" s="235"/>
      <c r="AD12" s="235"/>
      <c r="AE12" s="235"/>
    </row>
    <row r="13" spans="2:31">
      <c r="B13" s="237"/>
      <c r="C13" s="1436"/>
      <c r="D13" s="1437"/>
      <c r="E13" s="1437"/>
      <c r="F13" s="1438"/>
      <c r="G13" s="1472"/>
      <c r="H13" s="1473"/>
      <c r="I13" s="1473"/>
      <c r="J13" s="1474"/>
      <c r="K13" s="1447"/>
      <c r="L13" s="1163"/>
      <c r="M13" s="1163"/>
      <c r="N13" s="1446"/>
      <c r="O13" s="319"/>
      <c r="P13" s="321"/>
      <c r="Q13" s="321"/>
      <c r="R13" s="321"/>
      <c r="S13" s="265"/>
      <c r="T13" s="239"/>
      <c r="AC13" s="235"/>
      <c r="AD13" s="235"/>
      <c r="AE13" s="235"/>
    </row>
    <row r="14" spans="2:31">
      <c r="B14" s="237"/>
      <c r="C14" s="1436"/>
      <c r="D14" s="1437"/>
      <c r="E14" s="1437"/>
      <c r="F14" s="1438"/>
      <c r="G14" s="1472"/>
      <c r="H14" s="1473"/>
      <c r="I14" s="1473"/>
      <c r="J14" s="1474"/>
      <c r="K14" s="1447"/>
      <c r="L14" s="1163"/>
      <c r="M14" s="1163"/>
      <c r="N14" s="1446"/>
      <c r="O14" s="319"/>
      <c r="P14" s="321"/>
      <c r="Q14" s="321"/>
      <c r="R14" s="321"/>
      <c r="S14" s="265"/>
      <c r="T14" s="239"/>
      <c r="AC14" s="235"/>
      <c r="AD14" s="235"/>
      <c r="AE14" s="235"/>
    </row>
    <row r="15" spans="2:31">
      <c r="B15" s="237"/>
      <c r="C15" s="1436"/>
      <c r="D15" s="1437"/>
      <c r="E15" s="1437"/>
      <c r="F15" s="1438"/>
      <c r="G15" s="1436" t="s">
        <v>234</v>
      </c>
      <c r="H15" s="1437"/>
      <c r="I15" s="1437"/>
      <c r="J15" s="1438"/>
      <c r="K15" s="1447"/>
      <c r="L15" s="1163"/>
      <c r="M15" s="1163"/>
      <c r="N15" s="1446"/>
      <c r="O15" s="319"/>
      <c r="P15" s="321"/>
      <c r="Q15" s="321"/>
      <c r="R15" s="321"/>
      <c r="S15" s="265"/>
      <c r="T15" s="239"/>
      <c r="AC15" s="235"/>
      <c r="AD15" s="235"/>
      <c r="AE15" s="235"/>
    </row>
    <row r="16" spans="2:31" ht="15" thickBot="1">
      <c r="B16" s="237"/>
      <c r="C16" s="1439"/>
      <c r="D16" s="1440"/>
      <c r="E16" s="1440"/>
      <c r="F16" s="1441"/>
      <c r="G16" s="1439"/>
      <c r="H16" s="1440"/>
      <c r="I16" s="1440"/>
      <c r="J16" s="1441"/>
      <c r="K16" s="1448"/>
      <c r="L16" s="1161"/>
      <c r="M16" s="1161"/>
      <c r="N16" s="1449"/>
      <c r="O16" s="267"/>
      <c r="P16" s="268"/>
      <c r="Q16" s="268"/>
      <c r="R16" s="268"/>
      <c r="S16" s="269"/>
      <c r="T16" s="239"/>
      <c r="AC16" s="235"/>
      <c r="AD16" s="235"/>
      <c r="AE16" s="235"/>
    </row>
    <row r="17" spans="2:31">
      <c r="B17" s="237"/>
      <c r="C17" s="1450" t="s">
        <v>237</v>
      </c>
      <c r="D17" s="1443"/>
      <c r="E17" s="1443"/>
      <c r="F17" s="1444"/>
      <c r="G17" s="1442" t="s">
        <v>384</v>
      </c>
      <c r="H17" s="1443"/>
      <c r="I17" s="1443"/>
      <c r="J17" s="1444"/>
      <c r="K17" s="1460" t="s">
        <v>385</v>
      </c>
      <c r="L17" s="1461"/>
      <c r="M17" s="1461"/>
      <c r="N17" s="1462"/>
      <c r="O17" s="1451" t="s">
        <v>239</v>
      </c>
      <c r="P17" s="1452"/>
      <c r="Q17" s="1452"/>
      <c r="R17" s="1452"/>
      <c r="S17" s="1453"/>
      <c r="T17" s="239"/>
      <c r="AC17" s="235"/>
      <c r="AD17" s="235"/>
      <c r="AE17" s="235"/>
    </row>
    <row r="18" spans="2:31" ht="12" customHeight="1">
      <c r="B18" s="237"/>
      <c r="C18" s="1436"/>
      <c r="D18" s="1437"/>
      <c r="E18" s="1437"/>
      <c r="F18" s="1438"/>
      <c r="G18" s="1436"/>
      <c r="H18" s="1437"/>
      <c r="I18" s="1437"/>
      <c r="J18" s="1438"/>
      <c r="K18" s="1463"/>
      <c r="L18" s="1464"/>
      <c r="M18" s="1464"/>
      <c r="N18" s="1465"/>
      <c r="O18" s="1454"/>
      <c r="P18" s="1455"/>
      <c r="Q18" s="1455"/>
      <c r="R18" s="1455"/>
      <c r="S18" s="1456"/>
      <c r="T18" s="239"/>
      <c r="AC18" s="235"/>
      <c r="AD18" s="235"/>
      <c r="AE18" s="235"/>
    </row>
    <row r="19" spans="2:31" ht="15.75" customHeight="1">
      <c r="B19" s="237"/>
      <c r="C19" s="1436"/>
      <c r="D19" s="1437"/>
      <c r="E19" s="1437"/>
      <c r="F19" s="1438"/>
      <c r="G19" s="1445" t="s">
        <v>238</v>
      </c>
      <c r="H19" s="1163"/>
      <c r="I19" s="1163"/>
      <c r="J19" s="1446"/>
      <c r="K19" s="1463"/>
      <c r="L19" s="1464"/>
      <c r="M19" s="1464"/>
      <c r="N19" s="1465"/>
      <c r="O19" s="1454"/>
      <c r="P19" s="1455"/>
      <c r="Q19" s="1455"/>
      <c r="R19" s="1455"/>
      <c r="S19" s="1456"/>
      <c r="T19" s="239"/>
      <c r="AC19" s="235"/>
      <c r="AD19" s="235"/>
      <c r="AE19" s="235"/>
    </row>
    <row r="20" spans="2:31">
      <c r="B20" s="237"/>
      <c r="C20" s="1436"/>
      <c r="D20" s="1437"/>
      <c r="E20" s="1437"/>
      <c r="F20" s="1438"/>
      <c r="G20" s="1447"/>
      <c r="H20" s="1163"/>
      <c r="I20" s="1163"/>
      <c r="J20" s="1446"/>
      <c r="K20" s="1463"/>
      <c r="L20" s="1464"/>
      <c r="M20" s="1464"/>
      <c r="N20" s="1465"/>
      <c r="O20" s="1454"/>
      <c r="P20" s="1455"/>
      <c r="Q20" s="1455"/>
      <c r="R20" s="1455"/>
      <c r="S20" s="1456"/>
      <c r="T20" s="239"/>
      <c r="AC20" s="235"/>
      <c r="AD20" s="235"/>
      <c r="AE20" s="235"/>
    </row>
    <row r="21" spans="2:31">
      <c r="B21" s="237"/>
      <c r="C21" s="1436"/>
      <c r="D21" s="1437"/>
      <c r="E21" s="1437"/>
      <c r="F21" s="1438"/>
      <c r="G21" s="1447"/>
      <c r="H21" s="1163"/>
      <c r="I21" s="1163"/>
      <c r="J21" s="1446"/>
      <c r="K21" s="1463"/>
      <c r="L21" s="1464"/>
      <c r="M21" s="1464"/>
      <c r="N21" s="1465"/>
      <c r="O21" s="1454"/>
      <c r="P21" s="1455"/>
      <c r="Q21" s="1455"/>
      <c r="R21" s="1455"/>
      <c r="S21" s="1456"/>
      <c r="T21" s="239"/>
      <c r="AC21" s="235"/>
      <c r="AD21" s="235"/>
      <c r="AE21" s="235"/>
    </row>
    <row r="22" spans="2:31">
      <c r="B22" s="237"/>
      <c r="C22" s="1436"/>
      <c r="D22" s="1437"/>
      <c r="E22" s="1437"/>
      <c r="F22" s="1438"/>
      <c r="G22" s="1447"/>
      <c r="H22" s="1163"/>
      <c r="I22" s="1163"/>
      <c r="J22" s="1446"/>
      <c r="K22" s="1463"/>
      <c r="L22" s="1464"/>
      <c r="M22" s="1464"/>
      <c r="N22" s="1465"/>
      <c r="O22" s="1454"/>
      <c r="P22" s="1455"/>
      <c r="Q22" s="1455"/>
      <c r="R22" s="1455"/>
      <c r="S22" s="1456"/>
      <c r="T22" s="239"/>
      <c r="AC22" s="235"/>
      <c r="AD22" s="235"/>
      <c r="AE22" s="235"/>
    </row>
    <row r="23" spans="2:31">
      <c r="B23" s="237"/>
      <c r="C23" s="1436"/>
      <c r="D23" s="1437"/>
      <c r="E23" s="1437"/>
      <c r="F23" s="1438"/>
      <c r="G23" s="1447"/>
      <c r="H23" s="1163"/>
      <c r="I23" s="1163"/>
      <c r="J23" s="1446"/>
      <c r="K23" s="1463"/>
      <c r="L23" s="1464"/>
      <c r="M23" s="1464"/>
      <c r="N23" s="1465"/>
      <c r="O23" s="1454"/>
      <c r="P23" s="1455"/>
      <c r="Q23" s="1455"/>
      <c r="R23" s="1455"/>
      <c r="S23" s="1456"/>
      <c r="T23" s="239"/>
      <c r="AC23" s="235"/>
      <c r="AD23" s="235"/>
      <c r="AE23" s="235"/>
    </row>
    <row r="24" spans="2:31" ht="15" thickBot="1">
      <c r="B24" s="237"/>
      <c r="C24" s="1439"/>
      <c r="D24" s="1440"/>
      <c r="E24" s="1440"/>
      <c r="F24" s="1441"/>
      <c r="G24" s="1448"/>
      <c r="H24" s="1161"/>
      <c r="I24" s="1161"/>
      <c r="J24" s="1449"/>
      <c r="K24" s="1466"/>
      <c r="L24" s="1467"/>
      <c r="M24" s="1467"/>
      <c r="N24" s="1468"/>
      <c r="O24" s="1457"/>
      <c r="P24" s="1458"/>
      <c r="Q24" s="1458"/>
      <c r="R24" s="1458"/>
      <c r="S24" s="1459"/>
      <c r="T24" s="239"/>
      <c r="AC24" s="235"/>
      <c r="AD24" s="235"/>
      <c r="AE24" s="235"/>
    </row>
    <row r="25" spans="2:31" ht="28.5" customHeight="1">
      <c r="B25" s="237"/>
      <c r="C25" s="1450" t="s">
        <v>240</v>
      </c>
      <c r="D25" s="1443"/>
      <c r="E25" s="1443"/>
      <c r="F25" s="1444"/>
      <c r="G25" s="1469" t="s">
        <v>363</v>
      </c>
      <c r="H25" s="1470"/>
      <c r="I25" s="1470"/>
      <c r="J25" s="1471"/>
      <c r="K25" s="1460" t="s">
        <v>241</v>
      </c>
      <c r="L25" s="1461"/>
      <c r="M25" s="1461"/>
      <c r="N25" s="1462"/>
      <c r="O25" s="1481" t="s">
        <v>250</v>
      </c>
      <c r="P25" s="1476"/>
      <c r="Q25" s="1476"/>
      <c r="R25" s="1476"/>
      <c r="S25" s="1477"/>
      <c r="T25" s="239"/>
      <c r="AC25" s="235"/>
      <c r="AD25" s="235"/>
      <c r="AE25" s="235"/>
    </row>
    <row r="26" spans="2:31">
      <c r="B26" s="237"/>
      <c r="C26" s="1436"/>
      <c r="D26" s="1437"/>
      <c r="E26" s="1437"/>
      <c r="F26" s="1438"/>
      <c r="G26" s="1472" t="s">
        <v>320</v>
      </c>
      <c r="H26" s="1473"/>
      <c r="I26" s="1473"/>
      <c r="J26" s="1474"/>
      <c r="K26" s="1463"/>
      <c r="L26" s="1464"/>
      <c r="M26" s="1464"/>
      <c r="N26" s="1465"/>
      <c r="O26" s="319"/>
      <c r="P26" s="321"/>
      <c r="Q26" s="321"/>
      <c r="R26" s="321"/>
      <c r="S26" s="265"/>
      <c r="T26" s="239"/>
      <c r="AC26" s="235"/>
      <c r="AD26" s="235"/>
      <c r="AE26" s="235"/>
    </row>
    <row r="27" spans="2:31" ht="15">
      <c r="B27" s="237"/>
      <c r="C27" s="1436"/>
      <c r="D27" s="1437"/>
      <c r="E27" s="1437"/>
      <c r="F27" s="1438"/>
      <c r="G27" s="1472"/>
      <c r="H27" s="1473"/>
      <c r="I27" s="1473"/>
      <c r="J27" s="1474"/>
      <c r="K27" s="273" t="s">
        <v>242</v>
      </c>
      <c r="L27" s="327" t="s">
        <v>243</v>
      </c>
      <c r="M27" s="266"/>
      <c r="N27" s="328"/>
      <c r="O27" s="319"/>
      <c r="P27" s="321"/>
      <c r="Q27" s="321"/>
      <c r="R27" s="321"/>
      <c r="S27" s="265"/>
      <c r="T27" s="239"/>
      <c r="AC27" s="235"/>
      <c r="AD27" s="235"/>
      <c r="AE27" s="235"/>
    </row>
    <row r="28" spans="2:31" ht="15">
      <c r="B28" s="237"/>
      <c r="C28" s="1436"/>
      <c r="D28" s="1437"/>
      <c r="E28" s="1437"/>
      <c r="F28" s="1438"/>
      <c r="G28" s="329"/>
      <c r="H28" s="330"/>
      <c r="I28" s="330"/>
      <c r="J28" s="331"/>
      <c r="K28" s="272" t="s">
        <v>244</v>
      </c>
      <c r="L28" s="327" t="s">
        <v>245</v>
      </c>
      <c r="M28" s="266"/>
      <c r="N28" s="328"/>
      <c r="O28" s="319"/>
      <c r="P28" s="321"/>
      <c r="Q28" s="321"/>
      <c r="R28" s="321"/>
      <c r="S28" s="265"/>
      <c r="T28" s="239"/>
      <c r="AC28" s="235"/>
      <c r="AD28" s="235"/>
      <c r="AE28" s="235"/>
    </row>
    <row r="29" spans="2:31" ht="15">
      <c r="B29" s="237"/>
      <c r="C29" s="1436"/>
      <c r="D29" s="1437"/>
      <c r="E29" s="1437"/>
      <c r="F29" s="1438"/>
      <c r="G29" s="319"/>
      <c r="H29" s="321"/>
      <c r="I29" s="321"/>
      <c r="J29" s="265"/>
      <c r="K29" s="272" t="s">
        <v>246</v>
      </c>
      <c r="L29" s="327" t="s">
        <v>247</v>
      </c>
      <c r="M29" s="266"/>
      <c r="N29" s="328"/>
      <c r="O29" s="319"/>
      <c r="P29" s="321"/>
      <c r="Q29" s="321"/>
      <c r="R29" s="321"/>
      <c r="S29" s="265"/>
      <c r="T29" s="239"/>
      <c r="AC29" s="235"/>
      <c r="AD29" s="235"/>
      <c r="AE29" s="235"/>
    </row>
    <row r="30" spans="2:31" ht="15.75" thickBot="1">
      <c r="B30" s="237"/>
      <c r="C30" s="1439"/>
      <c r="D30" s="1440"/>
      <c r="E30" s="1440"/>
      <c r="F30" s="1441"/>
      <c r="G30" s="267"/>
      <c r="H30" s="268"/>
      <c r="I30" s="268"/>
      <c r="J30" s="269"/>
      <c r="K30" s="332" t="s">
        <v>248</v>
      </c>
      <c r="L30" s="333" t="s">
        <v>249</v>
      </c>
      <c r="M30" s="274"/>
      <c r="N30" s="334"/>
      <c r="O30" s="267"/>
      <c r="P30" s="268"/>
      <c r="Q30" s="268"/>
      <c r="R30" s="268"/>
      <c r="S30" s="269"/>
      <c r="T30" s="239"/>
      <c r="AC30" s="235"/>
      <c r="AD30" s="235"/>
      <c r="AE30" s="235"/>
    </row>
    <row r="31" spans="2:31">
      <c r="B31" s="237"/>
      <c r="C31" s="1450" t="s">
        <v>251</v>
      </c>
      <c r="D31" s="1443"/>
      <c r="E31" s="1443"/>
      <c r="F31" s="1444"/>
      <c r="G31" s="1469" t="s">
        <v>321</v>
      </c>
      <c r="H31" s="1519"/>
      <c r="I31" s="1519"/>
      <c r="J31" s="1520"/>
      <c r="K31" s="1450" t="s">
        <v>259</v>
      </c>
      <c r="L31" s="1443"/>
      <c r="M31" s="1443"/>
      <c r="N31" s="1444"/>
      <c r="O31" s="1500" t="s">
        <v>260</v>
      </c>
      <c r="P31" s="1483"/>
      <c r="Q31" s="1483"/>
      <c r="R31" s="1483"/>
      <c r="S31" s="1484"/>
      <c r="T31" s="239"/>
      <c r="AC31" s="235"/>
      <c r="AD31" s="235"/>
      <c r="AE31" s="235"/>
    </row>
    <row r="32" spans="2:31" ht="43.5" customHeight="1">
      <c r="B32" s="237"/>
      <c r="C32" s="1436"/>
      <c r="D32" s="1437"/>
      <c r="E32" s="1437"/>
      <c r="F32" s="1438"/>
      <c r="G32" s="1521"/>
      <c r="H32" s="1522"/>
      <c r="I32" s="1522"/>
      <c r="J32" s="1523"/>
      <c r="K32" s="1524" t="s">
        <v>386</v>
      </c>
      <c r="L32" s="1514"/>
      <c r="M32" s="1514"/>
      <c r="N32" s="1515"/>
      <c r="O32" s="1485"/>
      <c r="P32" s="1486"/>
      <c r="Q32" s="1486"/>
      <c r="R32" s="1486"/>
      <c r="S32" s="1487"/>
      <c r="T32" s="239"/>
      <c r="AC32" s="235"/>
      <c r="AD32" s="235"/>
      <c r="AE32" s="235"/>
    </row>
    <row r="33" spans="2:31" ht="31.5" customHeight="1">
      <c r="B33" s="237"/>
      <c r="C33" s="1436"/>
      <c r="D33" s="1437"/>
      <c r="E33" s="1437"/>
      <c r="F33" s="1438"/>
      <c r="G33" s="1478" t="s">
        <v>252</v>
      </c>
      <c r="H33" s="1479"/>
      <c r="I33" s="1479"/>
      <c r="J33" s="1480"/>
      <c r="K33" s="1513"/>
      <c r="L33" s="1514"/>
      <c r="M33" s="1514"/>
      <c r="N33" s="1515"/>
      <c r="O33" s="319"/>
      <c r="P33" s="321"/>
      <c r="Q33" s="321"/>
      <c r="R33" s="321"/>
      <c r="S33" s="265"/>
      <c r="T33" s="239"/>
      <c r="AC33" s="235"/>
      <c r="AD33" s="235"/>
      <c r="AE33" s="235"/>
    </row>
    <row r="34" spans="2:31">
      <c r="B34" s="237"/>
      <c r="C34" s="1436"/>
      <c r="D34" s="1437"/>
      <c r="E34" s="1437"/>
      <c r="F34" s="1438"/>
      <c r="G34" s="1478" t="s">
        <v>253</v>
      </c>
      <c r="H34" s="1479"/>
      <c r="I34" s="1479"/>
      <c r="J34" s="1480"/>
      <c r="K34" s="1513"/>
      <c r="L34" s="1514"/>
      <c r="M34" s="1514"/>
      <c r="N34" s="1515"/>
      <c r="O34" s="319"/>
      <c r="P34" s="321"/>
      <c r="Q34" s="321"/>
      <c r="R34" s="321"/>
      <c r="S34" s="265"/>
      <c r="T34" s="239"/>
      <c r="AC34" s="235"/>
      <c r="AD34" s="235"/>
      <c r="AE34" s="235"/>
    </row>
    <row r="35" spans="2:31">
      <c r="B35" s="237"/>
      <c r="C35" s="1436"/>
      <c r="D35" s="1437"/>
      <c r="E35" s="1437"/>
      <c r="F35" s="1438"/>
      <c r="G35" s="1478" t="s">
        <v>254</v>
      </c>
      <c r="H35" s="1479"/>
      <c r="I35" s="1479"/>
      <c r="J35" s="1480"/>
      <c r="K35" s="319"/>
      <c r="L35" s="321"/>
      <c r="M35" s="321"/>
      <c r="N35" s="265"/>
      <c r="O35" s="319"/>
      <c r="P35" s="321"/>
      <c r="Q35" s="321"/>
      <c r="R35" s="321"/>
      <c r="S35" s="265"/>
      <c r="T35" s="239"/>
      <c r="AC35" s="235"/>
      <c r="AD35" s="235"/>
      <c r="AE35" s="235"/>
    </row>
    <row r="36" spans="2:31">
      <c r="B36" s="237"/>
      <c r="C36" s="1436"/>
      <c r="D36" s="1437"/>
      <c r="E36" s="1437"/>
      <c r="F36" s="1438"/>
      <c r="G36" s="1478" t="s">
        <v>255</v>
      </c>
      <c r="H36" s="1479"/>
      <c r="I36" s="1479"/>
      <c r="J36" s="1480"/>
      <c r="K36" s="1463" t="s">
        <v>364</v>
      </c>
      <c r="L36" s="1437"/>
      <c r="M36" s="1437"/>
      <c r="N36" s="1438"/>
      <c r="O36" s="319"/>
      <c r="P36" s="321"/>
      <c r="Q36" s="321"/>
      <c r="R36" s="321"/>
      <c r="S36" s="265"/>
      <c r="T36" s="239"/>
      <c r="AC36" s="235"/>
      <c r="AD36" s="235"/>
      <c r="AE36" s="235"/>
    </row>
    <row r="37" spans="2:31">
      <c r="B37" s="237"/>
      <c r="C37" s="1436"/>
      <c r="D37" s="1437"/>
      <c r="E37" s="1437"/>
      <c r="F37" s="1438"/>
      <c r="G37" s="1478" t="s">
        <v>256</v>
      </c>
      <c r="H37" s="1479"/>
      <c r="I37" s="1479"/>
      <c r="J37" s="1480"/>
      <c r="K37" s="1436"/>
      <c r="L37" s="1437"/>
      <c r="M37" s="1437"/>
      <c r="N37" s="1438"/>
      <c r="O37" s="319"/>
      <c r="P37" s="321"/>
      <c r="Q37" s="321"/>
      <c r="R37" s="321"/>
      <c r="S37" s="265"/>
      <c r="T37" s="239"/>
      <c r="AC37" s="235"/>
      <c r="AD37" s="235"/>
      <c r="AE37" s="235"/>
    </row>
    <row r="38" spans="2:31">
      <c r="B38" s="237"/>
      <c r="C38" s="1436"/>
      <c r="D38" s="1437"/>
      <c r="E38" s="1437"/>
      <c r="F38" s="1438"/>
      <c r="G38" s="1478" t="s">
        <v>257</v>
      </c>
      <c r="H38" s="1479"/>
      <c r="I38" s="1479"/>
      <c r="J38" s="1480"/>
      <c r="K38" s="1436"/>
      <c r="L38" s="1437"/>
      <c r="M38" s="1437"/>
      <c r="N38" s="1438"/>
      <c r="O38" s="319"/>
      <c r="P38" s="321"/>
      <c r="Q38" s="321"/>
      <c r="R38" s="321"/>
      <c r="S38" s="265"/>
      <c r="T38" s="239"/>
      <c r="AC38" s="235"/>
      <c r="AD38" s="235"/>
      <c r="AE38" s="235"/>
    </row>
    <row r="39" spans="2:31" ht="15" thickBot="1">
      <c r="B39" s="237"/>
      <c r="C39" s="1439"/>
      <c r="D39" s="1440"/>
      <c r="E39" s="1440"/>
      <c r="F39" s="1441"/>
      <c r="G39" s="1539" t="s">
        <v>258</v>
      </c>
      <c r="H39" s="1540"/>
      <c r="I39" s="1540"/>
      <c r="J39" s="1541"/>
      <c r="K39" s="1439"/>
      <c r="L39" s="1440"/>
      <c r="M39" s="1440"/>
      <c r="N39" s="1441"/>
      <c r="O39" s="267"/>
      <c r="P39" s="268"/>
      <c r="Q39" s="268"/>
      <c r="R39" s="268"/>
      <c r="S39" s="269"/>
      <c r="T39" s="239"/>
      <c r="AC39" s="235"/>
      <c r="AD39" s="235"/>
      <c r="AE39" s="235"/>
    </row>
    <row r="40" spans="2:31" ht="15" customHeight="1">
      <c r="B40" s="237"/>
      <c r="C40" s="1450" t="s">
        <v>261</v>
      </c>
      <c r="D40" s="1443"/>
      <c r="E40" s="1443"/>
      <c r="F40" s="1444"/>
      <c r="G40" s="1469" t="s">
        <v>262</v>
      </c>
      <c r="H40" s="1470"/>
      <c r="I40" s="1470"/>
      <c r="J40" s="1471"/>
      <c r="K40" s="1510" t="s">
        <v>263</v>
      </c>
      <c r="L40" s="1511"/>
      <c r="M40" s="1511"/>
      <c r="N40" s="1512"/>
      <c r="O40" s="1504" t="s">
        <v>264</v>
      </c>
      <c r="P40" s="1505"/>
      <c r="Q40" s="1505"/>
      <c r="R40" s="1505"/>
      <c r="S40" s="1506"/>
      <c r="T40" s="239"/>
      <c r="AC40" s="235"/>
      <c r="AD40" s="235"/>
      <c r="AE40" s="235"/>
    </row>
    <row r="41" spans="2:31">
      <c r="B41" s="237"/>
      <c r="C41" s="1436"/>
      <c r="D41" s="1437"/>
      <c r="E41" s="1437"/>
      <c r="F41" s="1438"/>
      <c r="G41" s="1472"/>
      <c r="H41" s="1473"/>
      <c r="I41" s="1473"/>
      <c r="J41" s="1474"/>
      <c r="K41" s="1513"/>
      <c r="L41" s="1514"/>
      <c r="M41" s="1514"/>
      <c r="N41" s="1515"/>
      <c r="O41" s="1507"/>
      <c r="P41" s="1508"/>
      <c r="Q41" s="1508"/>
      <c r="R41" s="1508"/>
      <c r="S41" s="1509"/>
      <c r="T41" s="239"/>
      <c r="AC41" s="235"/>
      <c r="AD41" s="235"/>
      <c r="AE41" s="235"/>
    </row>
    <row r="42" spans="2:31">
      <c r="B42" s="237"/>
      <c r="C42" s="1436"/>
      <c r="D42" s="1437"/>
      <c r="E42" s="1437"/>
      <c r="F42" s="1438"/>
      <c r="G42" s="1472"/>
      <c r="H42" s="1473"/>
      <c r="I42" s="1473"/>
      <c r="J42" s="1474"/>
      <c r="K42" s="1513"/>
      <c r="L42" s="1514"/>
      <c r="M42" s="1514"/>
      <c r="N42" s="1515"/>
      <c r="O42" s="319"/>
      <c r="P42" s="321"/>
      <c r="Q42" s="321"/>
      <c r="R42" s="321"/>
      <c r="S42" s="265"/>
      <c r="T42" s="239"/>
      <c r="AC42" s="235"/>
      <c r="AD42" s="235"/>
      <c r="AE42" s="235"/>
    </row>
    <row r="43" spans="2:31" ht="15" thickBot="1">
      <c r="B43" s="237"/>
      <c r="C43" s="1439"/>
      <c r="D43" s="1440"/>
      <c r="E43" s="1440"/>
      <c r="F43" s="1441"/>
      <c r="G43" s="1497"/>
      <c r="H43" s="1498"/>
      <c r="I43" s="1498"/>
      <c r="J43" s="1499"/>
      <c r="K43" s="1516"/>
      <c r="L43" s="1517"/>
      <c r="M43" s="1517"/>
      <c r="N43" s="1518"/>
      <c r="O43" s="267"/>
      <c r="P43" s="268"/>
      <c r="Q43" s="268"/>
      <c r="R43" s="268"/>
      <c r="S43" s="269"/>
      <c r="T43" s="239"/>
      <c r="AC43" s="235"/>
      <c r="AD43" s="235"/>
      <c r="AE43" s="235"/>
    </row>
    <row r="44" spans="2:31" ht="15" customHeight="1">
      <c r="B44" s="237"/>
      <c r="C44" s="1460" t="s">
        <v>265</v>
      </c>
      <c r="D44" s="1461"/>
      <c r="E44" s="1461"/>
      <c r="F44" s="1462"/>
      <c r="G44" s="1491" t="s">
        <v>365</v>
      </c>
      <c r="H44" s="1492"/>
      <c r="I44" s="1492"/>
      <c r="J44" s="1493"/>
      <c r="K44" s="1460" t="s">
        <v>268</v>
      </c>
      <c r="L44" s="1443"/>
      <c r="M44" s="1443"/>
      <c r="N44" s="1444"/>
      <c r="O44" s="1500" t="s">
        <v>269</v>
      </c>
      <c r="P44" s="1526"/>
      <c r="Q44" s="1526"/>
      <c r="R44" s="1526"/>
      <c r="S44" s="1527"/>
      <c r="T44" s="239"/>
      <c r="AC44" s="235"/>
      <c r="AD44" s="235"/>
      <c r="AE44" s="235"/>
    </row>
    <row r="45" spans="2:31">
      <c r="B45" s="237"/>
      <c r="C45" s="1463"/>
      <c r="D45" s="1464"/>
      <c r="E45" s="1464"/>
      <c r="F45" s="1465"/>
      <c r="G45" s="1494"/>
      <c r="H45" s="1495"/>
      <c r="I45" s="1495"/>
      <c r="J45" s="1496"/>
      <c r="K45" s="1436"/>
      <c r="L45" s="1437"/>
      <c r="M45" s="1437"/>
      <c r="N45" s="1438"/>
      <c r="O45" s="1528"/>
      <c r="P45" s="1529"/>
      <c r="Q45" s="1529"/>
      <c r="R45" s="1529"/>
      <c r="S45" s="1530"/>
      <c r="T45" s="239"/>
      <c r="AC45" s="235"/>
      <c r="AD45" s="235"/>
      <c r="AE45" s="235"/>
    </row>
    <row r="46" spans="2:31">
      <c r="B46" s="237"/>
      <c r="C46" s="1463"/>
      <c r="D46" s="1464"/>
      <c r="E46" s="1464"/>
      <c r="F46" s="1465"/>
      <c r="G46" s="1494"/>
      <c r="H46" s="1495"/>
      <c r="I46" s="1495"/>
      <c r="J46" s="1496"/>
      <c r="K46" s="1436"/>
      <c r="L46" s="1437"/>
      <c r="M46" s="1437"/>
      <c r="N46" s="1438"/>
      <c r="O46" s="1528"/>
      <c r="P46" s="1529"/>
      <c r="Q46" s="1529"/>
      <c r="R46" s="1529"/>
      <c r="S46" s="1530"/>
      <c r="T46" s="239"/>
      <c r="AC46" s="235"/>
      <c r="AD46" s="235"/>
      <c r="AE46" s="235"/>
    </row>
    <row r="47" spans="2:31">
      <c r="B47" s="237"/>
      <c r="C47" s="1463"/>
      <c r="D47" s="1464"/>
      <c r="E47" s="1464"/>
      <c r="F47" s="1465"/>
      <c r="G47" s="1494"/>
      <c r="H47" s="1495"/>
      <c r="I47" s="1495"/>
      <c r="J47" s="1496"/>
      <c r="K47" s="1436"/>
      <c r="L47" s="1437"/>
      <c r="M47" s="1437"/>
      <c r="N47" s="1438"/>
      <c r="O47" s="319"/>
      <c r="P47" s="321"/>
      <c r="Q47" s="321"/>
      <c r="R47" s="321"/>
      <c r="S47" s="265"/>
      <c r="T47" s="239"/>
      <c r="AC47" s="235"/>
      <c r="AD47" s="235"/>
      <c r="AE47" s="235"/>
    </row>
    <row r="48" spans="2:31">
      <c r="B48" s="237"/>
      <c r="C48" s="1463"/>
      <c r="D48" s="1464"/>
      <c r="E48" s="1464"/>
      <c r="F48" s="1465"/>
      <c r="G48" s="1494"/>
      <c r="H48" s="1495"/>
      <c r="I48" s="1495"/>
      <c r="J48" s="1496"/>
      <c r="K48" s="1436"/>
      <c r="L48" s="1437"/>
      <c r="M48" s="1437"/>
      <c r="N48" s="1438"/>
      <c r="O48" s="319"/>
      <c r="P48" s="321"/>
      <c r="Q48" s="321"/>
      <c r="R48" s="321"/>
      <c r="S48" s="265"/>
      <c r="T48" s="239"/>
      <c r="AC48" s="235"/>
      <c r="AD48" s="235"/>
      <c r="AE48" s="235"/>
    </row>
    <row r="49" spans="2:31">
      <c r="B49" s="237"/>
      <c r="C49" s="1463"/>
      <c r="D49" s="1464"/>
      <c r="E49" s="1464"/>
      <c r="F49" s="1465"/>
      <c r="G49" s="1494" t="s">
        <v>266</v>
      </c>
      <c r="H49" s="1495"/>
      <c r="I49" s="1495"/>
      <c r="J49" s="1496"/>
      <c r="K49" s="1436"/>
      <c r="L49" s="1437"/>
      <c r="M49" s="1437"/>
      <c r="N49" s="1438"/>
      <c r="O49" s="319"/>
      <c r="P49" s="321"/>
      <c r="Q49" s="321"/>
      <c r="R49" s="321"/>
      <c r="S49" s="265"/>
      <c r="T49" s="239"/>
      <c r="AC49" s="235"/>
      <c r="AD49" s="235"/>
      <c r="AE49" s="235"/>
    </row>
    <row r="50" spans="2:31">
      <c r="B50" s="237"/>
      <c r="C50" s="1463"/>
      <c r="D50" s="1464"/>
      <c r="E50" s="1464"/>
      <c r="F50" s="1465"/>
      <c r="G50" s="1494"/>
      <c r="H50" s="1495"/>
      <c r="I50" s="1495"/>
      <c r="J50" s="1496"/>
      <c r="K50" s="1436"/>
      <c r="L50" s="1437"/>
      <c r="M50" s="1437"/>
      <c r="N50" s="1438"/>
      <c r="O50" s="319"/>
      <c r="P50" s="321"/>
      <c r="Q50" s="321"/>
      <c r="R50" s="321"/>
      <c r="S50" s="265"/>
      <c r="T50" s="239"/>
      <c r="AC50" s="235"/>
      <c r="AD50" s="235"/>
      <c r="AE50" s="235"/>
    </row>
    <row r="51" spans="2:31">
      <c r="B51" s="237"/>
      <c r="C51" s="1463"/>
      <c r="D51" s="1464"/>
      <c r="E51" s="1464"/>
      <c r="F51" s="1465"/>
      <c r="G51" s="1494"/>
      <c r="H51" s="1495"/>
      <c r="I51" s="1495"/>
      <c r="J51" s="1496"/>
      <c r="K51" s="1436"/>
      <c r="L51" s="1437"/>
      <c r="M51" s="1437"/>
      <c r="N51" s="1438"/>
      <c r="O51" s="319"/>
      <c r="P51" s="321"/>
      <c r="Q51" s="321"/>
      <c r="R51" s="321"/>
      <c r="S51" s="265"/>
      <c r="T51" s="239"/>
      <c r="AC51" s="235"/>
      <c r="AD51" s="235"/>
      <c r="AE51" s="235"/>
    </row>
    <row r="52" spans="2:31" ht="15" customHeight="1">
      <c r="B52" s="237"/>
      <c r="C52" s="1463"/>
      <c r="D52" s="1464"/>
      <c r="E52" s="1464"/>
      <c r="F52" s="1465"/>
      <c r="G52" s="319"/>
      <c r="H52" s="321"/>
      <c r="I52" s="321"/>
      <c r="J52" s="265"/>
      <c r="K52" s="1436"/>
      <c r="L52" s="1437"/>
      <c r="M52" s="1437"/>
      <c r="N52" s="1438"/>
      <c r="O52" s="319"/>
      <c r="P52" s="321"/>
      <c r="Q52" s="321"/>
      <c r="R52" s="321"/>
      <c r="S52" s="265"/>
      <c r="T52" s="239"/>
      <c r="AC52" s="235"/>
      <c r="AD52" s="235"/>
      <c r="AE52" s="235"/>
    </row>
    <row r="53" spans="2:31" ht="15" customHeight="1">
      <c r="B53" s="237"/>
      <c r="C53" s="1463"/>
      <c r="D53" s="1464"/>
      <c r="E53" s="1464"/>
      <c r="F53" s="1465"/>
      <c r="G53" s="1494" t="s">
        <v>267</v>
      </c>
      <c r="H53" s="1495"/>
      <c r="I53" s="1495"/>
      <c r="J53" s="1496"/>
      <c r="K53" s="1436"/>
      <c r="L53" s="1437"/>
      <c r="M53" s="1437"/>
      <c r="N53" s="1438"/>
      <c r="O53" s="319"/>
      <c r="P53" s="321"/>
      <c r="Q53" s="321"/>
      <c r="R53" s="321"/>
      <c r="S53" s="265"/>
      <c r="T53" s="239"/>
      <c r="AC53" s="235"/>
      <c r="AD53" s="235"/>
      <c r="AE53" s="235"/>
    </row>
    <row r="54" spans="2:31">
      <c r="B54" s="237"/>
      <c r="C54" s="1463"/>
      <c r="D54" s="1464"/>
      <c r="E54" s="1464"/>
      <c r="F54" s="1465"/>
      <c r="G54" s="1494"/>
      <c r="H54" s="1495"/>
      <c r="I54" s="1495"/>
      <c r="J54" s="1496"/>
      <c r="K54" s="1436"/>
      <c r="L54" s="1437"/>
      <c r="M54" s="1437"/>
      <c r="N54" s="1438"/>
      <c r="O54" s="319"/>
      <c r="P54" s="321"/>
      <c r="Q54" s="321"/>
      <c r="R54" s="321"/>
      <c r="S54" s="265"/>
      <c r="T54" s="239"/>
      <c r="AC54" s="235"/>
      <c r="AD54" s="235"/>
      <c r="AE54" s="235"/>
    </row>
    <row r="55" spans="2:31" ht="42.75" customHeight="1" thickBot="1">
      <c r="B55" s="237"/>
      <c r="C55" s="1466"/>
      <c r="D55" s="1467"/>
      <c r="E55" s="1467"/>
      <c r="F55" s="1468"/>
      <c r="G55" s="1501"/>
      <c r="H55" s="1502"/>
      <c r="I55" s="1502"/>
      <c r="J55" s="1503"/>
      <c r="K55" s="1439"/>
      <c r="L55" s="1440"/>
      <c r="M55" s="1440"/>
      <c r="N55" s="1441"/>
      <c r="O55" s="267"/>
      <c r="P55" s="268"/>
      <c r="Q55" s="268"/>
      <c r="R55" s="268"/>
      <c r="S55" s="269"/>
      <c r="T55" s="239"/>
      <c r="AC55" s="235"/>
      <c r="AD55" s="235"/>
      <c r="AE55" s="235"/>
    </row>
    <row r="56" spans="2:31" ht="15" customHeight="1">
      <c r="B56" s="237"/>
      <c r="C56" s="1450" t="s">
        <v>270</v>
      </c>
      <c r="D56" s="1443"/>
      <c r="E56" s="1443"/>
      <c r="F56" s="1444"/>
      <c r="G56" s="1469" t="s">
        <v>271</v>
      </c>
      <c r="H56" s="1470"/>
      <c r="I56" s="1470"/>
      <c r="J56" s="1471"/>
      <c r="K56" s="1482" t="s">
        <v>273</v>
      </c>
      <c r="L56" s="1483"/>
      <c r="M56" s="1483"/>
      <c r="N56" s="1484"/>
      <c r="O56" s="326" t="s">
        <v>274</v>
      </c>
      <c r="P56" s="270"/>
      <c r="Q56" s="270"/>
      <c r="R56" s="270"/>
      <c r="S56" s="264"/>
      <c r="T56" s="239"/>
      <c r="AC56" s="235"/>
      <c r="AD56" s="235"/>
      <c r="AE56" s="235"/>
    </row>
    <row r="57" spans="2:31">
      <c r="B57" s="237"/>
      <c r="C57" s="1436"/>
      <c r="D57" s="1437"/>
      <c r="E57" s="1437"/>
      <c r="F57" s="1438"/>
      <c r="G57" s="1472"/>
      <c r="H57" s="1473"/>
      <c r="I57" s="1473"/>
      <c r="J57" s="1474"/>
      <c r="K57" s="1485"/>
      <c r="L57" s="1486"/>
      <c r="M57" s="1486"/>
      <c r="N57" s="1487"/>
      <c r="O57" s="319"/>
      <c r="P57" s="321"/>
      <c r="Q57" s="321"/>
      <c r="R57" s="321"/>
      <c r="S57" s="265"/>
      <c r="T57" s="239"/>
      <c r="AC57" s="235"/>
      <c r="AD57" s="235"/>
      <c r="AE57" s="235"/>
    </row>
    <row r="58" spans="2:31">
      <c r="B58" s="237"/>
      <c r="C58" s="1436"/>
      <c r="D58" s="1437"/>
      <c r="E58" s="1437"/>
      <c r="F58" s="1438"/>
      <c r="G58" s="1472"/>
      <c r="H58" s="1473"/>
      <c r="I58" s="1473"/>
      <c r="J58" s="1474"/>
      <c r="K58" s="1485"/>
      <c r="L58" s="1486"/>
      <c r="M58" s="1486"/>
      <c r="N58" s="1487"/>
      <c r="O58" s="319"/>
      <c r="P58" s="321"/>
      <c r="Q58" s="321"/>
      <c r="R58" s="321"/>
      <c r="S58" s="265"/>
      <c r="T58" s="239"/>
      <c r="AC58" s="235"/>
      <c r="AD58" s="235"/>
      <c r="AE58" s="235"/>
    </row>
    <row r="59" spans="2:31">
      <c r="B59" s="237"/>
      <c r="C59" s="1436"/>
      <c r="D59" s="1437"/>
      <c r="E59" s="1437"/>
      <c r="F59" s="1438"/>
      <c r="G59" s="1472"/>
      <c r="H59" s="1473"/>
      <c r="I59" s="1473"/>
      <c r="J59" s="1474"/>
      <c r="K59" s="1485"/>
      <c r="L59" s="1486"/>
      <c r="M59" s="1486"/>
      <c r="N59" s="1487"/>
      <c r="O59" s="319"/>
      <c r="P59" s="321"/>
      <c r="Q59" s="321"/>
      <c r="R59" s="321"/>
      <c r="S59" s="265"/>
      <c r="T59" s="239"/>
      <c r="AC59" s="235"/>
      <c r="AD59" s="235"/>
      <c r="AE59" s="235"/>
    </row>
    <row r="60" spans="2:31">
      <c r="B60" s="237"/>
      <c r="C60" s="1436"/>
      <c r="D60" s="1437"/>
      <c r="E60" s="1437"/>
      <c r="F60" s="1438"/>
      <c r="G60" s="1485" t="s">
        <v>272</v>
      </c>
      <c r="H60" s="1486"/>
      <c r="I60" s="1486"/>
      <c r="J60" s="1487"/>
      <c r="K60" s="1485"/>
      <c r="L60" s="1486"/>
      <c r="M60" s="1486"/>
      <c r="N60" s="1487"/>
      <c r="O60" s="319"/>
      <c r="P60" s="321"/>
      <c r="Q60" s="321"/>
      <c r="R60" s="321"/>
      <c r="S60" s="265"/>
      <c r="T60" s="239"/>
      <c r="AC60" s="235"/>
      <c r="AD60" s="235"/>
      <c r="AE60" s="235"/>
    </row>
    <row r="61" spans="2:31">
      <c r="B61" s="237"/>
      <c r="C61" s="319"/>
      <c r="D61" s="321"/>
      <c r="E61" s="321"/>
      <c r="F61" s="265"/>
      <c r="G61" s="1485"/>
      <c r="H61" s="1486"/>
      <c r="I61" s="1486"/>
      <c r="J61" s="1487"/>
      <c r="K61" s="1485"/>
      <c r="L61" s="1486"/>
      <c r="M61" s="1486"/>
      <c r="N61" s="1487"/>
      <c r="O61" s="319"/>
      <c r="P61" s="321"/>
      <c r="Q61" s="321"/>
      <c r="R61" s="321"/>
      <c r="S61" s="265"/>
      <c r="T61" s="239"/>
      <c r="AC61" s="235"/>
      <c r="AD61" s="235"/>
      <c r="AE61" s="235"/>
    </row>
    <row r="62" spans="2:31" ht="15" thickBot="1">
      <c r="B62" s="237"/>
      <c r="C62" s="267"/>
      <c r="D62" s="268"/>
      <c r="E62" s="268"/>
      <c r="F62" s="269"/>
      <c r="G62" s="1488"/>
      <c r="H62" s="1489"/>
      <c r="I62" s="1489"/>
      <c r="J62" s="1490"/>
      <c r="K62" s="1488"/>
      <c r="L62" s="1489"/>
      <c r="M62" s="1489"/>
      <c r="N62" s="1490"/>
      <c r="O62" s="267"/>
      <c r="P62" s="268"/>
      <c r="Q62" s="268"/>
      <c r="R62" s="268"/>
      <c r="S62" s="269"/>
      <c r="T62" s="239"/>
      <c r="AC62" s="235"/>
      <c r="AD62" s="235"/>
      <c r="AE62" s="235"/>
    </row>
    <row r="63" spans="2:31" ht="15" customHeight="1">
      <c r="B63" s="237"/>
      <c r="C63" s="1450" t="s">
        <v>312</v>
      </c>
      <c r="D63" s="1443"/>
      <c r="E63" s="1443"/>
      <c r="F63" s="1444"/>
      <c r="G63" s="1460" t="s">
        <v>313</v>
      </c>
      <c r="H63" s="1534"/>
      <c r="I63" s="1534"/>
      <c r="J63" s="1535"/>
      <c r="K63" s="1491" t="s">
        <v>314</v>
      </c>
      <c r="L63" s="1492"/>
      <c r="M63" s="1492"/>
      <c r="N63" s="1493"/>
      <c r="O63" s="1500" t="s">
        <v>319</v>
      </c>
      <c r="P63" s="1483"/>
      <c r="Q63" s="1483"/>
      <c r="R63" s="1483"/>
      <c r="S63" s="1484"/>
      <c r="T63" s="239"/>
      <c r="AC63" s="235"/>
      <c r="AD63" s="235"/>
      <c r="AE63" s="235"/>
    </row>
    <row r="64" spans="2:31">
      <c r="B64" s="237"/>
      <c r="C64" s="1436"/>
      <c r="D64" s="1437"/>
      <c r="E64" s="1437"/>
      <c r="F64" s="1438"/>
      <c r="G64" s="1536"/>
      <c r="H64" s="1537"/>
      <c r="I64" s="1537"/>
      <c r="J64" s="1538"/>
      <c r="K64" s="1494"/>
      <c r="L64" s="1495"/>
      <c r="M64" s="1495"/>
      <c r="N64" s="1496"/>
      <c r="O64" s="1485"/>
      <c r="P64" s="1486"/>
      <c r="Q64" s="1486"/>
      <c r="R64" s="1486"/>
      <c r="S64" s="1487"/>
      <c r="T64" s="239"/>
      <c r="AC64" s="235"/>
      <c r="AD64" s="235"/>
      <c r="AE64" s="235"/>
    </row>
    <row r="65" spans="2:31">
      <c r="B65" s="237"/>
      <c r="C65" s="1436"/>
      <c r="D65" s="1437"/>
      <c r="E65" s="1437"/>
      <c r="F65" s="1438"/>
      <c r="G65" s="1536"/>
      <c r="H65" s="1537"/>
      <c r="I65" s="1537"/>
      <c r="J65" s="1538"/>
      <c r="K65" s="1494"/>
      <c r="L65" s="1495"/>
      <c r="M65" s="1495"/>
      <c r="N65" s="1496"/>
      <c r="O65" s="1485"/>
      <c r="P65" s="1486"/>
      <c r="Q65" s="1486"/>
      <c r="R65" s="1486"/>
      <c r="S65" s="1487"/>
      <c r="T65" s="239"/>
      <c r="AC65" s="235"/>
      <c r="AD65" s="235"/>
      <c r="AE65" s="235"/>
    </row>
    <row r="66" spans="2:31">
      <c r="B66" s="237"/>
      <c r="C66" s="1436"/>
      <c r="D66" s="1437"/>
      <c r="E66" s="1437"/>
      <c r="F66" s="1438"/>
      <c r="G66" s="1536"/>
      <c r="H66" s="1537"/>
      <c r="I66" s="1537"/>
      <c r="J66" s="1538"/>
      <c r="K66" s="1494"/>
      <c r="L66" s="1495"/>
      <c r="M66" s="1495"/>
      <c r="N66" s="1496"/>
      <c r="O66" s="1485"/>
      <c r="P66" s="1486"/>
      <c r="Q66" s="1486"/>
      <c r="R66" s="1486"/>
      <c r="S66" s="1487"/>
      <c r="T66" s="239"/>
      <c r="AC66" s="235"/>
      <c r="AD66" s="235"/>
      <c r="AE66" s="235"/>
    </row>
    <row r="67" spans="2:31">
      <c r="B67" s="237"/>
      <c r="C67" s="1436"/>
      <c r="D67" s="1437"/>
      <c r="E67" s="1437"/>
      <c r="F67" s="1438"/>
      <c r="G67" s="1536"/>
      <c r="H67" s="1537"/>
      <c r="I67" s="1537"/>
      <c r="J67" s="1538"/>
      <c r="K67" s="319"/>
      <c r="L67" s="321"/>
      <c r="M67" s="321"/>
      <c r="N67" s="265"/>
      <c r="O67" s="1485"/>
      <c r="P67" s="1486"/>
      <c r="Q67" s="1486"/>
      <c r="R67" s="1486"/>
      <c r="S67" s="1487"/>
      <c r="T67" s="239"/>
      <c r="AC67" s="235"/>
      <c r="AD67" s="235"/>
      <c r="AE67" s="235"/>
    </row>
    <row r="68" spans="2:31" ht="15" customHeight="1">
      <c r="B68" s="237"/>
      <c r="C68" s="1436"/>
      <c r="D68" s="1437"/>
      <c r="E68" s="1437"/>
      <c r="F68" s="1438"/>
      <c r="G68" s="1536"/>
      <c r="H68" s="1537"/>
      <c r="I68" s="1537"/>
      <c r="J68" s="1538"/>
      <c r="K68" s="1472" t="s">
        <v>316</v>
      </c>
      <c r="L68" s="1473"/>
      <c r="M68" s="1473"/>
      <c r="N68" s="1474"/>
      <c r="O68" s="1485"/>
      <c r="P68" s="1486"/>
      <c r="Q68" s="1486"/>
      <c r="R68" s="1486"/>
      <c r="S68" s="1487"/>
      <c r="T68" s="239"/>
      <c r="AC68" s="235"/>
      <c r="AD68" s="235"/>
    </row>
    <row r="69" spans="2:31" ht="15" customHeight="1">
      <c r="B69" s="237"/>
      <c r="C69" s="1436"/>
      <c r="D69" s="1437"/>
      <c r="E69" s="1437"/>
      <c r="F69" s="1438"/>
      <c r="G69" s="1494" t="s">
        <v>315</v>
      </c>
      <c r="H69" s="1495"/>
      <c r="I69" s="1495"/>
      <c r="J69" s="1496"/>
      <c r="K69" s="1472"/>
      <c r="L69" s="1473"/>
      <c r="M69" s="1473"/>
      <c r="N69" s="1474"/>
      <c r="O69" s="1485"/>
      <c r="P69" s="1486"/>
      <c r="Q69" s="1486"/>
      <c r="R69" s="1486"/>
      <c r="S69" s="1487"/>
      <c r="T69" s="239"/>
      <c r="AC69" s="235"/>
      <c r="AD69" s="235"/>
    </row>
    <row r="70" spans="2:31" ht="15" customHeight="1">
      <c r="B70" s="237"/>
      <c r="C70" s="1436"/>
      <c r="D70" s="1437"/>
      <c r="E70" s="1437"/>
      <c r="F70" s="1438"/>
      <c r="G70" s="1494"/>
      <c r="H70" s="1495"/>
      <c r="I70" s="1495"/>
      <c r="J70" s="1496"/>
      <c r="K70" s="1531" t="s">
        <v>317</v>
      </c>
      <c r="L70" s="1532"/>
      <c r="M70" s="1532"/>
      <c r="N70" s="1533"/>
      <c r="O70" s="1485"/>
      <c r="P70" s="1486"/>
      <c r="Q70" s="1486"/>
      <c r="R70" s="1486"/>
      <c r="S70" s="1487"/>
      <c r="T70" s="239"/>
      <c r="AC70" s="235"/>
      <c r="AD70" s="235"/>
    </row>
    <row r="71" spans="2:31">
      <c r="B71" s="237"/>
      <c r="C71" s="1436"/>
      <c r="D71" s="1437"/>
      <c r="E71" s="1437"/>
      <c r="F71" s="1438"/>
      <c r="G71" s="1494"/>
      <c r="H71" s="1495"/>
      <c r="I71" s="1495"/>
      <c r="J71" s="1496"/>
      <c r="K71" s="1531"/>
      <c r="L71" s="1532"/>
      <c r="M71" s="1532"/>
      <c r="N71" s="1533"/>
      <c r="O71" s="1485"/>
      <c r="P71" s="1486"/>
      <c r="Q71" s="1486"/>
      <c r="R71" s="1486"/>
      <c r="S71" s="1487"/>
      <c r="T71" s="239"/>
      <c r="AC71" s="235"/>
      <c r="AD71" s="235"/>
    </row>
    <row r="72" spans="2:31">
      <c r="B72" s="237"/>
      <c r="C72" s="1436"/>
      <c r="D72" s="1437"/>
      <c r="E72" s="1437"/>
      <c r="F72" s="1438"/>
      <c r="G72" s="1494"/>
      <c r="H72" s="1495"/>
      <c r="I72" s="1495"/>
      <c r="J72" s="1496"/>
      <c r="K72" s="1531"/>
      <c r="L72" s="1532"/>
      <c r="M72" s="1532"/>
      <c r="N72" s="1533"/>
      <c r="O72" s="1485"/>
      <c r="P72" s="1486"/>
      <c r="Q72" s="1486"/>
      <c r="R72" s="1486"/>
      <c r="S72" s="1487"/>
      <c r="T72" s="239"/>
      <c r="AC72" s="235"/>
      <c r="AD72" s="235"/>
    </row>
    <row r="73" spans="2:31">
      <c r="B73" s="237"/>
      <c r="C73" s="1436"/>
      <c r="D73" s="1437"/>
      <c r="E73" s="1437"/>
      <c r="F73" s="1438"/>
      <c r="G73" s="1494"/>
      <c r="H73" s="1495"/>
      <c r="I73" s="1495"/>
      <c r="J73" s="1496"/>
      <c r="K73" s="1531"/>
      <c r="L73" s="1532"/>
      <c r="M73" s="1532"/>
      <c r="N73" s="1533"/>
      <c r="O73" s="1485"/>
      <c r="P73" s="1486"/>
      <c r="Q73" s="1486"/>
      <c r="R73" s="1486"/>
      <c r="S73" s="1487"/>
      <c r="T73" s="239"/>
      <c r="AC73" s="235"/>
      <c r="AD73" s="235"/>
    </row>
    <row r="74" spans="2:31" ht="15" customHeight="1">
      <c r="B74" s="237"/>
      <c r="C74" s="1436"/>
      <c r="D74" s="1437"/>
      <c r="E74" s="1437"/>
      <c r="F74" s="1438"/>
      <c r="G74" s="1494"/>
      <c r="H74" s="1495"/>
      <c r="I74" s="1495"/>
      <c r="J74" s="1496"/>
      <c r="K74" s="1472" t="s">
        <v>318</v>
      </c>
      <c r="L74" s="1473"/>
      <c r="M74" s="1473"/>
      <c r="N74" s="1474"/>
      <c r="O74" s="1485"/>
      <c r="P74" s="1486"/>
      <c r="Q74" s="1486"/>
      <c r="R74" s="1486"/>
      <c r="S74" s="1487"/>
      <c r="T74" s="239"/>
      <c r="AC74" s="235"/>
      <c r="AD74" s="235"/>
    </row>
    <row r="75" spans="2:31">
      <c r="B75" s="237"/>
      <c r="C75" s="1436"/>
      <c r="D75" s="1437"/>
      <c r="E75" s="1437"/>
      <c r="F75" s="1438"/>
      <c r="G75" s="1494"/>
      <c r="H75" s="1495"/>
      <c r="I75" s="1495"/>
      <c r="J75" s="1496"/>
      <c r="K75" s="1472"/>
      <c r="L75" s="1473"/>
      <c r="M75" s="1473"/>
      <c r="N75" s="1474"/>
      <c r="O75" s="1485"/>
      <c r="P75" s="1486"/>
      <c r="Q75" s="1486"/>
      <c r="R75" s="1486"/>
      <c r="S75" s="1487"/>
      <c r="T75" s="239"/>
      <c r="AC75" s="235"/>
      <c r="AD75" s="235"/>
    </row>
    <row r="76" spans="2:31">
      <c r="B76" s="237"/>
      <c r="C76" s="1436"/>
      <c r="D76" s="1437"/>
      <c r="E76" s="1437"/>
      <c r="F76" s="1438"/>
      <c r="G76" s="1494"/>
      <c r="H76" s="1495"/>
      <c r="I76" s="1495"/>
      <c r="J76" s="1496"/>
      <c r="K76" s="1472"/>
      <c r="L76" s="1473"/>
      <c r="M76" s="1473"/>
      <c r="N76" s="1474"/>
      <c r="O76" s="1485"/>
      <c r="P76" s="1486"/>
      <c r="Q76" s="1486"/>
      <c r="R76" s="1486"/>
      <c r="S76" s="1487"/>
      <c r="T76" s="239"/>
      <c r="AC76" s="235"/>
      <c r="AD76" s="235"/>
    </row>
    <row r="77" spans="2:31" ht="15" thickBot="1">
      <c r="B77" s="237"/>
      <c r="C77" s="1439"/>
      <c r="D77" s="1440"/>
      <c r="E77" s="1440"/>
      <c r="F77" s="1441"/>
      <c r="G77" s="1501"/>
      <c r="H77" s="1502"/>
      <c r="I77" s="1502"/>
      <c r="J77" s="1503"/>
      <c r="K77" s="1497"/>
      <c r="L77" s="1498"/>
      <c r="M77" s="1498"/>
      <c r="N77" s="1499"/>
      <c r="O77" s="1488"/>
      <c r="P77" s="1489"/>
      <c r="Q77" s="1489"/>
      <c r="R77" s="1489"/>
      <c r="S77" s="1490"/>
      <c r="T77" s="239"/>
      <c r="AC77" s="235"/>
      <c r="AD77" s="235"/>
    </row>
    <row r="78" spans="2:31">
      <c r="B78" s="237"/>
      <c r="C78" s="238"/>
      <c r="D78" s="238"/>
      <c r="E78" s="238"/>
      <c r="F78" s="238"/>
      <c r="G78" s="238"/>
      <c r="H78" s="238"/>
      <c r="I78" s="238"/>
      <c r="J78" s="238"/>
      <c r="K78" s="238"/>
      <c r="L78" s="238"/>
      <c r="M78" s="238"/>
      <c r="N78" s="238"/>
      <c r="O78" s="238"/>
      <c r="P78" s="238"/>
      <c r="Q78" s="238"/>
      <c r="R78" s="238"/>
      <c r="S78" s="238"/>
      <c r="T78" s="239"/>
      <c r="AC78" s="235"/>
      <c r="AD78" s="235"/>
    </row>
    <row r="79" spans="2:31" ht="15" thickBot="1">
      <c r="B79" s="240"/>
      <c r="C79" s="241"/>
      <c r="D79" s="241"/>
      <c r="E79" s="241"/>
      <c r="F79" s="241"/>
      <c r="G79" s="241"/>
      <c r="H79" s="241"/>
      <c r="I79" s="241"/>
      <c r="J79" s="241"/>
      <c r="K79" s="241"/>
      <c r="L79" s="241"/>
      <c r="M79" s="241"/>
      <c r="N79" s="241"/>
      <c r="O79" s="241"/>
      <c r="P79" s="241"/>
      <c r="Q79" s="241"/>
      <c r="R79" s="241"/>
      <c r="S79" s="241"/>
      <c r="T79" s="242"/>
      <c r="AC79" s="235"/>
      <c r="AD79" s="235"/>
    </row>
    <row r="80" spans="2:31" s="231" customFormat="1"/>
    <row r="81" s="231" customFormat="1"/>
    <row r="82" s="231" customFormat="1"/>
    <row r="83" s="231" customFormat="1"/>
    <row r="84" s="231" customFormat="1"/>
    <row r="85" s="231" customFormat="1"/>
    <row r="86" s="231" customFormat="1"/>
    <row r="87" s="231" customFormat="1"/>
    <row r="88" s="231" customFormat="1"/>
    <row r="89" s="231" customFormat="1"/>
    <row r="90" s="231" customFormat="1"/>
    <row r="91" s="231" customFormat="1"/>
    <row r="92" s="231" customFormat="1"/>
    <row r="93" s="231" customFormat="1"/>
    <row r="94" s="231" customFormat="1"/>
    <row r="95" s="231" customFormat="1"/>
    <row r="96" s="231" customFormat="1"/>
  </sheetData>
  <mergeCells count="56">
    <mergeCell ref="E3:P3"/>
    <mergeCell ref="O44:S46"/>
    <mergeCell ref="O63:S77"/>
    <mergeCell ref="K68:N69"/>
    <mergeCell ref="K70:N73"/>
    <mergeCell ref="G63:J68"/>
    <mergeCell ref="G69:J77"/>
    <mergeCell ref="K63:N66"/>
    <mergeCell ref="G60:J62"/>
    <mergeCell ref="C63:F77"/>
    <mergeCell ref="K74:N77"/>
    <mergeCell ref="G39:J39"/>
    <mergeCell ref="K36:N39"/>
    <mergeCell ref="G37:J37"/>
    <mergeCell ref="G56:J59"/>
    <mergeCell ref="G49:J51"/>
    <mergeCell ref="G36:J36"/>
    <mergeCell ref="O31:S32"/>
    <mergeCell ref="G53:J55"/>
    <mergeCell ref="C44:F55"/>
    <mergeCell ref="K44:N55"/>
    <mergeCell ref="G35:J35"/>
    <mergeCell ref="O40:S41"/>
    <mergeCell ref="K40:N43"/>
    <mergeCell ref="G38:J38"/>
    <mergeCell ref="K31:N31"/>
    <mergeCell ref="C31:F39"/>
    <mergeCell ref="G31:J32"/>
    <mergeCell ref="K32:N34"/>
    <mergeCell ref="G34:J34"/>
    <mergeCell ref="C56:F60"/>
    <mergeCell ref="K56:N62"/>
    <mergeCell ref="G44:J48"/>
    <mergeCell ref="C40:F43"/>
    <mergeCell ref="G40:J43"/>
    <mergeCell ref="C25:F30"/>
    <mergeCell ref="G26:J27"/>
    <mergeCell ref="G25:J25"/>
    <mergeCell ref="G33:J33"/>
    <mergeCell ref="O25:S25"/>
    <mergeCell ref="K25:N26"/>
    <mergeCell ref="E5:H6"/>
    <mergeCell ref="O11:S11"/>
    <mergeCell ref="G15:J16"/>
    <mergeCell ref="G17:J18"/>
    <mergeCell ref="G19:J24"/>
    <mergeCell ref="C11:F11"/>
    <mergeCell ref="G11:J11"/>
    <mergeCell ref="K11:N11"/>
    <mergeCell ref="C17:F24"/>
    <mergeCell ref="C12:F16"/>
    <mergeCell ref="O17:S24"/>
    <mergeCell ref="K17:N24"/>
    <mergeCell ref="G12:J14"/>
    <mergeCell ref="K12:N14"/>
    <mergeCell ref="K15:N16"/>
  </mergeCells>
  <phoneticPr fontId="26" type="noConversion"/>
  <hyperlinks>
    <hyperlink ref="O12" r:id="rId1"/>
    <hyperlink ref="O17" r:id="rId2"/>
    <hyperlink ref="O25" r:id="rId3"/>
    <hyperlink ref="O40" r:id="rId4"/>
    <hyperlink ref="O31" r:id="rId5" location="eligible"/>
    <hyperlink ref="O44" r:id="rId6"/>
    <hyperlink ref="O56" r:id="rId7"/>
    <hyperlink ref="O63" r:id="rId8"/>
    <hyperlink ref="E5:H6" location="'Main Menu'!A1" display="RETURN TO MAIN MENU"/>
  </hyperlinks>
  <pageMargins left="0.511811024" right="0.511811024" top="0.78740157499999996" bottom="0.78740157499999996" header="0.31496062000000002" footer="0.31496062000000002"/>
  <pageSetup paperSize="9" orientation="portrait" r:id="rId9"/>
  <drawing r:id="rId10"/>
</worksheet>
</file>

<file path=xl/worksheets/sheet14.xml><?xml version="1.0" encoding="utf-8"?>
<worksheet xmlns="http://schemas.openxmlformats.org/spreadsheetml/2006/main" xmlns:r="http://schemas.openxmlformats.org/officeDocument/2006/relationships">
  <sheetPr codeName="Plan16"/>
  <dimension ref="A1:AA72"/>
  <sheetViews>
    <sheetView showGridLines="0" showRowColHeaders="0" zoomScale="85" zoomScaleNormal="85" workbookViewId="0">
      <selection activeCell="K6" sqref="K6:L7"/>
    </sheetView>
  </sheetViews>
  <sheetFormatPr defaultRowHeight="15"/>
  <cols>
    <col min="1" max="1" width="3.140625" style="206" customWidth="1"/>
    <col min="2" max="2" width="3.42578125" style="2" customWidth="1"/>
    <col min="3" max="3" width="37.7109375" style="2" customWidth="1"/>
    <col min="4" max="4" width="9.85546875" style="2" customWidth="1"/>
    <col min="5" max="5" width="11.28515625" style="2" customWidth="1"/>
    <col min="6" max="6" width="8.85546875" style="2" customWidth="1"/>
    <col min="7" max="7" width="9.85546875" style="2" customWidth="1"/>
    <col min="8" max="10" width="9.140625" style="2" customWidth="1"/>
    <col min="11" max="11" width="10.85546875" style="2" customWidth="1"/>
    <col min="12" max="12" width="9.140625" style="2" customWidth="1"/>
    <col min="13" max="13" width="3.42578125" style="2" customWidth="1"/>
    <col min="14" max="14" width="9.140625" style="206" customWidth="1"/>
    <col min="15" max="16384" width="9.140625" style="2"/>
  </cols>
  <sheetData>
    <row r="1" spans="2:27" s="206" customFormat="1" ht="19.5" thickBot="1">
      <c r="C1" s="209" t="s">
        <v>35</v>
      </c>
      <c r="D1" s="207"/>
      <c r="E1" s="207"/>
      <c r="F1" s="208"/>
      <c r="G1" s="208"/>
    </row>
    <row r="2" spans="2:27" ht="15.75" thickBot="1">
      <c r="B2" s="33"/>
      <c r="C2" s="60"/>
      <c r="D2" s="28"/>
      <c r="E2" s="28"/>
      <c r="F2" s="28"/>
      <c r="G2" s="28"/>
      <c r="H2" s="34" t="s">
        <v>36</v>
      </c>
      <c r="I2" s="28"/>
      <c r="J2" s="28"/>
      <c r="K2" s="28"/>
      <c r="L2" s="28"/>
      <c r="M2" s="35"/>
      <c r="O2" s="1546" t="s">
        <v>159</v>
      </c>
      <c r="P2" s="1547"/>
      <c r="Q2" s="1547"/>
      <c r="R2" s="1548"/>
      <c r="S2" s="206"/>
      <c r="T2" s="206"/>
      <c r="U2" s="206"/>
      <c r="V2" s="206"/>
      <c r="W2" s="206"/>
      <c r="X2" s="206"/>
      <c r="Y2" s="58"/>
      <c r="Z2" s="58"/>
      <c r="AA2" s="58"/>
    </row>
    <row r="3" spans="2:27" ht="15.75">
      <c r="B3" s="11"/>
      <c r="C3" s="177"/>
      <c r="D3" s="180"/>
      <c r="E3" s="180"/>
      <c r="F3" s="181" t="s">
        <v>37</v>
      </c>
      <c r="G3" s="4"/>
      <c r="H3" s="36" t="s">
        <v>158</v>
      </c>
      <c r="I3" s="4"/>
      <c r="J3" s="4"/>
      <c r="K3" s="4"/>
      <c r="L3" s="4"/>
      <c r="M3" s="29"/>
      <c r="O3" s="1549"/>
      <c r="P3" s="1550"/>
      <c r="Q3" s="1550"/>
      <c r="R3" s="1551"/>
      <c r="S3" s="206"/>
      <c r="T3" s="206"/>
      <c r="U3" s="206"/>
      <c r="V3" s="206"/>
      <c r="W3" s="206"/>
      <c r="X3" s="206"/>
      <c r="Y3" s="58"/>
      <c r="Z3" s="58"/>
      <c r="AA3" s="58"/>
    </row>
    <row r="4" spans="2:27" ht="16.5" thickBot="1">
      <c r="B4" s="11"/>
      <c r="C4" s="178" t="s">
        <v>38</v>
      </c>
      <c r="D4" s="944">
        <v>60</v>
      </c>
      <c r="E4" s="182" t="s">
        <v>39</v>
      </c>
      <c r="F4" s="183">
        <f>(5.176-0.0585*D4)*1000</f>
        <v>1666</v>
      </c>
      <c r="G4" s="4"/>
      <c r="H4" s="37" t="s">
        <v>40</v>
      </c>
      <c r="I4" s="37"/>
      <c r="J4" s="37"/>
      <c r="K4" s="37"/>
      <c r="L4" s="4"/>
      <c r="M4" s="29"/>
      <c r="O4" s="1552"/>
      <c r="P4" s="1553"/>
      <c r="Q4" s="1553"/>
      <c r="R4" s="1554"/>
      <c r="S4" s="206"/>
      <c r="T4" s="206"/>
      <c r="U4" s="206"/>
      <c r="V4" s="206"/>
      <c r="W4" s="206"/>
      <c r="X4" s="206"/>
      <c r="Y4" s="58"/>
      <c r="Z4" s="58"/>
      <c r="AA4" s="58"/>
    </row>
    <row r="5" spans="2:27" ht="15.75" thickBot="1">
      <c r="B5" s="11"/>
      <c r="C5" s="179" t="s">
        <v>41</v>
      </c>
      <c r="D5" s="943">
        <v>20</v>
      </c>
      <c r="E5" s="184" t="s">
        <v>42</v>
      </c>
      <c r="F5" s="185">
        <f>(5.176-0.0585*D5)*1000</f>
        <v>4006</v>
      </c>
      <c r="G5" s="4"/>
      <c r="H5" s="4"/>
      <c r="I5" s="4"/>
      <c r="J5" s="4"/>
      <c r="K5" s="4"/>
      <c r="L5" s="4"/>
      <c r="M5" s="29"/>
      <c r="O5" s="206"/>
      <c r="P5" s="206"/>
      <c r="Q5" s="206"/>
      <c r="R5" s="206"/>
      <c r="S5" s="206"/>
      <c r="T5" s="206"/>
      <c r="U5" s="206"/>
      <c r="V5" s="206"/>
      <c r="W5" s="206"/>
      <c r="X5" s="206"/>
      <c r="Y5" s="58"/>
      <c r="Z5" s="58"/>
    </row>
    <row r="6" spans="2:27">
      <c r="B6" s="11"/>
      <c r="C6" s="4"/>
      <c r="D6" s="13"/>
      <c r="E6" s="4"/>
      <c r="F6" s="32"/>
      <c r="G6" s="4"/>
      <c r="H6" s="4"/>
      <c r="I6" s="4"/>
      <c r="J6" s="4"/>
      <c r="K6" s="1555" t="s">
        <v>565</v>
      </c>
      <c r="L6" s="1556"/>
      <c r="M6" s="29"/>
      <c r="O6" s="206"/>
      <c r="P6" s="206"/>
      <c r="Q6" s="206"/>
      <c r="R6" s="206"/>
      <c r="S6" s="206"/>
      <c r="T6" s="206"/>
      <c r="U6" s="206"/>
      <c r="V6" s="206"/>
      <c r="W6" s="206"/>
      <c r="X6" s="206"/>
      <c r="Y6" s="58"/>
      <c r="Z6" s="58"/>
    </row>
    <row r="7" spans="2:27" ht="15.75" thickBot="1">
      <c r="B7" s="11"/>
      <c r="C7" s="14" t="s">
        <v>43</v>
      </c>
      <c r="D7" s="9"/>
      <c r="E7" s="9"/>
      <c r="F7" s="9"/>
      <c r="G7" s="9"/>
      <c r="H7" s="9"/>
      <c r="I7" s="9"/>
      <c r="J7" s="9"/>
      <c r="K7" s="1557"/>
      <c r="L7" s="1558"/>
      <c r="M7" s="29"/>
      <c r="O7" s="206"/>
      <c r="P7" s="206"/>
      <c r="Q7" s="206"/>
      <c r="R7" s="206"/>
      <c r="S7" s="206"/>
      <c r="T7" s="206"/>
      <c r="U7" s="206"/>
      <c r="V7" s="206"/>
      <c r="W7" s="206"/>
      <c r="X7" s="206"/>
      <c r="Y7" s="58"/>
      <c r="Z7" s="58"/>
    </row>
    <row r="8" spans="2:27">
      <c r="B8" s="11"/>
      <c r="C8" s="38"/>
      <c r="D8" s="4"/>
      <c r="E8" s="4"/>
      <c r="F8" s="4"/>
      <c r="G8" s="4"/>
      <c r="H8" s="4"/>
      <c r="I8" s="4"/>
      <c r="J8" s="4"/>
      <c r="K8" s="4"/>
      <c r="L8" s="4"/>
      <c r="M8" s="29"/>
      <c r="O8" s="206"/>
      <c r="P8" s="206"/>
      <c r="Q8" s="206"/>
      <c r="R8" s="206"/>
      <c r="S8" s="206"/>
      <c r="T8" s="206"/>
      <c r="U8" s="206"/>
      <c r="V8" s="206"/>
      <c r="W8" s="206"/>
      <c r="X8" s="206"/>
      <c r="Y8" s="58"/>
      <c r="Z8" s="58"/>
    </row>
    <row r="9" spans="2:27" ht="66">
      <c r="B9" s="11"/>
      <c r="C9" s="39"/>
      <c r="D9" s="186" t="s">
        <v>44</v>
      </c>
      <c r="E9" s="187" t="s">
        <v>45</v>
      </c>
      <c r="F9" s="187" t="s">
        <v>46</v>
      </c>
      <c r="G9" s="187" t="s">
        <v>47</v>
      </c>
      <c r="H9" s="187" t="s">
        <v>67</v>
      </c>
      <c r="I9" s="188" t="s">
        <v>68</v>
      </c>
      <c r="J9" s="40"/>
      <c r="K9" s="40"/>
      <c r="L9" s="4"/>
      <c r="M9" s="29"/>
      <c r="O9" s="206"/>
      <c r="P9" s="206"/>
      <c r="Q9" s="206"/>
      <c r="R9" s="206"/>
      <c r="S9" s="206"/>
      <c r="T9" s="206"/>
      <c r="U9" s="206"/>
      <c r="V9" s="206"/>
      <c r="W9" s="206"/>
      <c r="X9" s="206"/>
      <c r="Y9" s="58"/>
      <c r="Z9" s="58"/>
    </row>
    <row r="10" spans="2:27">
      <c r="B10" s="11"/>
      <c r="C10" s="41" t="s">
        <v>48</v>
      </c>
      <c r="D10" s="945">
        <v>5</v>
      </c>
      <c r="E10" s="945">
        <v>10</v>
      </c>
      <c r="F10" s="189">
        <f>E10*0.746/D10</f>
        <v>1.492</v>
      </c>
      <c r="G10" s="190">
        <f>F10/9.9</f>
        <v>0.15070707070707071</v>
      </c>
      <c r="H10" s="191">
        <f>0.25*F10</f>
        <v>0.373</v>
      </c>
      <c r="I10" s="192">
        <f>H10*$F$5/$F$4</f>
        <v>0.89690156062424975</v>
      </c>
      <c r="J10" s="4"/>
      <c r="K10" s="4"/>
      <c r="L10" s="4"/>
      <c r="M10" s="29"/>
      <c r="O10" s="206"/>
      <c r="P10" s="206"/>
      <c r="Q10" s="206"/>
      <c r="R10" s="206"/>
      <c r="S10" s="206"/>
      <c r="T10" s="206"/>
      <c r="U10" s="206"/>
      <c r="V10" s="206"/>
      <c r="W10" s="206"/>
      <c r="X10" s="206"/>
      <c r="Y10" s="58"/>
      <c r="Z10" s="58"/>
    </row>
    <row r="11" spans="2:27">
      <c r="B11" s="11"/>
      <c r="C11" s="41"/>
      <c r="D11" s="32"/>
      <c r="E11" s="32"/>
      <c r="F11" s="8"/>
      <c r="G11" s="15"/>
      <c r="H11" s="16"/>
      <c r="I11" s="17"/>
      <c r="J11" s="4"/>
      <c r="K11" s="4"/>
      <c r="L11" s="4"/>
      <c r="M11" s="29"/>
      <c r="O11" s="206"/>
      <c r="P11" s="206"/>
      <c r="Q11" s="206"/>
      <c r="R11" s="206"/>
      <c r="S11" s="206"/>
      <c r="T11" s="206"/>
      <c r="U11" s="206"/>
      <c r="V11" s="206"/>
      <c r="W11" s="206"/>
      <c r="X11" s="206"/>
      <c r="Y11" s="58"/>
      <c r="Z11" s="58"/>
    </row>
    <row r="12" spans="2:27">
      <c r="B12" s="11"/>
      <c r="C12" s="4"/>
      <c r="D12" s="4"/>
      <c r="E12" s="4"/>
      <c r="F12" s="4"/>
      <c r="G12" s="4"/>
      <c r="H12" s="4"/>
      <c r="I12" s="4"/>
      <c r="J12" s="4"/>
      <c r="K12" s="4"/>
      <c r="L12" s="4"/>
      <c r="M12" s="29"/>
      <c r="O12" s="206"/>
      <c r="P12" s="206"/>
      <c r="Q12" s="206"/>
      <c r="R12" s="206"/>
      <c r="S12" s="206"/>
      <c r="T12" s="206"/>
      <c r="U12" s="206"/>
      <c r="V12" s="206"/>
      <c r="W12" s="206"/>
      <c r="X12" s="206"/>
      <c r="Y12" s="58"/>
      <c r="Z12" s="58"/>
    </row>
    <row r="13" spans="2:27" ht="15.75" thickBot="1">
      <c r="B13" s="11"/>
      <c r="C13" s="18" t="s">
        <v>49</v>
      </c>
      <c r="D13" s="9"/>
      <c r="E13" s="9"/>
      <c r="F13" s="9"/>
      <c r="G13" s="9"/>
      <c r="H13" s="9"/>
      <c r="I13" s="9"/>
      <c r="J13" s="9"/>
      <c r="K13" s="9"/>
      <c r="L13" s="9"/>
      <c r="M13" s="29"/>
      <c r="O13" s="206"/>
      <c r="P13" s="206"/>
      <c r="Q13" s="206"/>
      <c r="R13" s="206"/>
      <c r="S13" s="206"/>
      <c r="T13" s="206"/>
      <c r="U13" s="206"/>
      <c r="V13" s="206"/>
      <c r="W13" s="206"/>
      <c r="X13" s="206"/>
      <c r="Y13" s="58"/>
      <c r="Z13" s="58"/>
    </row>
    <row r="14" spans="2:27">
      <c r="B14" s="11"/>
      <c r="C14" s="42"/>
      <c r="D14" s="4"/>
      <c r="E14" s="4"/>
      <c r="F14" s="4"/>
      <c r="G14" s="4"/>
      <c r="H14" s="4"/>
      <c r="I14" s="4"/>
      <c r="J14" s="4"/>
      <c r="K14" s="4"/>
      <c r="L14" s="4"/>
      <c r="M14" s="29"/>
      <c r="O14" s="206"/>
      <c r="P14" s="206"/>
      <c r="Q14" s="206"/>
      <c r="R14" s="206"/>
      <c r="S14" s="206"/>
      <c r="T14" s="206"/>
      <c r="U14" s="206"/>
      <c r="V14" s="206"/>
      <c r="W14" s="206"/>
      <c r="X14" s="206"/>
      <c r="Y14" s="58"/>
      <c r="Z14" s="58"/>
    </row>
    <row r="15" spans="2:27">
      <c r="B15" s="11"/>
      <c r="C15" s="42"/>
      <c r="D15" s="4"/>
      <c r="E15" s="4"/>
      <c r="F15" s="4"/>
      <c r="G15" s="4"/>
      <c r="H15" s="4"/>
      <c r="I15" s="4"/>
      <c r="J15" s="4"/>
      <c r="K15" s="4"/>
      <c r="L15" s="4"/>
      <c r="M15" s="29"/>
      <c r="O15" s="206"/>
      <c r="P15" s="206"/>
      <c r="Q15" s="206"/>
      <c r="R15" s="206"/>
      <c r="S15" s="206"/>
      <c r="T15" s="206"/>
      <c r="U15" s="206"/>
      <c r="V15" s="206"/>
      <c r="W15" s="206"/>
      <c r="X15" s="206"/>
      <c r="Y15" s="58"/>
      <c r="Z15" s="58"/>
    </row>
    <row r="16" spans="2:27" ht="66">
      <c r="B16" s="11"/>
      <c r="C16" s="43" t="s">
        <v>50</v>
      </c>
      <c r="D16" s="186" t="s">
        <v>44</v>
      </c>
      <c r="E16" s="187" t="s">
        <v>45</v>
      </c>
      <c r="F16" s="187" t="s">
        <v>46</v>
      </c>
      <c r="G16" s="187" t="s">
        <v>47</v>
      </c>
      <c r="H16" s="187" t="s">
        <v>67</v>
      </c>
      <c r="I16" s="188" t="s">
        <v>68</v>
      </c>
      <c r="J16" s="4"/>
      <c r="K16" s="4"/>
      <c r="L16" s="4"/>
      <c r="M16" s="29"/>
      <c r="O16" s="206"/>
      <c r="P16" s="206"/>
      <c r="Q16" s="206"/>
      <c r="R16" s="206"/>
      <c r="S16" s="206"/>
      <c r="T16" s="206"/>
      <c r="U16" s="206"/>
      <c r="V16" s="206"/>
      <c r="W16" s="206"/>
      <c r="X16" s="206"/>
      <c r="Y16" s="58"/>
      <c r="Z16" s="58"/>
    </row>
    <row r="17" spans="2:26">
      <c r="B17" s="11"/>
      <c r="C17" s="41" t="s">
        <v>51</v>
      </c>
      <c r="D17" s="946">
        <v>5</v>
      </c>
      <c r="E17" s="946">
        <v>200</v>
      </c>
      <c r="F17" s="190">
        <f>E17*0.746/D17</f>
        <v>29.839999999999996</v>
      </c>
      <c r="G17" s="190">
        <f>F17/9.9</f>
        <v>3.0141414141414136</v>
      </c>
      <c r="H17" s="191">
        <f>0.25*F17</f>
        <v>7.4599999999999991</v>
      </c>
      <c r="I17" s="193">
        <f>H17*$F$5/$F$4</f>
        <v>17.93803121248499</v>
      </c>
      <c r="J17" s="4"/>
      <c r="K17" s="4"/>
      <c r="L17" s="4"/>
      <c r="M17" s="29"/>
      <c r="O17" s="206"/>
      <c r="P17" s="206"/>
      <c r="Q17" s="206"/>
      <c r="R17" s="206"/>
      <c r="S17" s="206"/>
      <c r="T17" s="206"/>
      <c r="U17" s="206"/>
      <c r="V17" s="206"/>
      <c r="W17" s="206"/>
      <c r="X17" s="206"/>
      <c r="Y17" s="58"/>
      <c r="Z17" s="58"/>
    </row>
    <row r="18" spans="2:26">
      <c r="B18" s="11"/>
      <c r="C18" s="4"/>
      <c r="D18" s="4"/>
      <c r="E18" s="4"/>
      <c r="F18" s="4"/>
      <c r="G18" s="44"/>
      <c r="H18" s="45"/>
      <c r="I18" s="45"/>
      <c r="J18" s="4"/>
      <c r="K18" s="4"/>
      <c r="L18" s="4"/>
      <c r="M18" s="29"/>
      <c r="O18" s="206"/>
      <c r="P18" s="206"/>
      <c r="Q18" s="206"/>
      <c r="R18" s="206"/>
      <c r="S18" s="206"/>
      <c r="T18" s="206"/>
      <c r="U18" s="206"/>
      <c r="V18" s="206"/>
      <c r="W18" s="206"/>
      <c r="X18" s="206"/>
      <c r="Y18" s="58"/>
      <c r="Z18" s="58"/>
    </row>
    <row r="19" spans="2:26">
      <c r="B19" s="11"/>
      <c r="C19" s="4"/>
      <c r="D19" s="4"/>
      <c r="E19" s="4"/>
      <c r="F19" s="4"/>
      <c r="G19" s="44"/>
      <c r="H19" s="45"/>
      <c r="I19" s="45"/>
      <c r="J19" s="4"/>
      <c r="K19" s="4"/>
      <c r="L19" s="4"/>
      <c r="M19" s="29"/>
      <c r="O19" s="206"/>
      <c r="P19" s="206"/>
      <c r="Q19" s="206"/>
      <c r="R19" s="206"/>
      <c r="S19" s="206"/>
      <c r="T19" s="206"/>
      <c r="U19" s="206"/>
      <c r="V19" s="206"/>
      <c r="W19" s="206"/>
      <c r="X19" s="206"/>
      <c r="Y19" s="58"/>
      <c r="Z19" s="58"/>
    </row>
    <row r="20" spans="2:26" ht="15.75" thickBot="1">
      <c r="B20" s="11"/>
      <c r="C20" s="18" t="s">
        <v>57</v>
      </c>
      <c r="D20" s="9"/>
      <c r="E20" s="9"/>
      <c r="F20" s="9"/>
      <c r="G20" s="19"/>
      <c r="H20" s="20"/>
      <c r="I20" s="20"/>
      <c r="J20" s="9"/>
      <c r="K20" s="9"/>
      <c r="L20" s="9"/>
      <c r="M20" s="29"/>
      <c r="O20" s="206"/>
      <c r="P20" s="206"/>
      <c r="Q20" s="206"/>
      <c r="R20" s="206"/>
      <c r="S20" s="206"/>
      <c r="T20" s="206"/>
      <c r="U20" s="206"/>
      <c r="V20" s="206"/>
      <c r="W20" s="206"/>
      <c r="X20" s="206"/>
      <c r="Y20" s="58"/>
      <c r="Z20" s="58"/>
    </row>
    <row r="21" spans="2:26">
      <c r="B21" s="11"/>
      <c r="C21" s="4"/>
      <c r="D21" s="4"/>
      <c r="E21" s="4"/>
      <c r="F21" s="4"/>
      <c r="G21" s="44"/>
      <c r="H21" s="45"/>
      <c r="I21" s="45"/>
      <c r="J21" s="4"/>
      <c r="K21" s="4"/>
      <c r="L21" s="4"/>
      <c r="M21" s="29"/>
      <c r="O21" s="206"/>
      <c r="P21" s="206"/>
      <c r="Q21" s="206"/>
      <c r="R21" s="206"/>
      <c r="S21" s="206"/>
      <c r="T21" s="206"/>
      <c r="U21" s="206"/>
      <c r="V21" s="206"/>
      <c r="W21" s="206"/>
      <c r="X21" s="206"/>
      <c r="Y21" s="58"/>
      <c r="Z21" s="58"/>
    </row>
    <row r="22" spans="2:26">
      <c r="B22" s="11"/>
      <c r="C22" s="4"/>
      <c r="D22" s="4"/>
      <c r="E22" s="4"/>
      <c r="F22" s="4"/>
      <c r="G22" s="44"/>
      <c r="H22" s="45"/>
      <c r="I22" s="45"/>
      <c r="J22" s="4"/>
      <c r="K22" s="4"/>
      <c r="L22" s="4"/>
      <c r="M22" s="29"/>
      <c r="O22" s="206"/>
      <c r="P22" s="206"/>
      <c r="Q22" s="206"/>
      <c r="R22" s="206"/>
      <c r="S22" s="206"/>
      <c r="T22" s="206"/>
      <c r="U22" s="206"/>
      <c r="V22" s="206"/>
      <c r="W22" s="206"/>
      <c r="X22" s="206"/>
      <c r="Y22" s="58"/>
      <c r="Z22" s="58"/>
    </row>
    <row r="23" spans="2:26" ht="52.5">
      <c r="B23" s="11"/>
      <c r="C23" s="4"/>
      <c r="D23" s="187" t="s">
        <v>52</v>
      </c>
      <c r="E23" s="187" t="s">
        <v>53</v>
      </c>
      <c r="F23" s="187" t="s">
        <v>54</v>
      </c>
      <c r="G23" s="187" t="s">
        <v>55</v>
      </c>
      <c r="H23" s="187" t="s">
        <v>56</v>
      </c>
      <c r="I23" s="187" t="s">
        <v>46</v>
      </c>
      <c r="J23" s="187" t="s">
        <v>69</v>
      </c>
      <c r="K23" s="4"/>
      <c r="L23" s="4"/>
      <c r="M23" s="29"/>
      <c r="O23" s="206"/>
      <c r="P23" s="206"/>
      <c r="Q23" s="206"/>
      <c r="R23" s="206"/>
      <c r="S23" s="206"/>
      <c r="T23" s="206"/>
      <c r="U23" s="206"/>
      <c r="V23" s="206"/>
      <c r="W23" s="206"/>
      <c r="X23" s="206"/>
      <c r="Y23" s="58"/>
      <c r="Z23" s="58"/>
    </row>
    <row r="24" spans="2:26">
      <c r="B24" s="11"/>
      <c r="C24" s="41" t="s">
        <v>58</v>
      </c>
      <c r="D24" s="946">
        <v>20</v>
      </c>
      <c r="E24" s="946">
        <v>15</v>
      </c>
      <c r="F24" s="189">
        <v>100</v>
      </c>
      <c r="G24" s="189">
        <f>F24/E24*4.57</f>
        <v>30.466666666666669</v>
      </c>
      <c r="H24" s="194">
        <f>G24*9.9</f>
        <v>301.62</v>
      </c>
      <c r="I24" s="192">
        <f>H24/D24</f>
        <v>15.081</v>
      </c>
      <c r="J24" s="192">
        <f>I24*0.25</f>
        <v>3.7702499999999999</v>
      </c>
      <c r="K24" s="4"/>
      <c r="L24" s="4"/>
      <c r="M24" s="29"/>
      <c r="O24" s="206"/>
      <c r="P24" s="206"/>
      <c r="Q24" s="206"/>
      <c r="R24" s="206"/>
      <c r="S24" s="206"/>
      <c r="T24" s="206"/>
      <c r="U24" s="206"/>
      <c r="V24" s="206"/>
      <c r="W24" s="206"/>
      <c r="X24" s="206"/>
      <c r="Y24" s="58"/>
      <c r="Z24" s="58"/>
    </row>
    <row r="25" spans="2:26">
      <c r="B25" s="11"/>
      <c r="C25" s="4"/>
      <c r="D25" s="4"/>
      <c r="E25" s="4"/>
      <c r="F25" s="4"/>
      <c r="G25" s="4"/>
      <c r="H25" s="4"/>
      <c r="I25" s="4"/>
      <c r="J25" s="4"/>
      <c r="K25" s="4"/>
      <c r="L25" s="4"/>
      <c r="M25" s="29"/>
      <c r="O25" s="206"/>
      <c r="P25" s="206"/>
      <c r="Q25" s="206"/>
      <c r="R25" s="206"/>
      <c r="S25" s="206"/>
      <c r="T25" s="206"/>
      <c r="U25" s="206"/>
      <c r="V25" s="206"/>
      <c r="W25" s="206"/>
      <c r="X25" s="206"/>
      <c r="Y25" s="58"/>
      <c r="Z25" s="58"/>
    </row>
    <row r="26" spans="2:26">
      <c r="B26" s="11"/>
      <c r="C26" s="4"/>
      <c r="D26" s="4"/>
      <c r="E26" s="4"/>
      <c r="F26" s="4"/>
      <c r="G26" s="4"/>
      <c r="H26" s="46"/>
      <c r="I26" s="46"/>
      <c r="J26" s="45"/>
      <c r="K26" s="4"/>
      <c r="L26" s="4"/>
      <c r="M26" s="29"/>
      <c r="O26" s="206"/>
      <c r="P26" s="206"/>
      <c r="Q26" s="206"/>
      <c r="R26" s="206"/>
      <c r="S26" s="206"/>
      <c r="T26" s="206"/>
      <c r="U26" s="206"/>
      <c r="V26" s="206"/>
      <c r="W26" s="206"/>
      <c r="X26" s="206"/>
      <c r="Y26" s="58"/>
      <c r="Z26" s="58"/>
    </row>
    <row r="27" spans="2:26" ht="15.75" thickBot="1">
      <c r="B27" s="11"/>
      <c r="C27" s="21" t="s">
        <v>59</v>
      </c>
      <c r="D27" s="9"/>
      <c r="E27" s="9"/>
      <c r="F27" s="9"/>
      <c r="G27" s="9"/>
      <c r="H27" s="22"/>
      <c r="I27" s="22"/>
      <c r="J27" s="20"/>
      <c r="K27" s="9"/>
      <c r="L27" s="9"/>
      <c r="M27" s="29"/>
      <c r="O27" s="206"/>
      <c r="P27" s="206"/>
      <c r="Q27" s="206"/>
      <c r="R27" s="206"/>
      <c r="S27" s="206"/>
      <c r="T27" s="206"/>
      <c r="U27" s="206"/>
      <c r="V27" s="206"/>
      <c r="W27" s="206"/>
      <c r="X27" s="206"/>
      <c r="Y27" s="58"/>
      <c r="Z27" s="58"/>
    </row>
    <row r="28" spans="2:26">
      <c r="B28" s="11"/>
      <c r="C28" s="4"/>
      <c r="D28" s="4"/>
      <c r="E28" s="4"/>
      <c r="F28" s="4"/>
      <c r="G28" s="4"/>
      <c r="H28" s="46"/>
      <c r="I28" s="46"/>
      <c r="J28" s="45"/>
      <c r="K28" s="4"/>
      <c r="L28" s="4"/>
      <c r="M28" s="29"/>
      <c r="O28" s="206"/>
      <c r="P28" s="206"/>
      <c r="Q28" s="206"/>
      <c r="R28" s="206"/>
      <c r="S28" s="206"/>
      <c r="T28" s="206"/>
      <c r="U28" s="206"/>
      <c r="V28" s="206"/>
      <c r="W28" s="206"/>
      <c r="X28" s="206"/>
      <c r="Y28" s="58"/>
      <c r="Z28" s="58"/>
    </row>
    <row r="29" spans="2:26" ht="60" customHeight="1">
      <c r="B29" s="11"/>
      <c r="C29" s="4"/>
      <c r="D29" s="195" t="s">
        <v>60</v>
      </c>
      <c r="E29" s="195" t="s">
        <v>61</v>
      </c>
      <c r="F29" s="47"/>
      <c r="G29" s="47"/>
      <c r="H29" s="4"/>
      <c r="I29" s="187" t="s">
        <v>46</v>
      </c>
      <c r="J29" s="187" t="s">
        <v>69</v>
      </c>
      <c r="K29" s="187" t="s">
        <v>70</v>
      </c>
      <c r="L29" s="4"/>
      <c r="M29" s="29"/>
      <c r="O29" s="206"/>
      <c r="P29" s="206"/>
      <c r="Q29" s="206"/>
      <c r="R29" s="206"/>
      <c r="S29" s="206"/>
      <c r="T29" s="206"/>
      <c r="U29" s="206"/>
      <c r="V29" s="206"/>
      <c r="W29" s="206"/>
      <c r="X29" s="206"/>
      <c r="Y29" s="58"/>
      <c r="Z29" s="58"/>
    </row>
    <row r="30" spans="2:26">
      <c r="B30" s="11"/>
      <c r="C30" s="41" t="s">
        <v>62</v>
      </c>
      <c r="D30" s="946">
        <v>10</v>
      </c>
      <c r="E30" s="946">
        <v>200</v>
      </c>
      <c r="F30" s="4"/>
      <c r="G30" s="4"/>
      <c r="H30" s="4"/>
      <c r="I30" s="189">
        <f>E30*0.746/D30</f>
        <v>14.919999999999998</v>
      </c>
      <c r="J30" s="192">
        <f>I30*0.25</f>
        <v>3.7299999999999995</v>
      </c>
      <c r="K30" s="196">
        <f>150/((100-D5)/100)</f>
        <v>187.5</v>
      </c>
      <c r="L30" s="4"/>
      <c r="M30" s="29"/>
      <c r="O30" s="206"/>
      <c r="P30" s="206"/>
      <c r="Q30" s="206"/>
      <c r="R30" s="206"/>
      <c r="S30" s="206"/>
      <c r="T30" s="206"/>
      <c r="U30" s="206"/>
      <c r="V30" s="206"/>
      <c r="W30" s="206"/>
      <c r="X30" s="206"/>
      <c r="Y30" s="58"/>
      <c r="Z30" s="58"/>
    </row>
    <row r="31" spans="2:26">
      <c r="B31" s="11"/>
      <c r="C31" s="4"/>
      <c r="D31" s="4"/>
      <c r="E31" s="4"/>
      <c r="F31" s="4"/>
      <c r="G31" s="4"/>
      <c r="H31" s="4"/>
      <c r="I31" s="4"/>
      <c r="J31" s="45"/>
      <c r="K31" s="4"/>
      <c r="L31" s="4"/>
      <c r="M31" s="29"/>
      <c r="O31" s="206"/>
      <c r="P31" s="206"/>
      <c r="Q31" s="206"/>
      <c r="R31" s="206"/>
      <c r="S31" s="206"/>
      <c r="T31" s="206"/>
      <c r="U31" s="206"/>
      <c r="V31" s="206"/>
      <c r="W31" s="206"/>
      <c r="X31" s="206"/>
      <c r="Y31" s="58"/>
      <c r="Z31" s="58"/>
    </row>
    <row r="32" spans="2:26">
      <c r="B32" s="11"/>
      <c r="C32" s="4"/>
      <c r="D32" s="4"/>
      <c r="E32" s="4"/>
      <c r="F32" s="4"/>
      <c r="G32" s="4"/>
      <c r="H32" s="4"/>
      <c r="I32" s="4"/>
      <c r="J32" s="45"/>
      <c r="K32" s="4"/>
      <c r="L32" s="4"/>
      <c r="M32" s="29"/>
      <c r="O32" s="206"/>
      <c r="P32" s="206"/>
      <c r="Q32" s="206"/>
      <c r="R32" s="206"/>
      <c r="S32" s="206"/>
      <c r="T32" s="206"/>
      <c r="U32" s="206"/>
      <c r="V32" s="206"/>
      <c r="W32" s="206"/>
      <c r="X32" s="206"/>
      <c r="Y32" s="58"/>
      <c r="Z32" s="58"/>
    </row>
    <row r="33" spans="1:26" ht="15.75" thickBot="1">
      <c r="B33" s="11"/>
      <c r="C33" s="21" t="s">
        <v>63</v>
      </c>
      <c r="D33" s="9"/>
      <c r="E33" s="9"/>
      <c r="F33" s="9"/>
      <c r="G33" s="9"/>
      <c r="H33" s="9"/>
      <c r="I33" s="9"/>
      <c r="J33" s="20"/>
      <c r="K33" s="9"/>
      <c r="L33" s="9"/>
      <c r="M33" s="29"/>
      <c r="O33" s="206"/>
      <c r="P33" s="206"/>
      <c r="Q33" s="206"/>
      <c r="R33" s="206"/>
      <c r="S33" s="206"/>
      <c r="T33" s="206"/>
      <c r="U33" s="206"/>
      <c r="V33" s="206"/>
      <c r="W33" s="206"/>
      <c r="X33" s="206"/>
      <c r="Y33" s="58"/>
      <c r="Z33" s="58"/>
    </row>
    <row r="34" spans="1:26">
      <c r="B34" s="11"/>
      <c r="C34" s="4"/>
      <c r="D34" s="4"/>
      <c r="E34" s="4"/>
      <c r="F34" s="4"/>
      <c r="G34" s="4"/>
      <c r="H34" s="4"/>
      <c r="I34" s="4"/>
      <c r="J34" s="45"/>
      <c r="K34" s="4"/>
      <c r="L34" s="4"/>
      <c r="M34" s="29"/>
      <c r="O34" s="206"/>
      <c r="P34" s="206"/>
      <c r="Q34" s="206"/>
      <c r="R34" s="206"/>
      <c r="S34" s="206"/>
      <c r="T34" s="206"/>
      <c r="U34" s="206"/>
      <c r="V34" s="206"/>
      <c r="W34" s="206"/>
      <c r="X34" s="206"/>
      <c r="Y34" s="58"/>
      <c r="Z34" s="58"/>
    </row>
    <row r="35" spans="1:26" ht="52.5">
      <c r="B35" s="11"/>
      <c r="C35" s="4"/>
      <c r="D35" s="187" t="s">
        <v>52</v>
      </c>
      <c r="E35" s="187" t="s">
        <v>53</v>
      </c>
      <c r="F35" s="187" t="s">
        <v>54</v>
      </c>
      <c r="G35" s="187" t="s">
        <v>55</v>
      </c>
      <c r="H35" s="187" t="s">
        <v>56</v>
      </c>
      <c r="I35" s="187" t="s">
        <v>46</v>
      </c>
      <c r="J35" s="187" t="s">
        <v>69</v>
      </c>
      <c r="K35" s="4"/>
      <c r="L35" s="4"/>
      <c r="M35" s="29"/>
      <c r="O35" s="206"/>
      <c r="P35" s="206"/>
      <c r="Q35" s="206"/>
      <c r="R35" s="206"/>
      <c r="S35" s="206"/>
      <c r="T35" s="206"/>
      <c r="U35" s="206"/>
      <c r="V35" s="206"/>
      <c r="W35" s="206"/>
      <c r="X35" s="206"/>
      <c r="Y35" s="58"/>
      <c r="Z35" s="58"/>
    </row>
    <row r="36" spans="1:26">
      <c r="B36" s="11"/>
      <c r="C36" s="41" t="s">
        <v>64</v>
      </c>
      <c r="D36" s="947">
        <f>D24*K30/1000</f>
        <v>3.75</v>
      </c>
      <c r="E36" s="946">
        <v>18</v>
      </c>
      <c r="F36" s="189">
        <v>60</v>
      </c>
      <c r="G36" s="192">
        <f>F36/E36*4.57</f>
        <v>15.233333333333334</v>
      </c>
      <c r="H36" s="194">
        <f>G36*9.9</f>
        <v>150.81</v>
      </c>
      <c r="I36" s="192">
        <f>H36/D36</f>
        <v>40.216000000000001</v>
      </c>
      <c r="J36" s="191">
        <f>I36*0.25</f>
        <v>10.054</v>
      </c>
      <c r="K36" s="4"/>
      <c r="L36" s="4"/>
      <c r="M36" s="29"/>
      <c r="O36" s="206"/>
      <c r="P36" s="206"/>
      <c r="Q36" s="206"/>
      <c r="R36" s="206"/>
      <c r="S36" s="206"/>
      <c r="T36" s="206"/>
      <c r="U36" s="206"/>
      <c r="V36" s="206"/>
      <c r="W36" s="206"/>
      <c r="X36" s="206"/>
      <c r="Y36" s="58"/>
      <c r="Z36" s="58"/>
    </row>
    <row r="37" spans="1:26">
      <c r="B37" s="11"/>
      <c r="C37" s="4"/>
      <c r="D37" s="4"/>
      <c r="E37" s="4"/>
      <c r="F37" s="4"/>
      <c r="G37" s="4"/>
      <c r="H37" s="4"/>
      <c r="I37" s="4"/>
      <c r="J37" s="4"/>
      <c r="K37" s="4"/>
      <c r="L37" s="4"/>
      <c r="M37" s="29"/>
      <c r="O37" s="206"/>
      <c r="P37" s="206"/>
      <c r="Q37" s="206"/>
      <c r="R37" s="206"/>
      <c r="S37" s="206"/>
      <c r="T37" s="206"/>
      <c r="U37" s="206"/>
      <c r="V37" s="206"/>
      <c r="W37" s="206"/>
      <c r="X37" s="206"/>
      <c r="Y37" s="58"/>
      <c r="Z37" s="58"/>
    </row>
    <row r="38" spans="1:26">
      <c r="B38" s="11"/>
      <c r="C38" s="4"/>
      <c r="D38" s="4"/>
      <c r="E38" s="4"/>
      <c r="F38" s="4"/>
      <c r="G38" s="4"/>
      <c r="H38" s="4"/>
      <c r="I38" s="4"/>
      <c r="J38" s="4"/>
      <c r="K38" s="4"/>
      <c r="L38" s="4"/>
      <c r="M38" s="29"/>
      <c r="O38" s="206"/>
      <c r="P38" s="206"/>
      <c r="Q38" s="206"/>
      <c r="R38" s="206"/>
      <c r="S38" s="206"/>
      <c r="T38" s="206"/>
      <c r="U38" s="206"/>
      <c r="V38" s="206"/>
      <c r="W38" s="206"/>
      <c r="X38" s="206"/>
      <c r="Y38" s="58"/>
      <c r="Z38" s="58"/>
    </row>
    <row r="39" spans="1:26" ht="15.75" thickBot="1">
      <c r="B39" s="11"/>
      <c r="C39" s="23" t="s">
        <v>0</v>
      </c>
      <c r="D39" s="9"/>
      <c r="E39" s="9"/>
      <c r="F39" s="9"/>
      <c r="G39" s="9"/>
      <c r="H39" s="9"/>
      <c r="I39" s="9"/>
      <c r="J39" s="9"/>
      <c r="K39" s="9"/>
      <c r="L39" s="9"/>
      <c r="M39" s="29"/>
      <c r="O39" s="206"/>
      <c r="P39" s="206"/>
      <c r="Q39" s="206"/>
      <c r="R39" s="206"/>
      <c r="S39" s="206"/>
      <c r="T39" s="206"/>
      <c r="U39" s="206"/>
      <c r="V39" s="206"/>
      <c r="W39" s="206"/>
      <c r="X39" s="206"/>
      <c r="Y39" s="58"/>
      <c r="Z39" s="58"/>
    </row>
    <row r="40" spans="1:26" ht="15.75" thickBot="1">
      <c r="B40" s="11"/>
      <c r="C40" s="4"/>
      <c r="D40" s="4"/>
      <c r="E40" s="4"/>
      <c r="F40" s="4"/>
      <c r="G40" s="4"/>
      <c r="H40" s="4"/>
      <c r="I40" s="4"/>
      <c r="J40" s="4"/>
      <c r="K40" s="4"/>
      <c r="L40" s="4"/>
      <c r="M40" s="29"/>
      <c r="O40" s="206"/>
      <c r="P40" s="206"/>
      <c r="Q40" s="206"/>
      <c r="R40" s="206"/>
      <c r="S40" s="206"/>
      <c r="T40" s="206"/>
      <c r="U40" s="206"/>
      <c r="V40" s="206"/>
      <c r="W40" s="206"/>
      <c r="X40" s="206"/>
      <c r="Y40" s="58"/>
      <c r="Z40" s="58"/>
    </row>
    <row r="41" spans="1:26" ht="15.75">
      <c r="B41" s="11"/>
      <c r="C41" s="4"/>
      <c r="D41" s="1542" t="s">
        <v>65</v>
      </c>
      <c r="E41" s="1543"/>
      <c r="F41" s="1543"/>
      <c r="G41" s="1543"/>
      <c r="H41" s="197">
        <f>I10+I17+J24+J30+J36</f>
        <v>36.389182773109241</v>
      </c>
      <c r="I41" s="180" t="s">
        <v>66</v>
      </c>
      <c r="J41" s="198"/>
      <c r="K41" s="4"/>
      <c r="L41" s="4"/>
      <c r="M41" s="29"/>
      <c r="O41" s="206"/>
      <c r="P41" s="206"/>
      <c r="Q41" s="206"/>
      <c r="R41" s="206"/>
      <c r="S41" s="206"/>
      <c r="T41" s="206"/>
      <c r="U41" s="206"/>
      <c r="V41" s="206"/>
      <c r="W41" s="206"/>
      <c r="X41" s="206"/>
      <c r="Y41" s="58"/>
      <c r="Z41" s="58"/>
    </row>
    <row r="42" spans="1:26" ht="19.5" thickBot="1">
      <c r="B42" s="11"/>
      <c r="C42" s="4"/>
      <c r="D42" s="1544" t="s">
        <v>72</v>
      </c>
      <c r="E42" s="1545"/>
      <c r="F42" s="1545"/>
      <c r="G42" s="1545"/>
      <c r="H42" s="199">
        <f>H41/F5</f>
        <v>9.0836701879953175E-3</v>
      </c>
      <c r="I42" s="200" t="s">
        <v>71</v>
      </c>
      <c r="J42" s="201"/>
      <c r="K42" s="4"/>
      <c r="L42" s="4"/>
      <c r="M42" s="29"/>
      <c r="O42" s="206"/>
      <c r="P42" s="206"/>
      <c r="Q42" s="206"/>
      <c r="R42" s="206"/>
      <c r="S42" s="206"/>
      <c r="T42" s="206"/>
      <c r="U42" s="206"/>
      <c r="V42" s="206"/>
      <c r="W42" s="206"/>
      <c r="X42" s="206"/>
      <c r="Y42" s="58"/>
      <c r="Z42" s="58"/>
    </row>
    <row r="43" spans="1:26">
      <c r="B43" s="11"/>
      <c r="C43" s="4"/>
      <c r="D43" s="4"/>
      <c r="E43" s="4"/>
      <c r="F43" s="4"/>
      <c r="G43" s="4"/>
      <c r="H43" s="4"/>
      <c r="I43" s="4"/>
      <c r="J43" s="4"/>
      <c r="K43" s="4"/>
      <c r="L43" s="4"/>
      <c r="M43" s="29"/>
      <c r="O43" s="206"/>
      <c r="P43" s="206"/>
      <c r="Q43" s="206"/>
      <c r="R43" s="206"/>
      <c r="S43" s="206"/>
      <c r="T43" s="206"/>
      <c r="U43" s="206"/>
      <c r="V43" s="206"/>
      <c r="W43" s="206"/>
      <c r="X43" s="206"/>
      <c r="Y43" s="58"/>
      <c r="Z43" s="58"/>
    </row>
    <row r="44" spans="1:26" ht="15.75" thickBot="1">
      <c r="B44" s="48"/>
      <c r="C44" s="9"/>
      <c r="D44" s="9"/>
      <c r="E44" s="9"/>
      <c r="F44" s="9"/>
      <c r="G44" s="9"/>
      <c r="H44" s="9"/>
      <c r="I44" s="9"/>
      <c r="J44" s="9"/>
      <c r="K44" s="9"/>
      <c r="L44" s="9"/>
      <c r="M44" s="31"/>
      <c r="O44" s="206"/>
      <c r="P44" s="206"/>
      <c r="Q44" s="206"/>
      <c r="R44" s="206"/>
      <c r="S44" s="206"/>
      <c r="T44" s="206"/>
      <c r="U44" s="206"/>
      <c r="V44" s="206"/>
      <c r="W44" s="206"/>
      <c r="X44" s="206"/>
      <c r="Y44" s="58"/>
      <c r="Z44" s="58"/>
    </row>
    <row r="45" spans="1:26" s="176" customFormat="1">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row>
    <row r="46" spans="1:26" s="176" customFormat="1">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row>
    <row r="47" spans="1:26" s="176" customFormat="1">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row>
    <row r="48" spans="1:26" s="176" customFormat="1">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row>
    <row r="49" spans="1:24" s="176" customFormat="1">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row>
    <row r="50" spans="1:24" s="176" customFormat="1">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row>
    <row r="51" spans="1:24" s="176" customFormat="1">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row>
    <row r="52" spans="1:24" s="176" customFormat="1">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row>
    <row r="53" spans="1:24" s="176" customFormat="1">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row>
    <row r="54" spans="1:24" s="176" customFormat="1">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row>
    <row r="55" spans="1:24" s="176" customFormat="1">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row>
    <row r="56" spans="1:24" s="176" customFormat="1">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row>
    <row r="57" spans="1:24" s="176" customFormat="1">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row>
    <row r="58" spans="1:24" s="176" customFormat="1">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row>
    <row r="59" spans="1:24" s="176" customFormat="1">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row>
    <row r="60" spans="1:24" s="176" customFormat="1">
      <c r="A60" s="206"/>
      <c r="B60" s="206"/>
      <c r="C60" s="206"/>
      <c r="D60" s="206"/>
      <c r="E60" s="206"/>
      <c r="F60" s="206"/>
      <c r="G60" s="206"/>
      <c r="H60" s="206"/>
      <c r="I60" s="206"/>
      <c r="J60" s="206"/>
      <c r="K60" s="206"/>
      <c r="L60" s="206"/>
      <c r="M60" s="206"/>
      <c r="N60" s="206"/>
      <c r="O60" s="206"/>
      <c r="P60" s="206"/>
      <c r="Q60" s="206"/>
      <c r="R60" s="206"/>
    </row>
    <row r="61" spans="1:24" s="176" customFormat="1">
      <c r="A61" s="206"/>
      <c r="B61" s="206"/>
      <c r="C61" s="206"/>
      <c r="D61" s="206"/>
      <c r="E61" s="206"/>
      <c r="F61" s="206"/>
      <c r="G61" s="206"/>
      <c r="H61" s="206"/>
      <c r="I61" s="206"/>
      <c r="J61" s="206"/>
      <c r="K61" s="206"/>
      <c r="L61" s="206"/>
      <c r="M61" s="206"/>
      <c r="N61" s="206"/>
      <c r="O61" s="206"/>
      <c r="P61" s="206"/>
      <c r="Q61" s="206"/>
      <c r="R61" s="206"/>
    </row>
    <row r="62" spans="1:24" s="176" customFormat="1">
      <c r="A62" s="206"/>
      <c r="B62" s="206"/>
      <c r="C62" s="206"/>
      <c r="D62" s="206"/>
      <c r="E62" s="206"/>
      <c r="F62" s="206"/>
      <c r="G62" s="206"/>
      <c r="H62" s="206"/>
      <c r="I62" s="206"/>
      <c r="J62" s="206"/>
      <c r="K62" s="206"/>
      <c r="L62" s="206"/>
      <c r="M62" s="206"/>
      <c r="N62" s="206"/>
      <c r="O62" s="206"/>
      <c r="P62" s="206"/>
      <c r="Q62" s="206"/>
      <c r="R62" s="206"/>
    </row>
    <row r="63" spans="1:24" s="176" customFormat="1">
      <c r="A63" s="206"/>
      <c r="B63" s="206"/>
      <c r="C63" s="206"/>
      <c r="D63" s="206"/>
      <c r="E63" s="206"/>
      <c r="F63" s="206"/>
      <c r="G63" s="206"/>
      <c r="H63" s="206"/>
      <c r="I63" s="206"/>
      <c r="J63" s="206"/>
      <c r="K63" s="206"/>
      <c r="L63" s="206"/>
      <c r="M63" s="206"/>
      <c r="N63" s="206"/>
      <c r="O63" s="206"/>
      <c r="P63" s="206"/>
      <c r="Q63" s="206"/>
      <c r="R63" s="206"/>
    </row>
    <row r="64" spans="1:24" s="176" customFormat="1">
      <c r="A64" s="206"/>
      <c r="B64" s="206"/>
      <c r="C64" s="206"/>
      <c r="D64" s="206"/>
      <c r="E64" s="206"/>
      <c r="F64" s="206"/>
      <c r="G64" s="206"/>
      <c r="H64" s="206"/>
      <c r="I64" s="206"/>
      <c r="J64" s="206"/>
      <c r="K64" s="206"/>
      <c r="L64" s="206"/>
      <c r="M64" s="206"/>
      <c r="N64" s="206"/>
      <c r="O64" s="206"/>
      <c r="P64" s="206"/>
      <c r="Q64" s="206"/>
      <c r="R64" s="206"/>
    </row>
    <row r="65" spans="1:14" s="176" customFormat="1">
      <c r="A65" s="206"/>
      <c r="B65" s="206"/>
      <c r="C65" s="206"/>
      <c r="D65" s="206"/>
      <c r="E65" s="206"/>
      <c r="F65" s="206"/>
      <c r="G65" s="206"/>
      <c r="H65" s="206"/>
      <c r="I65" s="206"/>
      <c r="J65" s="206"/>
      <c r="K65" s="206"/>
      <c r="L65" s="206"/>
      <c r="M65" s="206"/>
      <c r="N65" s="206"/>
    </row>
    <row r="66" spans="1:14" s="176" customFormat="1">
      <c r="A66" s="206"/>
      <c r="B66" s="206"/>
      <c r="C66" s="206"/>
      <c r="D66" s="206"/>
      <c r="E66" s="206"/>
      <c r="F66" s="206"/>
      <c r="G66" s="206"/>
      <c r="H66" s="206"/>
      <c r="I66" s="206"/>
      <c r="J66" s="206"/>
      <c r="K66" s="206"/>
      <c r="L66" s="206"/>
      <c r="M66" s="206"/>
      <c r="N66" s="206"/>
    </row>
    <row r="67" spans="1:14" s="176" customFormat="1">
      <c r="A67" s="206"/>
      <c r="B67" s="206"/>
      <c r="C67" s="206"/>
      <c r="D67" s="206"/>
      <c r="E67" s="206"/>
      <c r="F67" s="206"/>
      <c r="G67" s="206"/>
      <c r="H67" s="206"/>
      <c r="I67" s="206"/>
      <c r="J67" s="206"/>
      <c r="K67" s="206"/>
      <c r="L67" s="206"/>
      <c r="M67" s="206"/>
      <c r="N67" s="206"/>
    </row>
    <row r="68" spans="1:14" s="176" customFormat="1">
      <c r="A68" s="206"/>
      <c r="B68" s="206"/>
      <c r="C68" s="206"/>
      <c r="D68" s="206"/>
      <c r="E68" s="206"/>
      <c r="F68" s="206"/>
      <c r="G68" s="206"/>
      <c r="H68" s="206"/>
      <c r="I68" s="206"/>
      <c r="J68" s="206"/>
      <c r="K68" s="206"/>
      <c r="L68" s="206"/>
      <c r="M68" s="206"/>
      <c r="N68" s="206"/>
    </row>
    <row r="69" spans="1:14" s="176" customFormat="1">
      <c r="A69" s="206"/>
      <c r="B69" s="206"/>
      <c r="C69" s="206"/>
      <c r="D69" s="206"/>
      <c r="E69" s="206"/>
      <c r="F69" s="206"/>
      <c r="G69" s="206"/>
      <c r="H69" s="206"/>
      <c r="I69" s="206"/>
      <c r="J69" s="206"/>
      <c r="K69" s="206"/>
      <c r="L69" s="206"/>
      <c r="M69" s="206"/>
      <c r="N69" s="206"/>
    </row>
    <row r="70" spans="1:14" s="176" customFormat="1">
      <c r="A70" s="206"/>
      <c r="B70" s="206"/>
      <c r="C70" s="206"/>
      <c r="D70" s="206"/>
      <c r="E70" s="206"/>
      <c r="F70" s="206"/>
      <c r="G70" s="206"/>
      <c r="H70" s="206"/>
      <c r="I70" s="206"/>
      <c r="J70" s="206"/>
      <c r="K70" s="206"/>
      <c r="L70" s="206"/>
      <c r="M70" s="206"/>
      <c r="N70" s="206"/>
    </row>
    <row r="71" spans="1:14" s="176" customFormat="1">
      <c r="A71" s="206"/>
      <c r="B71" s="206"/>
      <c r="C71" s="206"/>
      <c r="D71" s="206"/>
      <c r="E71" s="206"/>
      <c r="F71" s="206"/>
      <c r="G71" s="206"/>
      <c r="H71" s="206"/>
      <c r="I71" s="206"/>
      <c r="J71" s="206"/>
      <c r="K71" s="206"/>
      <c r="L71" s="206"/>
      <c r="M71" s="206"/>
      <c r="N71" s="206"/>
    </row>
    <row r="72" spans="1:14">
      <c r="B72" s="206"/>
      <c r="C72" s="206"/>
      <c r="D72" s="206"/>
      <c r="E72" s="206"/>
      <c r="F72" s="206"/>
      <c r="G72" s="206"/>
      <c r="H72" s="206"/>
      <c r="I72" s="206"/>
      <c r="J72" s="206"/>
      <c r="K72" s="206"/>
      <c r="L72" s="206"/>
      <c r="M72" s="206"/>
    </row>
  </sheetData>
  <sheetProtection password="B1AA" sheet="1"/>
  <mergeCells count="4">
    <mergeCell ref="D41:G41"/>
    <mergeCell ref="D42:G42"/>
    <mergeCell ref="O2:R4"/>
    <mergeCell ref="K6:L7"/>
  </mergeCells>
  <phoneticPr fontId="26" type="noConversion"/>
  <hyperlinks>
    <hyperlink ref="K6:L7" location="'Main Menu'!A1" display="Return to main menu"/>
  </hyperlinks>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Plan20"/>
  <dimension ref="A1:AD73"/>
  <sheetViews>
    <sheetView showGridLines="0" zoomScale="85" zoomScaleNormal="85" workbookViewId="0">
      <selection activeCell="N21" sqref="N21"/>
    </sheetView>
  </sheetViews>
  <sheetFormatPr defaultRowHeight="14.25"/>
  <cols>
    <col min="1" max="1" width="2.42578125" style="231" customWidth="1"/>
    <col min="2" max="2" width="2.28515625" style="236" customWidth="1"/>
    <col min="3" max="3" width="9.140625" style="236" customWidth="1"/>
    <col min="4" max="6" width="9.140625" style="236"/>
    <col min="7" max="7" width="12.85546875" style="236" customWidth="1"/>
    <col min="8" max="8" width="11.7109375" style="236" customWidth="1"/>
    <col min="9" max="13" width="9.140625" style="236"/>
    <col min="14" max="14" width="9.85546875" style="236" customWidth="1"/>
    <col min="15" max="15" width="12.5703125" style="236" customWidth="1"/>
    <col min="16" max="16" width="8.28515625" style="236" customWidth="1"/>
    <col min="17" max="17" width="9.140625" style="236"/>
    <col min="18" max="18" width="5.5703125" style="236" customWidth="1"/>
    <col min="19" max="19" width="5.42578125" style="236" customWidth="1"/>
    <col min="20" max="20" width="9.140625" style="236"/>
    <col min="21" max="21" width="5.42578125" style="236" customWidth="1"/>
    <col min="22" max="22" width="7" style="236" customWidth="1"/>
    <col min="23" max="24" width="9.140625" style="236"/>
    <col min="25" max="30" width="9.140625" style="231"/>
    <col min="31" max="16384" width="9.140625" style="236"/>
  </cols>
  <sheetData>
    <row r="1" spans="2:24" s="231" customFormat="1" ht="9" customHeight="1" thickBot="1"/>
    <row r="2" spans="2:24">
      <c r="B2" s="609"/>
      <c r="C2" s="610"/>
      <c r="D2" s="610"/>
      <c r="E2" s="610"/>
      <c r="F2" s="610"/>
      <c r="G2" s="610"/>
      <c r="H2" s="610"/>
      <c r="I2" s="610"/>
      <c r="J2" s="610"/>
      <c r="K2" s="610"/>
      <c r="L2" s="610"/>
      <c r="M2" s="610"/>
      <c r="N2" s="610"/>
      <c r="O2" s="610"/>
      <c r="P2" s="610"/>
      <c r="Q2" s="610"/>
      <c r="R2" s="610"/>
      <c r="S2" s="610"/>
      <c r="T2" s="610"/>
      <c r="U2" s="610"/>
      <c r="V2" s="610"/>
      <c r="W2" s="610"/>
      <c r="X2" s="611"/>
    </row>
    <row r="3" spans="2:24" ht="26.25" customHeight="1">
      <c r="B3" s="612"/>
      <c r="C3" s="613"/>
      <c r="D3" s="613"/>
      <c r="E3" s="613"/>
      <c r="F3" s="1573" t="s">
        <v>469</v>
      </c>
      <c r="G3" s="1573"/>
      <c r="H3" s="1573"/>
      <c r="I3" s="1573"/>
      <c r="J3" s="1573"/>
      <c r="K3" s="1573"/>
      <c r="L3" s="1573"/>
      <c r="M3" s="1573"/>
      <c r="N3" s="1573"/>
      <c r="O3" s="1573"/>
      <c r="P3" s="1573"/>
      <c r="Q3" s="1573"/>
      <c r="R3" s="1573"/>
      <c r="S3" s="613"/>
      <c r="X3" s="614"/>
    </row>
    <row r="4" spans="2:24" ht="15" customHeight="1">
      <c r="B4" s="612"/>
      <c r="C4" s="613"/>
      <c r="D4" s="613"/>
      <c r="E4" s="613"/>
      <c r="F4" s="1573"/>
      <c r="G4" s="1573"/>
      <c r="H4" s="1573"/>
      <c r="I4" s="1573"/>
      <c r="J4" s="1573"/>
      <c r="K4" s="1573"/>
      <c r="L4" s="1573"/>
      <c r="M4" s="1573"/>
      <c r="N4" s="1573"/>
      <c r="O4" s="1573"/>
      <c r="P4" s="1573"/>
      <c r="Q4" s="1573"/>
      <c r="R4" s="1573"/>
      <c r="S4" s="613"/>
      <c r="X4" s="614"/>
    </row>
    <row r="5" spans="2:24" ht="15" customHeight="1">
      <c r="B5" s="612"/>
      <c r="C5" s="613"/>
      <c r="D5" s="769"/>
      <c r="E5" s="613"/>
      <c r="F5" s="613"/>
      <c r="G5" s="613"/>
      <c r="H5" s="613"/>
      <c r="I5" s="613"/>
      <c r="J5" s="613"/>
      <c r="K5" s="613"/>
      <c r="L5" s="613"/>
      <c r="M5" s="613"/>
      <c r="N5" s="613"/>
      <c r="O5" s="613"/>
      <c r="P5" s="613"/>
      <c r="Q5" s="613"/>
      <c r="R5" s="613"/>
      <c r="S5" s="613"/>
      <c r="X5" s="614"/>
    </row>
    <row r="6" spans="2:24">
      <c r="B6" s="612"/>
      <c r="C6" s="613"/>
      <c r="D6" s="613"/>
      <c r="E6" s="613"/>
      <c r="F6" s="613"/>
      <c r="G6" s="613"/>
      <c r="H6" s="613"/>
      <c r="I6" s="613"/>
      <c r="J6" s="613"/>
      <c r="K6" s="613"/>
      <c r="L6" s="613"/>
      <c r="M6" s="613"/>
      <c r="N6" s="613"/>
      <c r="O6" s="613"/>
      <c r="P6" s="613"/>
      <c r="Q6" s="613"/>
      <c r="R6" s="613"/>
      <c r="S6" s="613"/>
      <c r="T6" s="613"/>
      <c r="U6" s="613"/>
      <c r="V6" s="613"/>
      <c r="W6" s="613"/>
      <c r="X6" s="614"/>
    </row>
    <row r="7" spans="2:24" ht="15" thickBot="1">
      <c r="B7" s="612"/>
      <c r="C7" s="613"/>
      <c r="D7" s="746" t="s">
        <v>508</v>
      </c>
      <c r="E7" s="746"/>
      <c r="F7" s="746"/>
      <c r="G7" s="613"/>
      <c r="H7" s="613"/>
      <c r="I7" s="613"/>
      <c r="J7" s="613"/>
      <c r="K7" s="613"/>
      <c r="L7" s="746" t="s">
        <v>500</v>
      </c>
      <c r="M7" s="613"/>
      <c r="N7" s="613"/>
      <c r="O7" s="613"/>
      <c r="P7" s="613"/>
      <c r="Q7" s="613"/>
      <c r="R7" s="613"/>
      <c r="S7" s="613"/>
      <c r="T7" s="613"/>
      <c r="U7" s="613"/>
      <c r="V7" s="613"/>
      <c r="W7" s="613"/>
      <c r="X7" s="614"/>
    </row>
    <row r="8" spans="2:24" ht="15">
      <c r="B8" s="612"/>
      <c r="C8" s="613"/>
      <c r="D8" s="1576" t="s">
        <v>470</v>
      </c>
      <c r="E8" s="1577"/>
      <c r="F8" s="1577"/>
      <c r="G8" s="786">
        <f>(LARGE('Heat Demand Model'!M30:M41,1))</f>
        <v>32.567257099999999</v>
      </c>
      <c r="H8" s="787" t="s">
        <v>163</v>
      </c>
      <c r="J8" s="613"/>
      <c r="K8" s="613"/>
      <c r="L8" s="1576" t="s">
        <v>490</v>
      </c>
      <c r="M8" s="1577"/>
      <c r="N8" s="1577"/>
      <c r="O8" s="797" t="str">
        <f>'Storage options'!E5</f>
        <v>Woodchip1</v>
      </c>
      <c r="P8" s="775"/>
      <c r="Q8" s="613"/>
      <c r="R8" s="613"/>
      <c r="S8" s="613"/>
      <c r="T8" s="613"/>
      <c r="U8" s="613"/>
      <c r="V8" s="613"/>
      <c r="W8" s="613"/>
      <c r="X8" s="614"/>
    </row>
    <row r="9" spans="2:24" ht="15.75" thickBot="1">
      <c r="B9" s="612"/>
      <c r="C9" s="613"/>
      <c r="D9" s="1562" t="s">
        <v>471</v>
      </c>
      <c r="E9" s="1563"/>
      <c r="F9" s="1563"/>
      <c r="G9" s="788">
        <f>'Boiler '!E18</f>
        <v>30</v>
      </c>
      <c r="H9" s="789" t="s">
        <v>163</v>
      </c>
      <c r="I9" s="613"/>
      <c r="J9" s="613"/>
      <c r="K9" s="613"/>
      <c r="L9" s="1562" t="s">
        <v>510</v>
      </c>
      <c r="M9" s="1563"/>
      <c r="N9" s="1563"/>
      <c r="O9" s="798">
        <f>IF(O8=Woodchip!C8,Woodchip!S8,IF(O8=Woodchip!C10,Woodchip!S10,IF(O8=Woodchip!C12,Woodchip!S12,IF(O8=Pellet!C8,Pellet!Q8,IF(O8=Pellet!C10,Pellet!Q10,Pellet!Q12)))))</f>
        <v>1.3102517271500039E-2</v>
      </c>
      <c r="P9" s="789" t="s">
        <v>345</v>
      </c>
      <c r="Q9" s="613"/>
      <c r="R9" s="613"/>
      <c r="S9" s="613"/>
      <c r="T9" s="613"/>
      <c r="U9" s="613"/>
      <c r="V9" s="613"/>
      <c r="W9" s="613"/>
      <c r="X9" s="614"/>
    </row>
    <row r="10" spans="2:24" ht="15.75" thickBot="1">
      <c r="B10" s="612"/>
      <c r="C10" s="613"/>
      <c r="D10" s="1562" t="s">
        <v>487</v>
      </c>
      <c r="E10" s="1563"/>
      <c r="F10" s="1563"/>
      <c r="G10" s="790">
        <f>'Boiler '!E19</f>
        <v>12300</v>
      </c>
      <c r="H10" s="789" t="s">
        <v>345</v>
      </c>
      <c r="I10" s="613"/>
      <c r="J10" s="613"/>
      <c r="K10" s="613"/>
      <c r="L10" s="1562" t="s">
        <v>491</v>
      </c>
      <c r="M10" s="1563"/>
      <c r="N10" s="1563"/>
      <c r="O10" s="1580" t="s">
        <v>190</v>
      </c>
      <c r="P10" s="1581"/>
      <c r="Q10" s="785" t="s">
        <v>507</v>
      </c>
      <c r="R10" s="613"/>
      <c r="S10" s="613"/>
      <c r="T10" s="613"/>
      <c r="U10" s="613"/>
      <c r="V10" s="613"/>
      <c r="W10" s="613"/>
      <c r="X10" s="614"/>
    </row>
    <row r="11" spans="2:24" ht="15">
      <c r="B11" s="612"/>
      <c r="C11" s="613"/>
      <c r="D11" s="1562" t="s">
        <v>472</v>
      </c>
      <c r="E11" s="1563"/>
      <c r="F11" s="1563"/>
      <c r="G11" s="791">
        <f>'Boiler '!K18</f>
        <v>13.287230000000001</v>
      </c>
      <c r="H11" s="789" t="s">
        <v>474</v>
      </c>
      <c r="I11" s="613"/>
      <c r="J11" s="613"/>
      <c r="K11" s="613"/>
      <c r="L11" s="1562" t="s">
        <v>495</v>
      </c>
      <c r="M11" s="1563"/>
      <c r="N11" s="1563"/>
      <c r="O11" s="798">
        <f>H71/100</f>
        <v>0.03</v>
      </c>
      <c r="P11" s="789" t="s">
        <v>345</v>
      </c>
      <c r="Q11" s="613"/>
      <c r="R11" s="613"/>
      <c r="S11" s="613"/>
      <c r="T11" s="613"/>
      <c r="U11" s="613"/>
      <c r="V11" s="613"/>
      <c r="W11" s="613"/>
      <c r="X11" s="614"/>
    </row>
    <row r="12" spans="2:24" ht="15">
      <c r="B12" s="612"/>
      <c r="C12" s="613"/>
      <c r="D12" s="1574" t="s">
        <v>473</v>
      </c>
      <c r="E12" s="1575"/>
      <c r="F12" s="1575"/>
      <c r="G12" s="792">
        <f>'Heat Demand Model'!O8</f>
        <v>43.287230000000001</v>
      </c>
      <c r="H12" s="793" t="s">
        <v>163</v>
      </c>
      <c r="I12" s="613"/>
      <c r="J12" s="613"/>
      <c r="K12" s="613"/>
      <c r="L12" s="1562" t="s">
        <v>509</v>
      </c>
      <c r="M12" s="1563"/>
      <c r="N12" s="1563"/>
      <c r="O12" s="790">
        <f>SUM('Boiler '!E42:G53)*O11-SUM('Boiler '!E42:G53)*Results!O9</f>
        <v>3725.9490358635703</v>
      </c>
      <c r="P12" s="789" t="s">
        <v>345</v>
      </c>
      <c r="Q12" s="613"/>
      <c r="R12" s="613"/>
      <c r="S12" s="613"/>
      <c r="T12" s="613"/>
      <c r="U12" s="613"/>
      <c r="V12" s="613"/>
      <c r="W12" s="613"/>
      <c r="X12" s="614"/>
    </row>
    <row r="13" spans="2:24" ht="15" thickBot="1">
      <c r="B13" s="612"/>
      <c r="C13" s="613"/>
      <c r="D13" s="267"/>
      <c r="E13" s="268"/>
      <c r="F13" s="268"/>
      <c r="G13" s="268"/>
      <c r="H13" s="269"/>
      <c r="I13" s="613"/>
      <c r="J13" s="613"/>
      <c r="K13" s="613"/>
      <c r="L13" s="267"/>
      <c r="M13" s="268"/>
      <c r="N13" s="268"/>
      <c r="O13" s="268"/>
      <c r="P13" s="269"/>
      <c r="Q13" s="613"/>
      <c r="R13" s="613"/>
      <c r="S13" s="613"/>
      <c r="T13" s="613"/>
      <c r="U13" s="613"/>
      <c r="V13" s="613"/>
      <c r="W13" s="613"/>
      <c r="X13" s="614"/>
    </row>
    <row r="14" spans="2:24" ht="8.25" customHeight="1">
      <c r="B14" s="612"/>
      <c r="C14" s="613"/>
      <c r="D14" s="613"/>
      <c r="E14" s="613"/>
      <c r="F14" s="613"/>
      <c r="G14" s="613"/>
      <c r="H14" s="613"/>
      <c r="I14" s="613"/>
      <c r="J14" s="613"/>
      <c r="K14" s="613"/>
      <c r="L14" s="613"/>
      <c r="M14" s="613"/>
      <c r="N14" s="613"/>
      <c r="O14" s="613"/>
      <c r="P14" s="613"/>
      <c r="Q14" s="613"/>
      <c r="R14" s="613"/>
      <c r="S14" s="613"/>
      <c r="T14" s="613"/>
      <c r="U14" s="613"/>
      <c r="V14" s="613"/>
      <c r="W14" s="613"/>
      <c r="X14" s="614"/>
    </row>
    <row r="15" spans="2:24" ht="13.5" customHeight="1" thickBot="1">
      <c r="B15" s="612"/>
      <c r="C15" s="613"/>
      <c r="D15" s="746" t="s">
        <v>483</v>
      </c>
      <c r="E15" s="613"/>
      <c r="F15" s="613"/>
      <c r="G15" s="613"/>
      <c r="H15" s="613"/>
      <c r="I15" s="613"/>
      <c r="J15" s="613"/>
      <c r="K15" s="613"/>
      <c r="L15" s="746" t="s">
        <v>499</v>
      </c>
      <c r="M15" s="613"/>
      <c r="N15" s="613"/>
      <c r="O15" s="613"/>
      <c r="P15" s="613"/>
      <c r="Q15" s="613"/>
      <c r="R15" s="613"/>
      <c r="S15" s="613"/>
      <c r="T15" s="613"/>
      <c r="U15" s="613"/>
      <c r="V15" s="613"/>
      <c r="W15" s="613"/>
      <c r="X15" s="614"/>
    </row>
    <row r="16" spans="2:24">
      <c r="B16" s="612"/>
      <c r="C16" s="613"/>
      <c r="D16" s="662"/>
      <c r="E16" s="774"/>
      <c r="F16" s="774"/>
      <c r="G16" s="774"/>
      <c r="H16" s="775"/>
      <c r="I16" s="613"/>
      <c r="J16" s="613"/>
      <c r="K16" s="613"/>
      <c r="L16" s="662"/>
      <c r="M16" s="774"/>
      <c r="N16" s="774"/>
      <c r="O16" s="774"/>
      <c r="P16" s="775"/>
      <c r="Q16" s="613"/>
      <c r="R16" s="613"/>
      <c r="S16" s="613"/>
      <c r="T16" s="613"/>
      <c r="U16" s="613"/>
      <c r="V16" s="613"/>
      <c r="W16" s="613"/>
      <c r="X16" s="614"/>
    </row>
    <row r="17" spans="2:24" ht="15">
      <c r="B17" s="612"/>
      <c r="C17" s="613"/>
      <c r="D17" s="1562" t="s">
        <v>477</v>
      </c>
      <c r="E17" s="1563"/>
      <c r="F17" s="1563"/>
      <c r="G17" s="794" t="str">
        <f>'Storage options'!C5</f>
        <v>Square Silo Sloping Floor</v>
      </c>
      <c r="H17" s="778"/>
      <c r="I17" s="613"/>
      <c r="J17" s="613"/>
      <c r="K17" s="613"/>
      <c r="L17" s="1578" t="s">
        <v>503</v>
      </c>
      <c r="M17" s="1579"/>
      <c r="N17" s="1579"/>
      <c r="O17" s="791">
        <f>IF('Storage options'!C5='Storage options'!H6,'Storage options'!I6*'Storage options'!J6*'Storage options'!K6,IF('Storage options'!C5='Storage options'!H8,'Storage options'!O8,'Storage options'!O9))</f>
        <v>8</v>
      </c>
      <c r="P17" s="789" t="s">
        <v>327</v>
      </c>
      <c r="Q17" s="613"/>
      <c r="R17" s="613"/>
      <c r="S17" s="613"/>
      <c r="T17" s="613"/>
      <c r="U17" s="613"/>
      <c r="V17" s="613"/>
      <c r="W17" s="613"/>
      <c r="X17" s="614"/>
    </row>
    <row r="18" spans="2:24" ht="15">
      <c r="B18" s="612"/>
      <c r="C18" s="613"/>
      <c r="D18" s="1562" t="s">
        <v>478</v>
      </c>
      <c r="E18" s="1563"/>
      <c r="F18" s="1563"/>
      <c r="G18" s="795">
        <f>'Storage options'!E7</f>
        <v>1.6203797348663675</v>
      </c>
      <c r="H18" s="789" t="s">
        <v>475</v>
      </c>
      <c r="I18" s="613"/>
      <c r="J18" s="613"/>
      <c r="K18" s="613"/>
      <c r="L18" s="1578" t="s">
        <v>505</v>
      </c>
      <c r="M18" s="1579"/>
      <c r="N18" s="1579"/>
      <c r="O18" s="791">
        <f>'Thermal Buffer'!H23*'Thermal Buffer'!H24</f>
        <v>0.21818181818181817</v>
      </c>
      <c r="P18" s="789" t="s">
        <v>327</v>
      </c>
      <c r="Q18" s="613"/>
      <c r="R18" s="613"/>
      <c r="S18" s="613"/>
      <c r="T18" s="613"/>
      <c r="U18" s="613"/>
      <c r="V18" s="613"/>
      <c r="W18" s="613"/>
      <c r="X18" s="614"/>
    </row>
    <row r="19" spans="2:24" ht="15">
      <c r="B19" s="612"/>
      <c r="C19" s="613"/>
      <c r="D19" s="1559" t="s">
        <v>485</v>
      </c>
      <c r="E19" s="1560"/>
      <c r="F19" s="1561"/>
      <c r="G19" s="796">
        <f>IF('Storage options'!C23='Storage options'!E5,IF('Storage options'!E23='Storage options'!C5,'Storage options'!I23,'Storage options'!I24),IF('Storage options'!E36='Storage options'!C5,'Storage options'!I36,IF('Storage options'!C5='Storage options'!E37,'Storage options'!I37,'Storage options'!I38)))</f>
        <v>7.8088626186516334</v>
      </c>
      <c r="H19" s="789" t="s">
        <v>545</v>
      </c>
      <c r="I19" s="613"/>
      <c r="J19" s="613"/>
      <c r="K19" s="613"/>
      <c r="L19" s="776"/>
      <c r="M19" s="777"/>
      <c r="N19" s="777"/>
      <c r="O19" s="777"/>
      <c r="P19" s="778"/>
      <c r="Q19" s="613"/>
      <c r="R19" s="613"/>
      <c r="S19" s="613"/>
      <c r="T19" s="613"/>
      <c r="U19" s="613"/>
      <c r="V19" s="613"/>
      <c r="W19" s="613"/>
      <c r="X19" s="614"/>
    </row>
    <row r="20" spans="2:24" ht="15">
      <c r="B20" s="612"/>
      <c r="C20" s="613"/>
      <c r="D20" s="1562" t="s">
        <v>479</v>
      </c>
      <c r="E20" s="1563"/>
      <c r="F20" s="1563"/>
      <c r="G20" s="790">
        <f>IF('Storage options'!C23='Storage options'!E5,'Storage options'!D75/1000,'Storage options'!D76/1000)</f>
        <v>52.529945521832374</v>
      </c>
      <c r="H20" s="789" t="s">
        <v>475</v>
      </c>
      <c r="I20" s="613"/>
      <c r="J20" s="613"/>
      <c r="K20" s="613"/>
      <c r="L20" s="776"/>
      <c r="M20" s="777"/>
      <c r="N20" s="777"/>
      <c r="O20" s="777"/>
      <c r="P20" s="778"/>
      <c r="Q20" s="613"/>
      <c r="R20" s="613"/>
      <c r="S20" s="613"/>
      <c r="T20" s="613"/>
      <c r="U20" s="613"/>
      <c r="V20" s="613"/>
      <c r="W20" s="613"/>
      <c r="X20" s="614"/>
    </row>
    <row r="21" spans="2:24" ht="15">
      <c r="B21" s="612"/>
      <c r="C21" s="613"/>
      <c r="D21" s="1562" t="s">
        <v>480</v>
      </c>
      <c r="E21" s="1563"/>
      <c r="F21" s="1563"/>
      <c r="G21" s="790">
        <f>IF('Storage options'!C75='Storage options'!E5,'Storage options'!E75,'Storage options'!E76)</f>
        <v>2889.1470037007803</v>
      </c>
      <c r="H21" s="789" t="s">
        <v>345</v>
      </c>
      <c r="I21" s="613"/>
      <c r="J21" s="613"/>
      <c r="K21" s="613"/>
      <c r="L21" s="776"/>
      <c r="M21" s="777"/>
      <c r="N21" s="777"/>
      <c r="O21" s="777"/>
      <c r="P21" s="778"/>
      <c r="Q21" s="613"/>
      <c r="R21" s="613"/>
      <c r="S21" s="613"/>
      <c r="T21" s="613"/>
      <c r="U21" s="613"/>
      <c r="V21" s="613"/>
      <c r="W21" s="613"/>
      <c r="X21" s="614"/>
    </row>
    <row r="22" spans="2:24" ht="15" thickBot="1">
      <c r="B22" s="612"/>
      <c r="C22" s="613"/>
      <c r="D22" s="267"/>
      <c r="E22" s="268"/>
      <c r="F22" s="268"/>
      <c r="G22" s="268"/>
      <c r="H22" s="269"/>
      <c r="I22" s="613"/>
      <c r="J22" s="613"/>
      <c r="K22" s="613"/>
      <c r="L22" s="267"/>
      <c r="M22" s="268"/>
      <c r="N22" s="268"/>
      <c r="O22" s="268"/>
      <c r="P22" s="269"/>
      <c r="Q22" s="613"/>
      <c r="R22" s="613"/>
      <c r="S22" s="613"/>
      <c r="T22" s="613"/>
      <c r="U22" s="613"/>
      <c r="V22" s="613"/>
      <c r="W22" s="613"/>
      <c r="X22" s="614"/>
    </row>
    <row r="23" spans="2:24" ht="15" thickBot="1">
      <c r="B23" s="612"/>
      <c r="C23" s="613"/>
      <c r="D23" s="613"/>
      <c r="E23" s="613"/>
      <c r="F23" s="613"/>
      <c r="G23" s="891"/>
      <c r="H23" s="613"/>
      <c r="I23" s="613"/>
      <c r="J23" s="613"/>
      <c r="K23" s="613"/>
      <c r="L23" s="613"/>
      <c r="M23" s="613"/>
      <c r="N23" s="613"/>
      <c r="O23" s="613"/>
      <c r="P23" s="613"/>
      <c r="Q23" s="613"/>
      <c r="R23" s="613"/>
      <c r="S23" s="613"/>
      <c r="T23" s="613"/>
      <c r="U23" s="613"/>
      <c r="V23" s="613"/>
      <c r="W23" s="613"/>
      <c r="X23" s="614"/>
    </row>
    <row r="24" spans="2:24">
      <c r="B24" s="612"/>
      <c r="C24" s="613"/>
      <c r="D24" s="613"/>
      <c r="E24" s="613"/>
      <c r="F24" s="613"/>
      <c r="G24" s="613"/>
      <c r="H24" s="613"/>
      <c r="I24" s="613"/>
      <c r="J24" s="613"/>
      <c r="K24" s="613"/>
      <c r="L24" s="1564" t="s">
        <v>453</v>
      </c>
      <c r="M24" s="1565"/>
      <c r="N24" s="1565"/>
      <c r="O24" s="1566"/>
      <c r="P24" s="613"/>
      <c r="Q24" s="613"/>
      <c r="R24" s="613"/>
      <c r="S24" s="613"/>
      <c r="T24" s="613"/>
      <c r="U24" s="613"/>
      <c r="V24" s="613"/>
      <c r="W24" s="613"/>
      <c r="X24" s="614"/>
    </row>
    <row r="25" spans="2:24">
      <c r="B25" s="612"/>
      <c r="C25" s="613"/>
      <c r="D25" s="613"/>
      <c r="E25" s="613"/>
      <c r="F25" s="613"/>
      <c r="G25" s="613"/>
      <c r="H25" s="613"/>
      <c r="I25" s="613"/>
      <c r="J25" s="613"/>
      <c r="K25" s="613"/>
      <c r="L25" s="1567"/>
      <c r="M25" s="1568"/>
      <c r="N25" s="1568"/>
      <c r="O25" s="1569"/>
      <c r="P25" s="613"/>
      <c r="Q25" s="613"/>
      <c r="R25" s="613"/>
      <c r="S25" s="613"/>
      <c r="T25" s="613"/>
      <c r="U25" s="613"/>
      <c r="V25" s="613"/>
      <c r="W25" s="613"/>
      <c r="X25" s="614"/>
    </row>
    <row r="26" spans="2:24" ht="15" thickBot="1">
      <c r="B26" s="612"/>
      <c r="C26" s="613"/>
      <c r="D26" s="613"/>
      <c r="E26" s="613"/>
      <c r="F26" s="613"/>
      <c r="G26" s="613"/>
      <c r="H26" s="613"/>
      <c r="I26" s="613"/>
      <c r="J26" s="613"/>
      <c r="K26" s="613"/>
      <c r="L26" s="1570"/>
      <c r="M26" s="1571"/>
      <c r="N26" s="1571"/>
      <c r="O26" s="1572"/>
      <c r="P26" s="613"/>
      <c r="Q26" s="613"/>
      <c r="R26" s="613"/>
      <c r="S26" s="613"/>
      <c r="T26" s="613"/>
      <c r="U26" s="613"/>
      <c r="V26" s="613"/>
      <c r="W26" s="613"/>
      <c r="X26" s="614"/>
    </row>
    <row r="27" spans="2:24">
      <c r="B27" s="612"/>
      <c r="C27" s="613"/>
      <c r="D27" s="613"/>
      <c r="E27" s="613"/>
      <c r="F27" s="613"/>
      <c r="G27" s="613"/>
      <c r="H27" s="613"/>
      <c r="I27" s="613"/>
      <c r="J27" s="613"/>
      <c r="K27" s="613"/>
      <c r="L27" s="613"/>
      <c r="M27" s="613"/>
      <c r="N27" s="613"/>
      <c r="O27" s="613"/>
      <c r="P27" s="613"/>
      <c r="Q27" s="613"/>
      <c r="R27" s="613"/>
      <c r="S27" s="613"/>
      <c r="T27" s="613"/>
      <c r="U27" s="613"/>
      <c r="V27" s="613"/>
      <c r="W27" s="613"/>
      <c r="X27" s="614"/>
    </row>
    <row r="28" spans="2:24">
      <c r="B28" s="612"/>
      <c r="C28" s="613"/>
      <c r="D28" s="613"/>
      <c r="E28" s="613"/>
      <c r="F28" s="613"/>
      <c r="G28" s="613"/>
      <c r="H28" s="613"/>
      <c r="I28" s="613"/>
      <c r="J28" s="613"/>
      <c r="K28" s="613"/>
      <c r="L28" s="613"/>
      <c r="M28" s="613"/>
      <c r="N28" s="613"/>
      <c r="O28" s="613"/>
      <c r="P28" s="613"/>
      <c r="Q28" s="613"/>
      <c r="R28" s="613"/>
      <c r="S28" s="613"/>
      <c r="T28" s="613"/>
      <c r="U28" s="613"/>
      <c r="V28" s="613"/>
      <c r="W28" s="613"/>
      <c r="X28" s="614"/>
    </row>
    <row r="29" spans="2:24">
      <c r="B29" s="612"/>
      <c r="C29" s="613"/>
      <c r="D29" s="613"/>
      <c r="E29" s="613"/>
      <c r="F29" s="613"/>
      <c r="G29" s="613"/>
      <c r="H29" s="613"/>
      <c r="I29" s="613"/>
      <c r="J29" s="613"/>
      <c r="K29" s="613"/>
      <c r="L29" s="613"/>
      <c r="M29" s="613"/>
      <c r="N29" s="613"/>
      <c r="O29" s="613"/>
      <c r="P29" s="613"/>
      <c r="Q29" s="613"/>
      <c r="R29" s="613"/>
      <c r="S29" s="613"/>
      <c r="T29" s="613"/>
      <c r="U29" s="613"/>
      <c r="V29" s="613"/>
      <c r="W29" s="613"/>
      <c r="X29" s="614"/>
    </row>
    <row r="30" spans="2:24">
      <c r="B30" s="612"/>
      <c r="C30" s="613"/>
      <c r="D30" s="613"/>
      <c r="E30" s="613"/>
      <c r="F30" s="613"/>
      <c r="G30" s="613"/>
      <c r="H30" s="613"/>
      <c r="I30" s="613"/>
      <c r="J30" s="613"/>
      <c r="K30" s="613"/>
      <c r="L30" s="613"/>
      <c r="M30" s="613"/>
      <c r="N30" s="613"/>
      <c r="O30" s="613"/>
      <c r="P30" s="613"/>
      <c r="Q30" s="613"/>
      <c r="R30" s="613"/>
      <c r="S30" s="613"/>
      <c r="T30" s="613"/>
      <c r="U30" s="613"/>
      <c r="V30" s="613"/>
      <c r="W30" s="613"/>
      <c r="X30" s="614"/>
    </row>
    <row r="31" spans="2:24">
      <c r="B31" s="612"/>
      <c r="C31" s="613"/>
      <c r="D31" s="613"/>
      <c r="E31" s="613"/>
      <c r="F31" s="613"/>
      <c r="G31" s="613"/>
      <c r="H31" s="613"/>
      <c r="I31" s="613"/>
      <c r="J31" s="613"/>
      <c r="K31" s="613"/>
      <c r="L31" s="613"/>
      <c r="M31" s="613"/>
      <c r="N31" s="613"/>
      <c r="O31" s="613"/>
      <c r="P31" s="613"/>
      <c r="Q31" s="613"/>
      <c r="R31" s="613"/>
      <c r="S31" s="613"/>
      <c r="T31" s="613"/>
      <c r="U31" s="613"/>
      <c r="V31" s="613"/>
      <c r="W31" s="613"/>
      <c r="X31" s="614"/>
    </row>
    <row r="32" spans="2:24">
      <c r="B32" s="612"/>
      <c r="C32" s="613"/>
      <c r="D32" s="613"/>
      <c r="E32" s="613"/>
      <c r="F32" s="613"/>
      <c r="G32" s="613"/>
      <c r="H32" s="613"/>
      <c r="I32" s="613"/>
      <c r="J32" s="613"/>
      <c r="K32" s="613"/>
      <c r="L32" s="613"/>
      <c r="M32" s="613"/>
      <c r="N32" s="613"/>
      <c r="O32" s="613"/>
      <c r="P32" s="613"/>
      <c r="Q32" s="613"/>
      <c r="R32" s="613"/>
      <c r="S32" s="613"/>
      <c r="T32" s="613"/>
      <c r="U32" s="613"/>
      <c r="V32" s="613"/>
      <c r="W32" s="613"/>
      <c r="X32" s="614"/>
    </row>
    <row r="33" spans="2:24">
      <c r="B33" s="612"/>
      <c r="C33" s="613"/>
      <c r="D33" s="613"/>
      <c r="E33" s="613"/>
      <c r="F33" s="613"/>
      <c r="G33" s="613"/>
      <c r="H33" s="613"/>
      <c r="I33" s="613"/>
      <c r="J33" s="613"/>
      <c r="K33" s="613"/>
      <c r="L33" s="613"/>
      <c r="M33" s="613"/>
      <c r="N33" s="613"/>
      <c r="O33" s="613"/>
      <c r="P33" s="613"/>
      <c r="Q33" s="613"/>
      <c r="R33" s="613"/>
      <c r="S33" s="613"/>
      <c r="T33" s="613"/>
      <c r="U33" s="613"/>
      <c r="V33" s="613"/>
      <c r="W33" s="613"/>
      <c r="X33" s="614"/>
    </row>
    <row r="34" spans="2:24" ht="15" thickBot="1">
      <c r="B34" s="629"/>
      <c r="C34" s="630"/>
      <c r="D34" s="630"/>
      <c r="E34" s="630"/>
      <c r="F34" s="630"/>
      <c r="G34" s="630"/>
      <c r="H34" s="630"/>
      <c r="I34" s="630"/>
      <c r="J34" s="630"/>
      <c r="K34" s="630"/>
      <c r="L34" s="630"/>
      <c r="M34" s="630"/>
      <c r="N34" s="630"/>
      <c r="O34" s="630"/>
      <c r="P34" s="630"/>
      <c r="Q34" s="630"/>
      <c r="R34" s="630"/>
      <c r="S34" s="630"/>
      <c r="T34" s="630"/>
      <c r="U34" s="630"/>
      <c r="V34" s="630"/>
      <c r="W34" s="630"/>
      <c r="X34" s="631"/>
    </row>
    <row r="35" spans="2:24" s="231" customFormat="1"/>
    <row r="36" spans="2:24" s="231" customFormat="1"/>
    <row r="37" spans="2:24" s="231" customFormat="1"/>
    <row r="38" spans="2:24" s="231" customFormat="1"/>
    <row r="39" spans="2:24" s="231" customFormat="1"/>
    <row r="40" spans="2:24" s="231" customFormat="1"/>
    <row r="41" spans="2:24" s="231" customFormat="1"/>
    <row r="42" spans="2:24" s="231" customFormat="1"/>
    <row r="43" spans="2:24" s="231" customFormat="1"/>
    <row r="44" spans="2:24" s="231" customFormat="1"/>
    <row r="45" spans="2:24" s="231" customFormat="1"/>
    <row r="46" spans="2:24" s="231" customFormat="1"/>
    <row r="47" spans="2:24" s="231" customFormat="1"/>
    <row r="48" spans="2:24" s="231" customFormat="1"/>
    <row r="49" spans="3:8" s="231" customFormat="1"/>
    <row r="50" spans="3:8" s="231" customFormat="1"/>
    <row r="51" spans="3:8" s="231" customFormat="1"/>
    <row r="52" spans="3:8" s="231" customFormat="1"/>
    <row r="57" spans="3:8" hidden="1"/>
    <row r="58" spans="3:8" ht="15" hidden="1" thickBot="1">
      <c r="C58" s="236" t="s">
        <v>457</v>
      </c>
    </row>
    <row r="59" spans="3:8" ht="15" hidden="1" thickBot="1">
      <c r="C59" s="609" t="s">
        <v>489</v>
      </c>
      <c r="D59" s="610"/>
      <c r="E59" s="610"/>
      <c r="F59" s="611"/>
      <c r="H59" s="236" t="s">
        <v>492</v>
      </c>
    </row>
    <row r="60" spans="3:8" ht="15" hidden="1">
      <c r="C60" s="612">
        <f>IF('Storage options'!$E$5='Storage options'!$C$23,'Fuel Comparator and Consumption'!AC41,'Fuel Comparator and Consumption'!AC75)</f>
        <v>6.4326617375592896</v>
      </c>
      <c r="D60" s="214" t="s">
        <v>124</v>
      </c>
      <c r="E60" s="613"/>
      <c r="F60" s="614"/>
      <c r="H60" s="236" t="str">
        <f>'Fuel Comparator and Consumption'!$G$19</f>
        <v>Heating Oil</v>
      </c>
    </row>
    <row r="61" spans="3:8" ht="15" hidden="1">
      <c r="C61" s="612">
        <f>IF('Storage options'!$E$5='Storage options'!$C$23,'Fuel Comparator and Consumption'!AC42,'Fuel Comparator and Consumption'!AC76)</f>
        <v>5.8838452458978781</v>
      </c>
      <c r="D61" s="215" t="s">
        <v>123</v>
      </c>
      <c r="E61" s="613"/>
      <c r="F61" s="614"/>
      <c r="H61" s="236" t="str">
        <f>'Fuel Comparator and Consumption'!H20</f>
        <v>19 kg propane</v>
      </c>
    </row>
    <row r="62" spans="3:8" ht="15" hidden="1">
      <c r="C62" s="612">
        <f>IF('Storage options'!$E$5='Storage options'!$C$23,'Fuel Comparator and Consumption'!AC43,'Fuel Comparator and Consumption'!AC77)</f>
        <v>5.3592160935147897</v>
      </c>
      <c r="D62" s="215" t="s">
        <v>122</v>
      </c>
      <c r="E62" s="613"/>
      <c r="F62" s="614"/>
      <c r="H62" s="236" t="str">
        <f>'Fuel Comparator and Consumption'!H21</f>
        <v>47 kg propane</v>
      </c>
    </row>
    <row r="63" spans="3:8" ht="15" hidden="1">
      <c r="C63" s="612">
        <f>IF('Storage options'!$E$5='Storage options'!$C$23,'Fuel Comparator and Consumption'!AC44,'Fuel Comparator and Consumption'!AC78)</f>
        <v>4.7559605345223277</v>
      </c>
      <c r="D63" s="215" t="s">
        <v>121</v>
      </c>
      <c r="E63" s="613"/>
      <c r="F63" s="614"/>
      <c r="H63" s="236" t="str">
        <f>'Fuel Comparator and Consumption'!H22</f>
        <v>LPG Domestic</v>
      </c>
    </row>
    <row r="64" spans="3:8" ht="15" hidden="1">
      <c r="C64" s="612">
        <f>IF('Storage options'!$E$5='Storage options'!$C$23,'Fuel Comparator and Consumption'!AC45,'Fuel Comparator and Consumption'!AC79)</f>
        <v>4.1058573251317876</v>
      </c>
      <c r="D64" s="215" t="s">
        <v>105</v>
      </c>
      <c r="E64" s="613"/>
      <c r="F64" s="614"/>
      <c r="H64" s="236" t="str">
        <f>'Fuel Comparator and Consumption'!H23</f>
        <v>LPG Commercial</v>
      </c>
    </row>
    <row r="65" spans="3:8" ht="15" hidden="1">
      <c r="C65" s="612">
        <f>IF('Storage options'!$E$5='Storage options'!$C$23,'Fuel Comparator and Consumption'!AC46,'Fuel Comparator and Consumption'!AC80)</f>
        <v>2.8707850574801004</v>
      </c>
      <c r="D65" s="215" t="s">
        <v>120</v>
      </c>
      <c r="E65" s="613"/>
      <c r="F65" s="614"/>
      <c r="H65" s="236" t="str">
        <f>'Fuel Comparator and Consumption'!G24</f>
        <v>Electricity</v>
      </c>
    </row>
    <row r="66" spans="3:8" ht="15" hidden="1">
      <c r="C66" s="612">
        <f>IF('Storage options'!$E$5='Storage options'!$C$23,'Fuel Comparator and Consumption'!AC47,'Fuel Comparator and Consumption'!AC81)</f>
        <v>2.0811561978877151</v>
      </c>
      <c r="D66" s="215" t="s">
        <v>119</v>
      </c>
      <c r="E66" s="613"/>
      <c r="F66" s="614"/>
      <c r="H66" s="236" t="str">
        <f>'Fuel Comparator and Consumption'!G25</f>
        <v>Mains Gas</v>
      </c>
    </row>
    <row r="67" spans="3:8" ht="15" hidden="1">
      <c r="C67" s="612">
        <f>IF('Storage options'!$E$5='Storage options'!$C$23,'Fuel Comparator and Consumption'!AC48,'Fuel Comparator and Consumption'!AC82)</f>
        <v>2.0811561978877151</v>
      </c>
      <c r="D67" s="215" t="s">
        <v>118</v>
      </c>
      <c r="E67" s="613"/>
      <c r="F67" s="614"/>
      <c r="H67" s="236" t="str">
        <f>'Fuel Comparator and Consumption'!H26:I26</f>
        <v>house coal</v>
      </c>
    </row>
    <row r="68" spans="3:8" ht="15" hidden="1">
      <c r="C68" s="612">
        <f>IF('Storage options'!$E$5='Storage options'!$C$23,'Fuel Comparator and Consumption'!AC49,'Fuel Comparator and Consumption'!AC83)</f>
        <v>3.1947427077247981</v>
      </c>
      <c r="D68" s="215" t="s">
        <v>117</v>
      </c>
      <c r="E68" s="613"/>
      <c r="F68" s="614"/>
      <c r="H68" s="236" t="str">
        <f>'Fuel Comparator and Consumption'!H27:I27</f>
        <v>Coalite</v>
      </c>
    </row>
    <row r="69" spans="3:8" ht="15" hidden="1">
      <c r="C69" s="612">
        <f>IF('Storage options'!$E$5='Storage options'!$C$23,'Fuel Comparator and Consumption'!AC50,'Fuel Comparator and Consumption'!AC84)</f>
        <v>4.1345070330388962</v>
      </c>
      <c r="D69" s="215" t="s">
        <v>116</v>
      </c>
      <c r="E69" s="613"/>
      <c r="F69" s="614"/>
    </row>
    <row r="70" spans="3:8" ht="15" hidden="1">
      <c r="C70" s="612">
        <f>IF('Storage options'!$E$5='Storage options'!$C$23,'Fuel Comparator and Consumption'!AC51,'Fuel Comparator and Consumption'!AC85)</f>
        <v>5.1259280553230457</v>
      </c>
      <c r="D70" s="215" t="s">
        <v>115</v>
      </c>
      <c r="E70" s="613"/>
      <c r="F70" s="614"/>
      <c r="H70" s="236" t="s">
        <v>496</v>
      </c>
    </row>
    <row r="71" spans="3:8" ht="15.75" hidden="1" thickBot="1">
      <c r="C71" s="612">
        <f>IF('Storage options'!$E$5='Storage options'!$C$23,'Fuel Comparator and Consumption'!AC52,'Fuel Comparator and Consumption'!AC86)</f>
        <v>6.5041293358640226</v>
      </c>
      <c r="D71" s="216" t="s">
        <v>114</v>
      </c>
      <c r="E71" s="613"/>
      <c r="F71" s="614"/>
      <c r="H71" s="236">
        <f>IF(O10='Fuel Comparator and Consumption'!G19,'Fuel Comparator and Consumption'!J19,IF(O10='Fuel Comparator and Consumption'!H20,'Fuel Comparator and Consumption'!J20,IF(O10='Fuel Comparator and Consumption'!H21,'Fuel Comparator and Consumption'!J21,IF(O10='Fuel Comparator and Consumption'!H22,'Fuel Comparator and Consumption'!J22,Results!H72))))</f>
        <v>3</v>
      </c>
    </row>
    <row r="72" spans="3:8" ht="15" hidden="1" thickBot="1">
      <c r="C72" s="629"/>
      <c r="D72" s="630"/>
      <c r="E72" s="630"/>
      <c r="F72" s="631"/>
      <c r="H72" s="236">
        <f>IF(O10='Fuel Comparator and Consumption'!H23,'Fuel Comparator and Consumption'!J23,IF(O10='Fuel Comparator and Consumption'!G24,'Fuel Comparator and Consumption'!J24,IF(O10='Fuel Comparator and Consumption'!G25,'Fuel Comparator and Consumption'!J25,IF(O10='Fuel Comparator and Consumption'!H26,'Fuel Comparator and Consumption'!J26,'Fuel Comparator and Consumption'!J27))))</f>
        <v>3</v>
      </c>
    </row>
    <row r="73" spans="3:8" hidden="1"/>
  </sheetData>
  <sheetProtection password="B1AA" sheet="1"/>
  <mergeCells count="20">
    <mergeCell ref="F3:R4"/>
    <mergeCell ref="D10:F10"/>
    <mergeCell ref="D18:F18"/>
    <mergeCell ref="L12:N12"/>
    <mergeCell ref="D12:F12"/>
    <mergeCell ref="D8:F8"/>
    <mergeCell ref="D9:F9"/>
    <mergeCell ref="D11:F11"/>
    <mergeCell ref="L17:N17"/>
    <mergeCell ref="L18:N18"/>
    <mergeCell ref="L8:N8"/>
    <mergeCell ref="L9:N9"/>
    <mergeCell ref="L10:N10"/>
    <mergeCell ref="L11:N11"/>
    <mergeCell ref="O10:P10"/>
    <mergeCell ref="D19:F19"/>
    <mergeCell ref="D20:F20"/>
    <mergeCell ref="D21:F21"/>
    <mergeCell ref="D17:F17"/>
    <mergeCell ref="L24:O26"/>
  </mergeCells>
  <dataValidations count="1">
    <dataValidation type="list" allowBlank="1" showInputMessage="1" showErrorMessage="1" sqref="O10">
      <formula1>$H$60:$H$68</formula1>
    </dataValidation>
  </dataValidations>
  <hyperlinks>
    <hyperlink ref="L24:O26" location="'Main Menu'!A1" display="'Main Menu'!A1"/>
  </hyperlink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Plan21"/>
  <dimension ref="A1:Z31"/>
  <sheetViews>
    <sheetView showGridLines="0" zoomScale="85" zoomScaleNormal="85" workbookViewId="0"/>
  </sheetViews>
  <sheetFormatPr defaultRowHeight="14.25"/>
  <cols>
    <col min="1" max="1" width="2.28515625" style="598" customWidth="1"/>
    <col min="2" max="2" width="9.140625" style="598"/>
    <col min="3" max="3" width="12.28515625" style="598" customWidth="1"/>
    <col min="4" max="4" width="14.7109375" style="598" customWidth="1"/>
    <col min="5" max="5" width="2.85546875" style="598" customWidth="1"/>
    <col min="6" max="6" width="12.140625" style="598" customWidth="1"/>
    <col min="7" max="7" width="2.28515625" style="598" customWidth="1"/>
    <col min="8" max="8" width="25.140625" style="598" customWidth="1"/>
    <col min="9" max="9" width="8.140625" style="598" customWidth="1"/>
    <col min="10" max="10" width="6.85546875" style="598" customWidth="1"/>
    <col min="11" max="11" width="10.140625" style="598" customWidth="1"/>
    <col min="12" max="12" width="16.85546875" style="598" customWidth="1"/>
    <col min="13" max="13" width="4.85546875" style="598" customWidth="1"/>
    <col min="14" max="14" width="5.28515625" style="598" customWidth="1"/>
    <col min="15" max="15" width="1.28515625" style="598" customWidth="1"/>
    <col min="16" max="16" width="25.5703125" style="598" customWidth="1"/>
    <col min="17" max="17" width="4.7109375" style="598" customWidth="1"/>
    <col min="18" max="18" width="9.140625" style="598"/>
    <col min="19" max="19" width="7.42578125" style="598" customWidth="1"/>
    <col min="20" max="20" width="9.140625" style="598"/>
    <col min="21" max="21" width="4" style="598" customWidth="1"/>
    <col min="22" max="22" width="9.140625" style="598"/>
    <col min="23" max="23" width="12.28515625" style="598" customWidth="1"/>
    <col min="24" max="24" width="8.140625" style="598" customWidth="1"/>
    <col min="25" max="25" width="8.7109375" style="598" customWidth="1"/>
    <col min="26" max="29" width="9" style="598" customWidth="1"/>
    <col min="30" max="16384" width="9.140625" style="598"/>
  </cols>
  <sheetData>
    <row r="1" spans="1:2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row>
    <row r="3" spans="1:26">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row>
    <row r="4" spans="1:26">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row>
    <row r="5" spans="1:26">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row>
    <row r="6" spans="1:26">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row>
    <row r="7" spans="1:26">
      <c r="A7" s="238"/>
      <c r="B7" s="238"/>
      <c r="C7" s="238"/>
      <c r="D7" s="238"/>
      <c r="E7" s="238"/>
      <c r="F7" s="238"/>
      <c r="G7" s="238"/>
      <c r="H7" s="599"/>
      <c r="I7" s="238"/>
      <c r="J7" s="238"/>
      <c r="K7" s="238"/>
      <c r="L7" s="238"/>
      <c r="M7" s="238"/>
      <c r="N7" s="238"/>
      <c r="O7" s="238"/>
      <c r="P7" s="238"/>
      <c r="Q7" s="238"/>
      <c r="R7" s="238"/>
      <c r="S7" s="238"/>
      <c r="T7" s="238"/>
      <c r="U7" s="238"/>
      <c r="V7" s="238"/>
      <c r="W7" s="238"/>
      <c r="X7" s="238"/>
      <c r="Y7" s="238"/>
      <c r="Z7" s="238"/>
    </row>
    <row r="8" spans="1:26">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row>
    <row r="9" spans="1:26" ht="20.25" customHeight="1">
      <c r="A9" s="238"/>
      <c r="B9" s="238"/>
      <c r="C9" s="1003" t="s">
        <v>451</v>
      </c>
      <c r="D9" s="1003"/>
      <c r="E9" s="238"/>
      <c r="F9" s="238"/>
      <c r="G9" s="238"/>
      <c r="H9" s="238"/>
      <c r="I9" s="238"/>
      <c r="J9" s="238"/>
      <c r="K9" s="238"/>
      <c r="L9" s="238"/>
      <c r="M9" s="238"/>
      <c r="N9" s="238"/>
      <c r="O9" s="238"/>
      <c r="P9" s="238"/>
      <c r="Q9" s="238"/>
      <c r="R9" s="238"/>
      <c r="S9" s="238"/>
      <c r="T9" s="238"/>
      <c r="U9" s="238"/>
      <c r="V9" s="238"/>
      <c r="W9" s="238"/>
      <c r="X9" s="238"/>
      <c r="Y9" s="238"/>
      <c r="Z9" s="238"/>
    </row>
    <row r="10" spans="1:26" ht="15" customHeight="1">
      <c r="A10" s="238"/>
      <c r="B10" s="238"/>
      <c r="C10" s="1003" t="s">
        <v>451</v>
      </c>
      <c r="D10" s="1003"/>
      <c r="E10" s="238"/>
      <c r="F10" s="238"/>
      <c r="G10" s="238"/>
      <c r="H10" s="238"/>
      <c r="I10" s="238"/>
      <c r="J10" s="238"/>
      <c r="K10" s="238"/>
      <c r="L10" s="238"/>
      <c r="M10" s="238"/>
      <c r="N10" s="238"/>
      <c r="O10" s="238"/>
      <c r="P10" s="238"/>
      <c r="Q10" s="238"/>
      <c r="R10" s="238"/>
      <c r="S10" s="238"/>
      <c r="T10" s="238"/>
      <c r="U10" s="238"/>
      <c r="V10" s="238"/>
      <c r="W10" s="238"/>
      <c r="X10" s="238"/>
      <c r="Y10" s="238"/>
      <c r="Z10" s="238"/>
    </row>
    <row r="11" spans="1:26" ht="14.25" customHeight="1">
      <c r="A11" s="238"/>
      <c r="B11" s="238"/>
      <c r="C11" s="813"/>
      <c r="D11" s="813"/>
      <c r="E11" s="238"/>
      <c r="F11" s="238"/>
      <c r="G11" s="238"/>
      <c r="H11" s="238"/>
      <c r="I11" s="238"/>
      <c r="J11" s="238"/>
      <c r="K11" s="1004" t="s">
        <v>502</v>
      </c>
      <c r="L11" s="1005"/>
      <c r="M11" s="238"/>
      <c r="N11" s="238"/>
      <c r="O11" s="238"/>
      <c r="P11" s="1004" t="s">
        <v>468</v>
      </c>
      <c r="Q11" s="1005"/>
      <c r="R11" s="238"/>
      <c r="S11" s="238"/>
      <c r="T11" s="238"/>
      <c r="U11" s="238"/>
      <c r="V11" s="238"/>
      <c r="W11" s="238"/>
      <c r="X11" s="238"/>
      <c r="Y11" s="238"/>
      <c r="Z11" s="238"/>
    </row>
    <row r="12" spans="1:26" ht="12.75" customHeight="1">
      <c r="K12" s="1004" t="s">
        <v>502</v>
      </c>
      <c r="L12" s="1005"/>
      <c r="P12" s="1004" t="s">
        <v>468</v>
      </c>
      <c r="Q12" s="1005"/>
    </row>
    <row r="13" spans="1:26" ht="18" customHeight="1">
      <c r="C13" s="1004" t="s">
        <v>460</v>
      </c>
      <c r="D13" s="1005"/>
      <c r="E13" s="1005"/>
      <c r="K13" s="811"/>
      <c r="L13" s="812"/>
      <c r="P13" s="1006" t="s">
        <v>468</v>
      </c>
      <c r="Q13" s="1007"/>
    </row>
    <row r="14" spans="1:26" ht="15" customHeight="1">
      <c r="C14" s="1004" t="s">
        <v>460</v>
      </c>
      <c r="D14" s="1005"/>
      <c r="E14" s="1005"/>
    </row>
    <row r="16" spans="1:26" ht="15">
      <c r="L16" s="607" t="s">
        <v>454</v>
      </c>
      <c r="P16" s="1008" t="s">
        <v>564</v>
      </c>
      <c r="Q16" s="1008"/>
    </row>
    <row r="17" spans="2:17" ht="15">
      <c r="L17" s="603" t="str">
        <f>'Fuel Comparator and Consumption'!G17</f>
        <v>Woodchip1</v>
      </c>
      <c r="P17" s="1008" t="s">
        <v>564</v>
      </c>
      <c r="Q17" s="1008"/>
    </row>
    <row r="18" spans="2:17" ht="15">
      <c r="L18" s="603" t="str">
        <f>'Fuel Comparator and Consumption'!G18</f>
        <v>Pellet1</v>
      </c>
    </row>
    <row r="19" spans="2:17" ht="20.25" customHeight="1"/>
    <row r="20" spans="2:17" ht="21.75" customHeight="1">
      <c r="C20" s="1004" t="s">
        <v>459</v>
      </c>
      <c r="D20" s="1005"/>
      <c r="E20" s="1005"/>
      <c r="H20" s="608" t="s">
        <v>467</v>
      </c>
      <c r="P20" s="1010"/>
      <c r="Q20" s="1010"/>
    </row>
    <row r="21" spans="2:17" ht="19.5" customHeight="1">
      <c r="C21" s="1004" t="s">
        <v>459</v>
      </c>
      <c r="D21" s="1005"/>
      <c r="E21" s="1005"/>
      <c r="H21" s="811" t="s">
        <v>467</v>
      </c>
    </row>
    <row r="22" spans="2:17" ht="21.75" customHeight="1">
      <c r="C22" s="606" t="s">
        <v>155</v>
      </c>
      <c r="D22" s="605" t="str">
        <f>'Heat Demand Model'!K27</f>
        <v>East Scotland</v>
      </c>
      <c r="H22" s="600"/>
      <c r="I22" s="601" t="s">
        <v>452</v>
      </c>
      <c r="J22" s="601"/>
    </row>
    <row r="23" spans="2:17" ht="15">
      <c r="C23" s="606" t="s">
        <v>456</v>
      </c>
      <c r="D23" s="605" t="str">
        <f>'Heat Demand Model'!L27</f>
        <v>Automatic Calculation</v>
      </c>
      <c r="I23" s="604">
        <f>'Boiler '!E18</f>
        <v>30</v>
      </c>
      <c r="J23" s="602" t="s">
        <v>163</v>
      </c>
    </row>
    <row r="26" spans="2:17" ht="12.75" customHeight="1"/>
    <row r="27" spans="2:17" ht="12.75" customHeight="1">
      <c r="H27" s="811" t="s">
        <v>466</v>
      </c>
      <c r="K27" s="1004" t="s">
        <v>468</v>
      </c>
      <c r="L27" s="1005"/>
      <c r="P27" s="1004" t="s">
        <v>501</v>
      </c>
      <c r="Q27" s="1005"/>
    </row>
    <row r="28" spans="2:17" ht="12.75" customHeight="1">
      <c r="B28" s="1009" t="s">
        <v>506</v>
      </c>
      <c r="C28" s="1009"/>
      <c r="H28" s="608" t="s">
        <v>466</v>
      </c>
      <c r="K28" s="1004" t="s">
        <v>468</v>
      </c>
      <c r="L28" s="1005"/>
      <c r="P28" s="1004" t="s">
        <v>501</v>
      </c>
      <c r="Q28" s="1005"/>
    </row>
    <row r="29" spans="2:17" ht="16.5" customHeight="1"/>
    <row r="30" spans="2:17" ht="15.75" customHeight="1">
      <c r="J30" s="606" t="s">
        <v>454</v>
      </c>
      <c r="K30" s="606"/>
      <c r="L30" s="605" t="str">
        <f>'Storage options'!E5</f>
        <v>Woodchip1</v>
      </c>
    </row>
    <row r="31" spans="2:17" ht="15.75" customHeight="1">
      <c r="J31" s="606" t="s">
        <v>455</v>
      </c>
      <c r="K31" s="606"/>
      <c r="L31" s="605" t="str">
        <f>'Storage options'!C5</f>
        <v>Square Silo Sloping Floor</v>
      </c>
    </row>
  </sheetData>
  <sheetProtection password="B1AA" sheet="1"/>
  <mergeCells count="19">
    <mergeCell ref="P28:Q28"/>
    <mergeCell ref="P12:Q12"/>
    <mergeCell ref="K28:L28"/>
    <mergeCell ref="C10:D10"/>
    <mergeCell ref="C20:E20"/>
    <mergeCell ref="C14:E14"/>
    <mergeCell ref="B28:C28"/>
    <mergeCell ref="K12:L12"/>
    <mergeCell ref="P20:Q20"/>
    <mergeCell ref="K27:L27"/>
    <mergeCell ref="P27:Q27"/>
    <mergeCell ref="K11:L11"/>
    <mergeCell ref="C9:D9"/>
    <mergeCell ref="C13:E13"/>
    <mergeCell ref="C21:E21"/>
    <mergeCell ref="P11:Q11"/>
    <mergeCell ref="P13:Q13"/>
    <mergeCell ref="P16:Q16"/>
    <mergeCell ref="P17:Q17"/>
  </mergeCells>
  <hyperlinks>
    <hyperlink ref="C10" location="Woodchip!A1" display=".                                ."/>
    <hyperlink ref="C20:E20" location="'Heat Demand Model'!A1" display="'Heat Demand Model'!A1"/>
    <hyperlink ref="C14:E14" location="Pellet!A1" display="Pellet!A1"/>
    <hyperlink ref="H28" location="'Thermal Buffer'!A1" display="'Thermal Buffer'!A1"/>
    <hyperlink ref="H20" location="'Boiler '!A1" display="'Boiler '!A1"/>
    <hyperlink ref="K12:L12" location="'Fuel Comparator and Consumption'!A1" display="'Fuel Comparator and Consumption'!A1"/>
    <hyperlink ref="K28:L28" location="'Storage options'!A1" display="'Storage options'!A1"/>
    <hyperlink ref="P28:Q28" location="Results!A1" display="Results!A1"/>
    <hyperlink ref="P12:Q12" location="Funding!A1" display="Funding!A1"/>
    <hyperlink ref="K11:L11" location="'Fuel Comparator and Consumption'!A1" display="'Fuel Comparator and Consumption'!A1"/>
    <hyperlink ref="C9" location="Woodchip!A1" display=".                                ."/>
    <hyperlink ref="C13:E13" location="Pellet!A1" display="Pellet!A1"/>
    <hyperlink ref="C21:E21" location="'Heat Demand Model'!A1" display="'Heat Demand Model'!A1"/>
    <hyperlink ref="H21" location="'Boiler '!A1" display="'Boiler '!A1"/>
    <hyperlink ref="P11:Q11" location="Funding!A1" display="Funding!A1"/>
    <hyperlink ref="P13:Q13" location="Funding!A1" display="Funding!A1"/>
    <hyperlink ref="H27" location="'Thermal Buffer'!A1" display="'Thermal Buffer'!A1"/>
    <hyperlink ref="K27:L27" location="'Storage options'!A1" display="'Storage options'!A1"/>
    <hyperlink ref="P27:Q27" location="Results!A1" display="Results!A1"/>
    <hyperlink ref="P16:Q16" location="'WoodChip CO2 calculator'!A1" display="'WoodChip CO2 calculator'!A1"/>
    <hyperlink ref="P17:Q17" location="'WoodChip CO2 calculator'!A1" display="'WoodChip CO2 calculator'!A1"/>
  </hyperlinks>
  <pageMargins left="0.511811024" right="0.511811024" top="0.78740157499999996" bottom="0.78740157499999996" header="0.31496062000000002" footer="0.31496062000000002"/>
  <pageSetup paperSize="9" orientation="portrait" r:id="rId1"/>
  <picture r:id="rId2"/>
</worksheet>
</file>

<file path=xl/worksheets/sheet3.xml><?xml version="1.0" encoding="utf-8"?>
<worksheet xmlns="http://schemas.openxmlformats.org/spreadsheetml/2006/main" xmlns:r="http://schemas.openxmlformats.org/officeDocument/2006/relationships">
  <sheetPr codeName="Plan11"/>
  <dimension ref="A1:BM161"/>
  <sheetViews>
    <sheetView showGridLines="0" zoomScale="85" zoomScaleNormal="85" workbookViewId="0">
      <selection activeCell="G5" sqref="G5:G6"/>
    </sheetView>
  </sheetViews>
  <sheetFormatPr defaultRowHeight="14.25"/>
  <cols>
    <col min="1" max="1" width="1.5703125" style="236" customWidth="1"/>
    <col min="2" max="2" width="1.28515625" style="236" customWidth="1"/>
    <col min="3" max="3" width="33.28515625" style="236" customWidth="1"/>
    <col min="4" max="4" width="10.42578125" style="236" customWidth="1"/>
    <col min="5" max="5" width="23.140625" style="236" customWidth="1"/>
    <col min="6" max="6" width="20.85546875" style="236" customWidth="1"/>
    <col min="7" max="7" width="27" style="236" customWidth="1"/>
    <col min="8" max="8" width="0.85546875" style="236" customWidth="1"/>
    <col min="9" max="9" width="3.140625" style="236" customWidth="1"/>
    <col min="10" max="10" width="1.85546875" style="236" customWidth="1"/>
    <col min="11" max="11" width="16.85546875" style="236" customWidth="1"/>
    <col min="12" max="12" width="12.42578125" style="236" customWidth="1"/>
    <col min="13" max="13" width="16.7109375" style="236" customWidth="1"/>
    <col min="14" max="14" width="23.42578125" style="236" customWidth="1"/>
    <col min="15" max="15" width="23.5703125" style="236" customWidth="1"/>
    <col min="16" max="16" width="19.7109375" style="236" customWidth="1"/>
    <col min="17" max="17" width="20" style="236" customWidth="1"/>
    <col min="18" max="18" width="21.5703125" style="236" customWidth="1"/>
    <col min="19" max="19" width="2.140625" style="236" customWidth="1"/>
    <col min="20" max="21" width="18.5703125" style="236" customWidth="1"/>
    <col min="22" max="22" width="7.140625" style="236" customWidth="1"/>
    <col min="23" max="23" width="13.5703125" style="236" customWidth="1"/>
    <col min="24" max="24" width="15.42578125" style="236" customWidth="1"/>
    <col min="25" max="25" width="14.42578125" style="236" customWidth="1"/>
    <col min="26" max="26" width="18.28515625" style="236" customWidth="1"/>
    <col min="27" max="27" width="14.85546875" style="236" customWidth="1"/>
    <col min="28" max="28" width="9" style="236" customWidth="1"/>
    <col min="29" max="29" width="16.28515625" style="236" customWidth="1"/>
    <col min="30" max="30" width="15.85546875" style="236" customWidth="1"/>
    <col min="31" max="31" width="18" style="236" customWidth="1"/>
    <col min="32" max="32" width="17.5703125" style="236" customWidth="1"/>
    <col min="33" max="33" width="15.28515625" style="236" customWidth="1"/>
    <col min="34" max="34" width="15.85546875" style="236" customWidth="1"/>
    <col min="35" max="35" width="13.28515625" style="236" customWidth="1"/>
    <col min="36" max="36" width="14.5703125" style="236" customWidth="1"/>
    <col min="37" max="37" width="12.7109375" style="236" customWidth="1"/>
    <col min="38" max="38" width="17.140625" style="236" customWidth="1"/>
    <col min="39" max="39" width="16.85546875" style="236" customWidth="1"/>
    <col min="40" max="40" width="9.140625" style="236"/>
    <col min="41" max="65" width="9.140625" style="231"/>
    <col min="66" max="16384" width="9.140625" style="236"/>
  </cols>
  <sheetData>
    <row r="1" spans="1:40" s="231" customFormat="1" ht="15" thickBot="1"/>
    <row r="2" spans="1:40">
      <c r="A2" s="231"/>
      <c r="B2" s="609"/>
      <c r="C2" s="610"/>
      <c r="D2" s="610"/>
      <c r="E2" s="610"/>
      <c r="F2" s="633"/>
      <c r="G2" s="610"/>
      <c r="H2" s="610"/>
      <c r="I2" s="610"/>
      <c r="J2" s="610"/>
      <c r="K2" s="610"/>
      <c r="L2" s="610"/>
      <c r="M2" s="610"/>
      <c r="N2" s="610"/>
      <c r="O2" s="610"/>
      <c r="P2" s="610"/>
      <c r="Q2" s="610"/>
      <c r="R2" s="610"/>
      <c r="S2" s="611"/>
      <c r="T2" s="231"/>
      <c r="U2" s="231"/>
      <c r="V2" s="634" t="s">
        <v>414</v>
      </c>
      <c r="W2" s="610"/>
      <c r="X2" s="610"/>
      <c r="Y2" s="610"/>
      <c r="Z2" s="610"/>
      <c r="AA2" s="610"/>
      <c r="AB2" s="610"/>
      <c r="AC2" s="610"/>
      <c r="AD2" s="610"/>
      <c r="AE2" s="610"/>
      <c r="AF2" s="610"/>
      <c r="AG2" s="610"/>
      <c r="AH2" s="610"/>
      <c r="AI2" s="610"/>
      <c r="AJ2" s="610"/>
      <c r="AK2" s="610"/>
      <c r="AL2" s="610"/>
      <c r="AM2" s="610"/>
      <c r="AN2" s="611"/>
    </row>
    <row r="3" spans="1:40" ht="15" thickBot="1">
      <c r="A3" s="231"/>
      <c r="B3" s="612"/>
      <c r="C3" s="613"/>
      <c r="D3" s="1011" t="s">
        <v>569</v>
      </c>
      <c r="E3" s="1011"/>
      <c r="F3" s="1011"/>
      <c r="G3" s="1011"/>
      <c r="H3" s="613"/>
      <c r="I3" s="613"/>
      <c r="J3" s="613"/>
      <c r="K3" s="613"/>
      <c r="L3" s="613"/>
      <c r="M3" s="613"/>
      <c r="N3" s="613"/>
      <c r="O3" s="613"/>
      <c r="P3" s="613"/>
      <c r="Q3" s="613"/>
      <c r="R3" s="613"/>
      <c r="S3" s="614"/>
      <c r="T3" s="231"/>
      <c r="U3" s="231"/>
      <c r="V3" s="237"/>
      <c r="W3" s="613"/>
      <c r="X3" s="613"/>
      <c r="Y3" s="613"/>
      <c r="Z3" s="613"/>
      <c r="AA3" s="613"/>
      <c r="AB3" s="613"/>
      <c r="AC3" s="613"/>
      <c r="AD3" s="613"/>
      <c r="AE3" s="613"/>
      <c r="AF3" s="613"/>
      <c r="AG3" s="613"/>
      <c r="AH3" s="613"/>
      <c r="AI3" s="613"/>
      <c r="AJ3" s="613"/>
      <c r="AK3" s="613"/>
      <c r="AL3" s="613"/>
      <c r="AM3" s="613"/>
      <c r="AN3" s="614"/>
    </row>
    <row r="4" spans="1:40" ht="15.75" thickBot="1">
      <c r="A4" s="231"/>
      <c r="B4" s="612"/>
      <c r="C4" s="613"/>
      <c r="D4" s="1011"/>
      <c r="E4" s="1011"/>
      <c r="F4" s="1011"/>
      <c r="G4" s="1011"/>
      <c r="H4" s="613"/>
      <c r="I4" s="613"/>
      <c r="J4" s="613"/>
      <c r="K4" s="613"/>
      <c r="L4" s="613"/>
      <c r="M4" s="613"/>
      <c r="N4" s="613"/>
      <c r="O4" s="613"/>
      <c r="P4" s="613"/>
      <c r="Q4" s="613"/>
      <c r="R4" s="613"/>
      <c r="S4" s="614"/>
      <c r="T4" s="231"/>
      <c r="U4" s="231"/>
      <c r="V4" s="237"/>
      <c r="W4" s="635" t="s">
        <v>285</v>
      </c>
      <c r="X4" s="636"/>
      <c r="Y4" s="636"/>
      <c r="Z4" s="637"/>
      <c r="AA4" s="613"/>
      <c r="AB4" s="635" t="s">
        <v>359</v>
      </c>
      <c r="AC4" s="636"/>
      <c r="AD4" s="636"/>
      <c r="AE4" s="637"/>
      <c r="AF4" s="613"/>
      <c r="AG4" s="635" t="s">
        <v>401</v>
      </c>
      <c r="AH4" s="636"/>
      <c r="AI4" s="636"/>
      <c r="AJ4" s="637"/>
      <c r="AK4" s="613"/>
      <c r="AL4" s="613"/>
      <c r="AM4" s="613"/>
      <c r="AN4" s="614"/>
    </row>
    <row r="5" spans="1:40" ht="15" thickBot="1">
      <c r="A5" s="231"/>
      <c r="B5" s="612"/>
      <c r="C5" s="613"/>
      <c r="D5" s="613"/>
      <c r="E5" s="613"/>
      <c r="F5" s="613"/>
      <c r="G5" s="1013" t="s">
        <v>453</v>
      </c>
      <c r="H5" s="613"/>
      <c r="I5" s="613"/>
      <c r="J5" s="613"/>
      <c r="K5" s="613"/>
      <c r="L5" s="613"/>
      <c r="M5" s="613"/>
      <c r="N5" s="613"/>
      <c r="O5" s="613"/>
      <c r="P5" s="613"/>
      <c r="Q5" s="613"/>
      <c r="R5" s="613"/>
      <c r="S5" s="614"/>
      <c r="T5" s="231"/>
      <c r="U5" s="231"/>
      <c r="V5" s="237"/>
      <c r="W5" s="638"/>
      <c r="X5" s="639" t="s">
        <v>129</v>
      </c>
      <c r="Y5" s="640" t="s">
        <v>127</v>
      </c>
      <c r="Z5" s="641" t="s">
        <v>128</v>
      </c>
      <c r="AA5" s="642"/>
      <c r="AB5" s="638"/>
      <c r="AC5" s="643" t="s">
        <v>129</v>
      </c>
      <c r="AD5" s="643" t="s">
        <v>127</v>
      </c>
      <c r="AE5" s="644" t="s">
        <v>128</v>
      </c>
      <c r="AF5" s="613"/>
      <c r="AG5" s="638"/>
      <c r="AH5" s="639" t="s">
        <v>129</v>
      </c>
      <c r="AI5" s="640" t="s">
        <v>127</v>
      </c>
      <c r="AJ5" s="641" t="s">
        <v>128</v>
      </c>
      <c r="AK5" s="613"/>
      <c r="AL5" s="613"/>
      <c r="AM5" s="613"/>
      <c r="AN5" s="614"/>
    </row>
    <row r="6" spans="1:40" ht="18.75" customHeight="1" thickBot="1">
      <c r="A6" s="231"/>
      <c r="B6" s="612"/>
      <c r="C6" s="613"/>
      <c r="D6" s="613"/>
      <c r="E6" s="613"/>
      <c r="F6" s="613"/>
      <c r="G6" s="1014"/>
      <c r="H6" s="613"/>
      <c r="I6" s="613"/>
      <c r="J6" s="613"/>
      <c r="K6" s="613"/>
      <c r="L6" s="238"/>
      <c r="M6" s="768"/>
      <c r="N6" s="645" t="s">
        <v>418</v>
      </c>
      <c r="O6" s="238"/>
      <c r="P6" s="613"/>
      <c r="Q6" s="613"/>
      <c r="R6" s="613"/>
      <c r="S6" s="614"/>
      <c r="T6" s="231"/>
      <c r="U6" s="231"/>
      <c r="V6" s="237"/>
      <c r="W6" s="646" t="s">
        <v>124</v>
      </c>
      <c r="X6" s="647">
        <f>(((L$8-'Temperature Data Scotland'!D28)*(G$17+G$26+G$34+G$39+G$47)+G$44*(L$8-L$9))/1000)</f>
        <v>3.9171729374999999E-2</v>
      </c>
      <c r="Y6" s="648">
        <v>3.9709071375000002E-2</v>
      </c>
      <c r="Z6" s="649">
        <f>(((L$8-'Temperature Data Scotland'!F28)*(G$17+G$26+G$34+G$39+G$47)+G$44*(L$8-L$9))/1000)</f>
        <v>3.799629375E-2</v>
      </c>
      <c r="AA6" s="613"/>
      <c r="AB6" s="646" t="s">
        <v>124</v>
      </c>
      <c r="AC6" s="650">
        <f t="shared" ref="AC6:AC17" si="0">X6*$G$10</f>
        <v>31.337383499999998</v>
      </c>
      <c r="AD6" s="651">
        <f t="shared" ref="AD6:AD17" si="1">Y6*$G$10</f>
        <v>31.767257100000002</v>
      </c>
      <c r="AE6" s="652">
        <f t="shared" ref="AE6:AE17" si="2">Z6*$G$10</f>
        <v>30.397034999999999</v>
      </c>
      <c r="AF6" s="613"/>
      <c r="AG6" s="646" t="s">
        <v>124</v>
      </c>
      <c r="AH6" s="647">
        <f t="shared" ref="AH6:AI17" si="3">AC6+($F$54*$G$10)/1000</f>
        <v>32.137383499999999</v>
      </c>
      <c r="AI6" s="648">
        <f t="shared" si="3"/>
        <v>32.567257099999999</v>
      </c>
      <c r="AJ6" s="649">
        <f t="shared" ref="AJ6:AJ17" si="4">AE6+($F$54*$G$10)/1000</f>
        <v>31.197035</v>
      </c>
      <c r="AK6" s="613"/>
      <c r="AL6" s="613"/>
      <c r="AM6" s="613"/>
      <c r="AN6" s="614"/>
    </row>
    <row r="7" spans="1:40" ht="15" thickBot="1">
      <c r="A7" s="231"/>
      <c r="B7" s="612"/>
      <c r="C7" s="653" t="s">
        <v>3</v>
      </c>
      <c r="D7" s="654"/>
      <c r="E7" s="655" t="s">
        <v>4</v>
      </c>
      <c r="F7" s="655" t="s">
        <v>5</v>
      </c>
      <c r="G7" s="656" t="s">
        <v>275</v>
      </c>
      <c r="H7" s="613"/>
      <c r="I7" s="613"/>
      <c r="J7" s="613"/>
      <c r="K7" s="657" t="s">
        <v>6</v>
      </c>
      <c r="L7" s="658" t="s">
        <v>465</v>
      </c>
      <c r="M7" s="613"/>
      <c r="N7" s="659" t="s">
        <v>276</v>
      </c>
      <c r="O7" s="659" t="s">
        <v>277</v>
      </c>
      <c r="P7" s="613"/>
      <c r="Q7" s="660" t="s">
        <v>278</v>
      </c>
      <c r="R7" s="613"/>
      <c r="S7" s="614"/>
      <c r="T7" s="231"/>
      <c r="U7" s="231"/>
      <c r="V7" s="237"/>
      <c r="W7" s="661" t="s">
        <v>123</v>
      </c>
      <c r="X7" s="647">
        <f>(((L$8-'Temperature Data Scotland'!D29)*(G$17+G$26+G$34+G$39+G$47)+G$44*(L$8-L$9))/1000)</f>
        <v>3.9423608437500007E-2</v>
      </c>
      <c r="Y7" s="648">
        <v>3.9574735875000003E-2</v>
      </c>
      <c r="Z7" s="649">
        <f>(((L$8-'Temperature Data Scotland'!F29)*(G$17+G$26+G$34+G$39+G$47)+G$44*(L$8-L$9))/1000)</f>
        <v>3.7828374375000001E-2</v>
      </c>
      <c r="AA7" s="613"/>
      <c r="AB7" s="661" t="s">
        <v>123</v>
      </c>
      <c r="AC7" s="647">
        <f t="shared" si="0"/>
        <v>31.538886750000007</v>
      </c>
      <c r="AD7" s="648">
        <f t="shared" si="1"/>
        <v>31.659788700000004</v>
      </c>
      <c r="AE7" s="649">
        <f t="shared" si="2"/>
        <v>30.2626995</v>
      </c>
      <c r="AF7" s="613"/>
      <c r="AG7" s="661" t="s">
        <v>123</v>
      </c>
      <c r="AH7" s="647">
        <f t="shared" si="3"/>
        <v>32.338886750000007</v>
      </c>
      <c r="AI7" s="648">
        <f t="shared" si="3"/>
        <v>32.459788700000004</v>
      </c>
      <c r="AJ7" s="649">
        <f t="shared" si="4"/>
        <v>31.062699500000001</v>
      </c>
      <c r="AK7" s="613"/>
      <c r="AL7" s="613"/>
      <c r="AM7" s="613"/>
      <c r="AN7" s="614"/>
    </row>
    <row r="8" spans="1:40" ht="15.75" thickBot="1">
      <c r="A8" s="231"/>
      <c r="B8" s="612"/>
      <c r="C8" s="662" t="s">
        <v>7</v>
      </c>
      <c r="D8" s="663">
        <v>40</v>
      </c>
      <c r="E8" s="591">
        <f>2*((D8*D10)+(D9*D10))+E16</f>
        <v>360</v>
      </c>
      <c r="F8" s="592">
        <f>D8*D9*D10</f>
        <v>2400</v>
      </c>
      <c r="G8" s="664">
        <v>1</v>
      </c>
      <c r="H8" s="613"/>
      <c r="I8" s="613"/>
      <c r="J8" s="613"/>
      <c r="K8" s="665" t="s">
        <v>8</v>
      </c>
      <c r="L8" s="666">
        <v>21</v>
      </c>
      <c r="M8" s="613"/>
      <c r="N8" s="667">
        <f>(((L$8-L10)*(G$17+G$26+G$34+G$39+G$47)+G$44*(L$8-L$9))/1000)+F54/1000</f>
        <v>5.4109037500000005E-2</v>
      </c>
      <c r="O8" s="668">
        <f>IF(L27="User input",'User Input'!D94/0.7,N8*G10)</f>
        <v>43.287230000000001</v>
      </c>
      <c r="P8" s="613"/>
      <c r="Q8" s="673">
        <v>0.75</v>
      </c>
      <c r="R8" s="613"/>
      <c r="S8" s="614"/>
      <c r="T8" s="231"/>
      <c r="U8" s="231"/>
      <c r="V8" s="237"/>
      <c r="W8" s="646" t="s">
        <v>122</v>
      </c>
      <c r="X8" s="647">
        <f>(((L$8-'Temperature Data Scotland'!D30)*(G$17+G$26+G$34+G$39+G$47)+G$44*(L$8-L$9))/1000)</f>
        <v>3.7425367874999997E-2</v>
      </c>
      <c r="Y8" s="648">
        <v>3.7358200125000005E-2</v>
      </c>
      <c r="Z8" s="649">
        <f>(((L$8-'Temperature Data Scotland'!F30)*(G$17+G$26+G$34+G$39+G$47)+G$44*(L$8-L$9))/1000)</f>
        <v>3.5947677375000001E-2</v>
      </c>
      <c r="AA8" s="613"/>
      <c r="AB8" s="646" t="s">
        <v>122</v>
      </c>
      <c r="AC8" s="647">
        <f t="shared" si="0"/>
        <v>29.940294299999998</v>
      </c>
      <c r="AD8" s="648">
        <f t="shared" si="1"/>
        <v>29.886560100000004</v>
      </c>
      <c r="AE8" s="649">
        <f t="shared" si="2"/>
        <v>28.758141900000002</v>
      </c>
      <c r="AF8" s="613"/>
      <c r="AG8" s="646" t="s">
        <v>122</v>
      </c>
      <c r="AH8" s="647">
        <f t="shared" si="3"/>
        <v>30.740294299999999</v>
      </c>
      <c r="AI8" s="648">
        <f t="shared" si="3"/>
        <v>30.686560100000005</v>
      </c>
      <c r="AJ8" s="649">
        <f t="shared" si="4"/>
        <v>29.558141900000003</v>
      </c>
      <c r="AK8" s="613"/>
      <c r="AL8" s="613"/>
      <c r="AM8" s="613"/>
      <c r="AN8" s="614"/>
    </row>
    <row r="9" spans="1:40" ht="15" thickBot="1">
      <c r="A9" s="231"/>
      <c r="B9" s="612"/>
      <c r="C9" s="593" t="s">
        <v>9</v>
      </c>
      <c r="D9" s="669">
        <v>20</v>
      </c>
      <c r="E9" s="594"/>
      <c r="F9" s="595"/>
      <c r="G9" s="660" t="s">
        <v>405</v>
      </c>
      <c r="H9" s="613"/>
      <c r="I9" s="613"/>
      <c r="J9" s="613"/>
      <c r="K9" s="315" t="s">
        <v>11</v>
      </c>
      <c r="L9" s="670">
        <v>0</v>
      </c>
      <c r="M9" s="613"/>
      <c r="N9" s="613"/>
      <c r="O9" s="238"/>
      <c r="P9" s="613"/>
      <c r="Q9" s="613"/>
      <c r="R9" s="613"/>
      <c r="S9" s="614"/>
      <c r="T9" s="231"/>
      <c r="U9" s="231"/>
      <c r="V9" s="237"/>
      <c r="W9" s="661" t="s">
        <v>121</v>
      </c>
      <c r="X9" s="647">
        <f>(((L$8-'Temperature Data Scotland'!D31)*(G$17+G$26+G$34+G$39+G$47)+G$44*(L$8-L$9))/1000)</f>
        <v>3.4016604562499997E-2</v>
      </c>
      <c r="Y9" s="648">
        <v>3.3831893250000009E-2</v>
      </c>
      <c r="Z9" s="649">
        <f>(((L$8-'Temperature Data Scotland'!F31)*(G$17+G$26+G$34+G$39+G$47)+G$44*(L$8-L$9))/1000)</f>
        <v>3.2656457625000003E-2</v>
      </c>
      <c r="AA9" s="613"/>
      <c r="AB9" s="661" t="s">
        <v>121</v>
      </c>
      <c r="AC9" s="647">
        <f t="shared" si="0"/>
        <v>27.213283649999997</v>
      </c>
      <c r="AD9" s="648">
        <f t="shared" si="1"/>
        <v>27.065514600000007</v>
      </c>
      <c r="AE9" s="649">
        <f t="shared" si="2"/>
        <v>26.125166100000001</v>
      </c>
      <c r="AF9" s="613"/>
      <c r="AG9" s="661" t="s">
        <v>121</v>
      </c>
      <c r="AH9" s="647">
        <f t="shared" si="3"/>
        <v>28.013283649999998</v>
      </c>
      <c r="AI9" s="648">
        <f t="shared" si="3"/>
        <v>27.865514600000008</v>
      </c>
      <c r="AJ9" s="649">
        <f t="shared" si="4"/>
        <v>26.925166100000002</v>
      </c>
      <c r="AK9" s="613"/>
      <c r="AL9" s="613"/>
      <c r="AM9" s="613"/>
      <c r="AN9" s="614"/>
    </row>
    <row r="10" spans="1:40" ht="15.75" thickBot="1">
      <c r="A10" s="231"/>
      <c r="B10" s="612"/>
      <c r="C10" s="593" t="s">
        <v>10</v>
      </c>
      <c r="D10" s="671">
        <v>3</v>
      </c>
      <c r="E10" s="594"/>
      <c r="F10" s="595"/>
      <c r="G10" s="588">
        <f>D8*D9*G8</f>
        <v>800</v>
      </c>
      <c r="H10" s="613"/>
      <c r="I10" s="613"/>
      <c r="J10" s="613"/>
      <c r="K10" s="672" t="s">
        <v>415</v>
      </c>
      <c r="L10" s="673">
        <v>-5</v>
      </c>
      <c r="M10" s="613"/>
      <c r="N10" s="1015" t="s">
        <v>461</v>
      </c>
      <c r="O10" s="1016"/>
      <c r="P10" s="613"/>
      <c r="Q10" s="613"/>
      <c r="R10" s="613"/>
      <c r="S10" s="614"/>
      <c r="T10" s="231"/>
      <c r="U10" s="231"/>
      <c r="V10" s="237"/>
      <c r="W10" s="646" t="s">
        <v>105</v>
      </c>
      <c r="X10" s="647">
        <f>(((L$8-'Temperature Data Scotland'!D32)*(G$17+G$26+G$34+G$39+G$47)+G$44*(L$8-L$9))/1000)</f>
        <v>2.9902579875000002E-2</v>
      </c>
      <c r="Y10" s="648">
        <v>2.9096566875E-2</v>
      </c>
      <c r="Z10" s="649">
        <f>(((L$8-'Temperature Data Scotland'!F32)*(G$17+G$26+G$34+G$39+G$47)+G$44*(L$8-L$9))/1000)</f>
        <v>2.7870755437500002E-2</v>
      </c>
      <c r="AA10" s="613"/>
      <c r="AB10" s="646" t="s">
        <v>105</v>
      </c>
      <c r="AC10" s="647">
        <f t="shared" si="0"/>
        <v>23.922063900000001</v>
      </c>
      <c r="AD10" s="648">
        <f t="shared" si="1"/>
        <v>23.2772535</v>
      </c>
      <c r="AE10" s="649">
        <f t="shared" si="2"/>
        <v>22.296604350000003</v>
      </c>
      <c r="AF10" s="613"/>
      <c r="AG10" s="646" t="s">
        <v>105</v>
      </c>
      <c r="AH10" s="647">
        <f t="shared" si="3"/>
        <v>24.722063900000002</v>
      </c>
      <c r="AI10" s="648">
        <f t="shared" si="3"/>
        <v>24.077253500000001</v>
      </c>
      <c r="AJ10" s="649">
        <f t="shared" si="4"/>
        <v>23.096604350000003</v>
      </c>
      <c r="AK10" s="613"/>
      <c r="AL10" s="613"/>
      <c r="AM10" s="613"/>
      <c r="AN10" s="614"/>
    </row>
    <row r="11" spans="1:40" ht="15" thickBot="1">
      <c r="A11" s="231"/>
      <c r="B11" s="612"/>
      <c r="C11" s="267" t="s">
        <v>130</v>
      </c>
      <c r="D11" s="674">
        <v>1</v>
      </c>
      <c r="E11" s="268"/>
      <c r="F11" s="269"/>
      <c r="G11" s="269"/>
      <c r="H11" s="613"/>
      <c r="I11" s="613"/>
      <c r="J11" s="613"/>
      <c r="K11" s="613"/>
      <c r="L11" s="613"/>
      <c r="M11" s="613"/>
      <c r="N11" s="613"/>
      <c r="O11" s="613"/>
      <c r="P11" s="613"/>
      <c r="Q11" s="613"/>
      <c r="R11" s="613"/>
      <c r="S11" s="614"/>
      <c r="T11" s="231"/>
      <c r="U11" s="231"/>
      <c r="V11" s="237"/>
      <c r="W11" s="661" t="s">
        <v>120</v>
      </c>
      <c r="X11" s="647">
        <f>(((L$8-'Temperature Data Scotland'!D33)*(G$17+G$26+G$34+G$39+G$47)+G$44*(L$8-L$9))/1000)</f>
        <v>2.6040434250000005E-2</v>
      </c>
      <c r="Y11" s="648">
        <v>2.4915374437499999E-2</v>
      </c>
      <c r="Z11" s="649">
        <f>(((L$8-'Temperature Data Scotland'!F33)*(G$17+G$26+G$34+G$39+G$47)+G$44*(L$8-L$9))/1000)</f>
        <v>2.4109361437500001E-2</v>
      </c>
      <c r="AA11" s="613"/>
      <c r="AB11" s="661" t="s">
        <v>120</v>
      </c>
      <c r="AC11" s="647">
        <f t="shared" si="0"/>
        <v>20.832347400000003</v>
      </c>
      <c r="AD11" s="648">
        <f t="shared" si="1"/>
        <v>19.93229955</v>
      </c>
      <c r="AE11" s="649">
        <f t="shared" si="2"/>
        <v>19.287489149999999</v>
      </c>
      <c r="AF11" s="613"/>
      <c r="AG11" s="661" t="s">
        <v>120</v>
      </c>
      <c r="AH11" s="647">
        <f t="shared" si="3"/>
        <v>21.632347400000004</v>
      </c>
      <c r="AI11" s="648">
        <f t="shared" si="3"/>
        <v>20.73229955</v>
      </c>
      <c r="AJ11" s="649">
        <f t="shared" si="4"/>
        <v>20.08748915</v>
      </c>
      <c r="AK11" s="613"/>
      <c r="AL11" s="613"/>
      <c r="AM11" s="613"/>
      <c r="AN11" s="614"/>
    </row>
    <row r="12" spans="1:40" ht="15" thickBot="1">
      <c r="A12" s="231"/>
      <c r="B12" s="612"/>
      <c r="C12" s="675"/>
      <c r="D12" s="676"/>
      <c r="E12" s="675"/>
      <c r="F12" s="675"/>
      <c r="G12" s="675"/>
      <c r="H12" s="675"/>
      <c r="I12" s="613"/>
      <c r="J12" s="613"/>
      <c r="K12" s="659" t="s">
        <v>165</v>
      </c>
      <c r="L12" s="660" t="s">
        <v>166</v>
      </c>
      <c r="M12" s="659" t="s">
        <v>279</v>
      </c>
      <c r="N12" s="767" t="s">
        <v>167</v>
      </c>
      <c r="O12" s="660" t="s">
        <v>279</v>
      </c>
      <c r="P12" s="659" t="s">
        <v>280</v>
      </c>
      <c r="Q12" s="659" t="s">
        <v>279</v>
      </c>
      <c r="R12" s="659" t="s">
        <v>281</v>
      </c>
      <c r="S12" s="614"/>
      <c r="T12" s="231"/>
      <c r="U12" s="231"/>
      <c r="V12" s="237"/>
      <c r="W12" s="646" t="s">
        <v>119</v>
      </c>
      <c r="X12" s="647">
        <f>(((L$8-'Temperature Data Scotland'!D34)*(G$17+G$26+G$34+G$39+G$47)+G$44*(L$8-L$9))/1000)</f>
        <v>2.31690129375E-2</v>
      </c>
      <c r="Y12" s="648">
        <v>2.1926409562500006E-2</v>
      </c>
      <c r="Z12" s="649">
        <f>(((L$8-'Temperature Data Scotland'!F34)*(G$17+G$26+G$34+G$39+G$47)+G$44*(L$8-L$9))/1000)</f>
        <v>2.1372275624999999E-2</v>
      </c>
      <c r="AA12" s="613"/>
      <c r="AB12" s="646" t="s">
        <v>119</v>
      </c>
      <c r="AC12" s="647">
        <f t="shared" si="0"/>
        <v>18.53521035</v>
      </c>
      <c r="AD12" s="648">
        <f t="shared" si="1"/>
        <v>17.541127650000004</v>
      </c>
      <c r="AE12" s="649">
        <f t="shared" si="2"/>
        <v>17.097820500000001</v>
      </c>
      <c r="AF12" s="613"/>
      <c r="AG12" s="646" t="s">
        <v>119</v>
      </c>
      <c r="AH12" s="647">
        <f t="shared" si="3"/>
        <v>19.335210350000001</v>
      </c>
      <c r="AI12" s="648">
        <f t="shared" si="3"/>
        <v>18.341127650000004</v>
      </c>
      <c r="AJ12" s="649">
        <f t="shared" si="4"/>
        <v>17.897820500000002</v>
      </c>
      <c r="AK12" s="613"/>
      <c r="AL12" s="613"/>
      <c r="AM12" s="613"/>
      <c r="AN12" s="614"/>
    </row>
    <row r="13" spans="1:40" ht="15" thickBot="1">
      <c r="A13" s="231"/>
      <c r="B13" s="612"/>
      <c r="C13" s="677" t="s">
        <v>12</v>
      </c>
      <c r="D13" s="613"/>
      <c r="E13" s="613"/>
      <c r="F13" s="613"/>
      <c r="G13" s="613"/>
      <c r="H13" s="613"/>
      <c r="I13" s="613"/>
      <c r="J13" s="613"/>
      <c r="K13" s="593" t="s">
        <v>34</v>
      </c>
      <c r="L13" s="678">
        <v>4</v>
      </c>
      <c r="M13" s="679">
        <f>IF(L13=4,'Degree days C.F and HWS'!H28,IF(L13=8,'Degree days C.F and HWS'!H29,IF(L13=12,'Degree days C.F and HWS'!H30,IF(L13=16,'Degree days C.F and HWS'!H31))))</f>
        <v>0.8</v>
      </c>
      <c r="N13" s="680">
        <v>7</v>
      </c>
      <c r="O13" s="589">
        <f>IF(N13=5,'Degree days C.F and HWS'!E28,IF(N13=7,'Degree days C.F and HWS'!E29))</f>
        <v>1</v>
      </c>
      <c r="P13" s="666" t="s">
        <v>282</v>
      </c>
      <c r="Q13" s="621">
        <f>IF('Heat Demand Model'!P13="Continuous",'Degree days C.F and HWS'!K28,IF('Heat Demand Model'!P13="Intermittent-responsive plant",'Degree days C.F and HWS'!K29,IF('Heat Demand Model'!P13="Intermittent-plant with long time lag",'Degree days C.F and HWS'!K30)))</f>
        <v>0.7</v>
      </c>
      <c r="R13" s="679">
        <f>M13*O13*Q13</f>
        <v>0.55999999999999994</v>
      </c>
      <c r="S13" s="614"/>
      <c r="T13" s="231"/>
      <c r="U13" s="231"/>
      <c r="V13" s="237"/>
      <c r="W13" s="661" t="s">
        <v>118</v>
      </c>
      <c r="X13" s="647">
        <f>(((L$8-'Temperature Data Scotland'!D35)*(G$17+G$26+G$34+G$39+G$47)+G$44*(L$8-L$9))/1000)</f>
        <v>2.3202596812499997E-2</v>
      </c>
      <c r="Y13" s="648">
        <v>2.2094328937500001E-2</v>
      </c>
      <c r="Z13" s="649">
        <f>(((L$8-'Temperature Data Scotland'!F35)*(G$17+G$26+G$34+G$39+G$47)+G$44*(L$8-L$9))/1000)</f>
        <v>2.1372275624999999E-2</v>
      </c>
      <c r="AA13" s="613"/>
      <c r="AB13" s="661" t="s">
        <v>118</v>
      </c>
      <c r="AC13" s="647">
        <f t="shared" si="0"/>
        <v>18.562077449999997</v>
      </c>
      <c r="AD13" s="648">
        <f t="shared" si="1"/>
        <v>17.675463150000002</v>
      </c>
      <c r="AE13" s="649">
        <f t="shared" si="2"/>
        <v>17.097820500000001</v>
      </c>
      <c r="AF13" s="613"/>
      <c r="AG13" s="661" t="s">
        <v>118</v>
      </c>
      <c r="AH13" s="647">
        <f t="shared" si="3"/>
        <v>19.362077449999997</v>
      </c>
      <c r="AI13" s="648">
        <f t="shared" si="3"/>
        <v>18.475463150000003</v>
      </c>
      <c r="AJ13" s="649">
        <f t="shared" si="4"/>
        <v>17.897820500000002</v>
      </c>
      <c r="AK13" s="613"/>
      <c r="AL13" s="613"/>
      <c r="AM13" s="613"/>
      <c r="AN13" s="614"/>
    </row>
    <row r="14" spans="1:40" ht="15.75" thickBot="1">
      <c r="A14" s="231"/>
      <c r="B14" s="609"/>
      <c r="C14" s="681"/>
      <c r="D14" s="682"/>
      <c r="E14" s="683" t="s">
        <v>13</v>
      </c>
      <c r="F14" s="683" t="s">
        <v>14</v>
      </c>
      <c r="G14" s="683" t="s">
        <v>402</v>
      </c>
      <c r="H14" s="684"/>
      <c r="I14" s="238"/>
      <c r="J14" s="238"/>
      <c r="K14" s="593" t="s">
        <v>33</v>
      </c>
      <c r="L14" s="685">
        <v>12</v>
      </c>
      <c r="M14" s="621">
        <f>IF(L14=4,'Degree days C.F and HWS'!H28,IF(L14=8,'Degree days C.F and HWS'!H29,IF(L14=12,'Degree days C.F and HWS'!H30,IF(L14=16,'Degree days C.F and HWS'!H31))))</f>
        <v>1.1200000000000001</v>
      </c>
      <c r="N14" s="686">
        <v>7</v>
      </c>
      <c r="O14" s="589">
        <f>IF(N14=5,'Degree days C.F and HWS'!E28,IF(N14=7,'Degree days C.F and HWS'!E29))</f>
        <v>1</v>
      </c>
      <c r="P14" s="685" t="s">
        <v>282</v>
      </c>
      <c r="Q14" s="621">
        <f>IF('Heat Demand Model'!P14="Continuous",'Degree days C.F and HWS'!K28,IF('Heat Demand Model'!P14="Intermittent-responsive plant",'Degree days C.F and HWS'!K29,IF('Heat Demand Model'!P14="Intermittent-plant with long time lag",'Degree days C.F and HWS'!K30)))</f>
        <v>0.7</v>
      </c>
      <c r="R14" s="621">
        <f>M14*O14*Q14</f>
        <v>0.78400000000000003</v>
      </c>
      <c r="S14" s="614"/>
      <c r="T14" s="231"/>
      <c r="U14" s="231"/>
      <c r="V14" s="237"/>
      <c r="W14" s="646" t="s">
        <v>117</v>
      </c>
      <c r="X14" s="647">
        <f>(((L$8-'Temperature Data Scotland'!D36)*(G$17+G$26+G$34+G$39+G$47)+G$44*(L$8-L$9))/1000)</f>
        <v>2.5654219687500004E-2</v>
      </c>
      <c r="Y14" s="648">
        <v>2.4982542187500002E-2</v>
      </c>
      <c r="Z14" s="649">
        <f>(((L$8-'Temperature Data Scotland'!F36)*(G$17+G$26+G$34+G$39+G$47)+G$44*(L$8-L$9))/1000)</f>
        <v>2.4042193687500001E-2</v>
      </c>
      <c r="AA14" s="613"/>
      <c r="AB14" s="646" t="s">
        <v>117</v>
      </c>
      <c r="AC14" s="647">
        <f t="shared" si="0"/>
        <v>20.523375750000003</v>
      </c>
      <c r="AD14" s="648">
        <f t="shared" si="1"/>
        <v>19.986033750000001</v>
      </c>
      <c r="AE14" s="649">
        <f t="shared" si="2"/>
        <v>19.233754950000002</v>
      </c>
      <c r="AF14" s="613"/>
      <c r="AG14" s="646" t="s">
        <v>117</v>
      </c>
      <c r="AH14" s="647">
        <f t="shared" si="3"/>
        <v>21.323375750000004</v>
      </c>
      <c r="AI14" s="648">
        <f t="shared" si="3"/>
        <v>20.786033750000001</v>
      </c>
      <c r="AJ14" s="649">
        <f t="shared" si="4"/>
        <v>20.033754950000002</v>
      </c>
      <c r="AK14" s="613"/>
      <c r="AL14" s="613"/>
      <c r="AM14" s="613"/>
      <c r="AN14" s="614"/>
    </row>
    <row r="15" spans="1:40" ht="15" thickBot="1">
      <c r="A15" s="231"/>
      <c r="B15" s="612"/>
      <c r="C15" s="687" t="s">
        <v>15</v>
      </c>
      <c r="D15" s="688"/>
      <c r="E15" s="688"/>
      <c r="F15" s="688"/>
      <c r="G15" s="689"/>
      <c r="H15" s="690"/>
      <c r="I15" s="613"/>
      <c r="J15" s="613"/>
      <c r="K15" s="267" t="s">
        <v>404</v>
      </c>
      <c r="L15" s="691">
        <v>8</v>
      </c>
      <c r="M15" s="624">
        <f>IF(L15=4,'Degree days C.F and HWS'!H28,IF(L15=8,'Degree days C.F and HWS'!H29,IF(L15=12,'Degree days C.F and HWS'!H30,IF(L15=16,'Degree days C.F and HWS'!H31))))</f>
        <v>1</v>
      </c>
      <c r="N15" s="692">
        <v>7</v>
      </c>
      <c r="O15" s="624">
        <f>IF(N15=5,'Degree days C.F and HWS'!E28,IF(N15=7,'Degree days C.F and HWS'!E29))</f>
        <v>1</v>
      </c>
      <c r="P15" s="693" t="s">
        <v>282</v>
      </c>
      <c r="Q15" s="624">
        <f>IF('Heat Demand Model'!P15="Continuous",'Degree days C.F and HWS'!K28,IF('Heat Demand Model'!P15="Intermittent-responsive plant",'Degree days C.F and HWS'!K29,IF('Heat Demand Model'!P15="Intermittent-plant with long time lag",'Degree days C.F and HWS'!K30)))</f>
        <v>0.7</v>
      </c>
      <c r="R15" s="624">
        <f>M15*O15*Q15</f>
        <v>0.7</v>
      </c>
      <c r="S15" s="614"/>
      <c r="T15" s="231"/>
      <c r="U15" s="231"/>
      <c r="V15" s="237"/>
      <c r="W15" s="661" t="s">
        <v>116</v>
      </c>
      <c r="X15" s="647">
        <f>(((L$8-'Temperature Data Scotland'!D37)*(G$17+G$26+G$34+G$39+G$47)+G$44*(L$8-L$9))/1000)</f>
        <v>3.1010847750000004E-2</v>
      </c>
      <c r="Y15" s="648">
        <v>3.0859720312500002E-2</v>
      </c>
      <c r="Z15" s="649">
        <f>(((L$8-'Temperature Data Scotland'!F37)*(G$17+G$26+G$34+G$39+G$47)+G$44*(L$8-L$9))/1000)</f>
        <v>2.9533157250000008E-2</v>
      </c>
      <c r="AA15" s="613"/>
      <c r="AB15" s="661" t="s">
        <v>116</v>
      </c>
      <c r="AC15" s="647">
        <f t="shared" si="0"/>
        <v>24.808678200000003</v>
      </c>
      <c r="AD15" s="648">
        <f t="shared" si="1"/>
        <v>24.687776250000002</v>
      </c>
      <c r="AE15" s="649">
        <f t="shared" si="2"/>
        <v>23.626525800000007</v>
      </c>
      <c r="AF15" s="613"/>
      <c r="AG15" s="661" t="s">
        <v>116</v>
      </c>
      <c r="AH15" s="647">
        <f t="shared" si="3"/>
        <v>25.608678200000003</v>
      </c>
      <c r="AI15" s="648">
        <f t="shared" si="3"/>
        <v>25.487776250000003</v>
      </c>
      <c r="AJ15" s="649">
        <f t="shared" si="4"/>
        <v>24.426525800000007</v>
      </c>
      <c r="AK15" s="613"/>
      <c r="AL15" s="613"/>
      <c r="AM15" s="613"/>
      <c r="AN15" s="614"/>
    </row>
    <row r="16" spans="1:40" ht="15" thickBot="1">
      <c r="A16" s="231"/>
      <c r="B16" s="612"/>
      <c r="C16" s="593" t="s">
        <v>16</v>
      </c>
      <c r="D16" s="594"/>
      <c r="E16" s="671"/>
      <c r="F16" s="671"/>
      <c r="G16" s="694"/>
      <c r="H16" s="695"/>
      <c r="I16" s="613"/>
      <c r="J16" s="613"/>
      <c r="K16" s="613"/>
      <c r="L16" s="613"/>
      <c r="M16" s="238"/>
      <c r="N16" s="613"/>
      <c r="O16" s="613"/>
      <c r="P16" s="613"/>
      <c r="Q16" s="613"/>
      <c r="R16" s="613"/>
      <c r="S16" s="614"/>
      <c r="T16" s="231"/>
      <c r="U16" s="231"/>
      <c r="V16" s="237"/>
      <c r="W16" s="646" t="s">
        <v>115</v>
      </c>
      <c r="X16" s="647">
        <f>(((L$8-'Temperature Data Scotland'!D38)*(G$17+G$26+G$34+G$39+G$47)+G$44*(L$8-L$9))/1000)</f>
        <v>3.5662214437499999E-2</v>
      </c>
      <c r="Y16" s="648">
        <v>3.5998053187499997E-2</v>
      </c>
      <c r="Z16" s="649">
        <f>(((L$8-'Temperature Data Scotland'!F38)*(G$17+G$26+G$34+G$39+G$47)+G$44*(L$8-L$9))/1000)</f>
        <v>3.4234899750000006E-2</v>
      </c>
      <c r="AA16" s="613"/>
      <c r="AB16" s="646" t="s">
        <v>115</v>
      </c>
      <c r="AC16" s="647">
        <f t="shared" si="0"/>
        <v>28.52977155</v>
      </c>
      <c r="AD16" s="648">
        <f t="shared" si="1"/>
        <v>28.798442549999997</v>
      </c>
      <c r="AE16" s="649">
        <f t="shared" si="2"/>
        <v>27.387919800000006</v>
      </c>
      <c r="AF16" s="613"/>
      <c r="AG16" s="646" t="s">
        <v>115</v>
      </c>
      <c r="AH16" s="647">
        <f t="shared" si="3"/>
        <v>29.32977155</v>
      </c>
      <c r="AI16" s="648">
        <f t="shared" si="3"/>
        <v>29.598442549999998</v>
      </c>
      <c r="AJ16" s="649">
        <f t="shared" si="4"/>
        <v>28.187919800000007</v>
      </c>
      <c r="AK16" s="613"/>
      <c r="AL16" s="613"/>
      <c r="AM16" s="613"/>
      <c r="AN16" s="614"/>
    </row>
    <row r="17" spans="1:40" ht="15" thickBot="1">
      <c r="A17" s="231"/>
      <c r="B17" s="612"/>
      <c r="C17" s="623" t="s">
        <v>17</v>
      </c>
      <c r="D17" s="696"/>
      <c r="E17" s="697">
        <f>E8-E34+E16-E26</f>
        <v>248.85000000000002</v>
      </c>
      <c r="F17" s="671">
        <v>0.3</v>
      </c>
      <c r="G17" s="698">
        <f>E17*F17/G10</f>
        <v>9.3318750000000006E-2</v>
      </c>
      <c r="H17" s="699"/>
      <c r="I17" s="613"/>
      <c r="J17" s="613"/>
      <c r="K17" s="657"/>
      <c r="L17" s="700" t="s">
        <v>135</v>
      </c>
      <c r="M17" s="700" t="s">
        <v>134</v>
      </c>
      <c r="N17" s="700" t="s">
        <v>184</v>
      </c>
      <c r="O17" s="700" t="s">
        <v>283</v>
      </c>
      <c r="P17" s="700" t="s">
        <v>356</v>
      </c>
      <c r="Q17" s="689" t="s">
        <v>357</v>
      </c>
      <c r="R17" s="613"/>
      <c r="S17" s="614"/>
      <c r="T17" s="231"/>
      <c r="U17" s="231"/>
      <c r="V17" s="237"/>
      <c r="W17" s="701" t="s">
        <v>114</v>
      </c>
      <c r="X17" s="702">
        <f>(((L$8-'Temperature Data Scotland'!D39)*(G$17+G$26+G$34+G$39+G$47)+G$44*(L$8-L$9))/1000)</f>
        <v>3.9306064875000005E-2</v>
      </c>
      <c r="Y17" s="703">
        <v>3.9557943937499999E-2</v>
      </c>
      <c r="Z17" s="704">
        <f>(((L$8-'Temperature Data Scotland'!F39)*(G$17+G$26+G$34+G$39+G$47)+G$44*(L$8-L$9))/1000)</f>
        <v>3.8013085687500003E-2</v>
      </c>
      <c r="AA17" s="613"/>
      <c r="AB17" s="701" t="s">
        <v>114</v>
      </c>
      <c r="AC17" s="702">
        <f t="shared" si="0"/>
        <v>31.444851900000003</v>
      </c>
      <c r="AD17" s="703">
        <f t="shared" si="1"/>
        <v>31.646355149999998</v>
      </c>
      <c r="AE17" s="704">
        <f t="shared" si="2"/>
        <v>30.410468550000004</v>
      </c>
      <c r="AF17" s="613"/>
      <c r="AG17" s="701" t="s">
        <v>114</v>
      </c>
      <c r="AH17" s="702">
        <f t="shared" si="3"/>
        <v>32.2448519</v>
      </c>
      <c r="AI17" s="703">
        <f t="shared" si="3"/>
        <v>32.446355149999995</v>
      </c>
      <c r="AJ17" s="704">
        <f t="shared" si="4"/>
        <v>31.210468550000005</v>
      </c>
      <c r="AK17" s="613"/>
      <c r="AL17" s="613"/>
      <c r="AM17" s="613"/>
      <c r="AN17" s="614"/>
    </row>
    <row r="18" spans="1:40">
      <c r="A18" s="231"/>
      <c r="B18" s="612"/>
      <c r="C18" s="675"/>
      <c r="D18" s="675"/>
      <c r="E18" s="675"/>
      <c r="F18" s="675"/>
      <c r="G18" s="705"/>
      <c r="H18" s="695"/>
      <c r="I18" s="613"/>
      <c r="J18" s="613"/>
      <c r="K18" s="593" t="s">
        <v>132</v>
      </c>
      <c r="L18" s="671">
        <v>30</v>
      </c>
      <c r="M18" s="586">
        <v>0.13</v>
      </c>
      <c r="N18" s="586">
        <f>L18*M18</f>
        <v>3.9000000000000004</v>
      </c>
      <c r="O18" s="594"/>
      <c r="P18" s="594"/>
      <c r="Q18" s="595"/>
      <c r="R18" s="613"/>
      <c r="S18" s="614"/>
      <c r="T18" s="231"/>
      <c r="U18" s="231"/>
      <c r="V18" s="237"/>
      <c r="W18" s="613"/>
      <c r="X18" s="613"/>
      <c r="Y18" s="613"/>
      <c r="Z18" s="613"/>
      <c r="AA18" s="613"/>
      <c r="AB18" s="613"/>
      <c r="AC18" s="613"/>
      <c r="AD18" s="613"/>
      <c r="AE18" s="613"/>
      <c r="AF18" s="613"/>
      <c r="AG18" s="613"/>
      <c r="AH18" s="613"/>
      <c r="AI18" s="613"/>
      <c r="AJ18" s="613"/>
      <c r="AK18" s="613"/>
      <c r="AL18" s="613"/>
      <c r="AM18" s="613"/>
      <c r="AN18" s="614"/>
    </row>
    <row r="19" spans="1:40" ht="15.75" thickBot="1">
      <c r="A19" s="231"/>
      <c r="B19" s="612"/>
      <c r="C19" s="675"/>
      <c r="D19" s="675"/>
      <c r="E19" s="706" t="s">
        <v>13</v>
      </c>
      <c r="F19" s="706" t="s">
        <v>14</v>
      </c>
      <c r="G19" s="706" t="s">
        <v>402</v>
      </c>
      <c r="H19" s="695"/>
      <c r="I19" s="613"/>
      <c r="J19" s="613"/>
      <c r="K19" s="593" t="s">
        <v>131</v>
      </c>
      <c r="L19" s="671">
        <v>10</v>
      </c>
      <c r="M19" s="814">
        <v>7.4999999999999997E-2</v>
      </c>
      <c r="N19" s="586">
        <f>L19*M19</f>
        <v>0.75</v>
      </c>
      <c r="O19" s="594"/>
      <c r="P19" s="594"/>
      <c r="Q19" s="595"/>
      <c r="R19" s="613"/>
      <c r="S19" s="614"/>
      <c r="T19" s="231"/>
      <c r="U19" s="231"/>
      <c r="V19" s="237"/>
      <c r="W19" s="613"/>
      <c r="X19" s="613"/>
      <c r="Y19" s="613"/>
      <c r="Z19" s="613"/>
      <c r="AA19" s="613"/>
      <c r="AB19" s="613"/>
      <c r="AC19" s="613"/>
      <c r="AD19" s="613"/>
      <c r="AE19" s="613"/>
      <c r="AF19" s="613"/>
      <c r="AG19" s="613"/>
      <c r="AH19" s="613"/>
      <c r="AI19" s="613"/>
      <c r="AJ19" s="613"/>
      <c r="AK19" s="613"/>
      <c r="AL19" s="613"/>
      <c r="AM19" s="613"/>
      <c r="AN19" s="614"/>
    </row>
    <row r="20" spans="1:40">
      <c r="A20" s="231"/>
      <c r="B20" s="612"/>
      <c r="C20" s="687" t="s">
        <v>18</v>
      </c>
      <c r="D20" s="688"/>
      <c r="E20" s="688"/>
      <c r="F20" s="688"/>
      <c r="G20" s="707"/>
      <c r="H20" s="695"/>
      <c r="I20" s="613"/>
      <c r="J20" s="613"/>
      <c r="K20" s="593" t="s">
        <v>358</v>
      </c>
      <c r="L20" s="671">
        <v>0.01</v>
      </c>
      <c r="M20" s="586">
        <f>L20*G10</f>
        <v>8</v>
      </c>
      <c r="N20" s="586">
        <f>L20*M20</f>
        <v>0.08</v>
      </c>
      <c r="O20" s="594"/>
      <c r="P20" s="594"/>
      <c r="Q20" s="595"/>
      <c r="R20" s="613"/>
      <c r="S20" s="614"/>
      <c r="T20" s="231"/>
      <c r="U20" s="231"/>
      <c r="V20" s="237"/>
      <c r="W20" s="613"/>
      <c r="X20" s="613"/>
      <c r="Y20" s="613"/>
      <c r="Z20" s="613"/>
      <c r="AA20" s="613"/>
      <c r="AB20" s="613"/>
      <c r="AC20" s="613"/>
      <c r="AD20" s="613"/>
      <c r="AE20" s="613"/>
      <c r="AF20" s="613"/>
      <c r="AG20" s="613"/>
      <c r="AH20" s="613"/>
      <c r="AI20" s="613"/>
      <c r="AJ20" s="613"/>
      <c r="AK20" s="613"/>
      <c r="AL20" s="613"/>
      <c r="AM20" s="613"/>
      <c r="AN20" s="614"/>
    </row>
    <row r="21" spans="1:40" ht="15" thickBot="1">
      <c r="A21" s="231"/>
      <c r="B21" s="612"/>
      <c r="C21" s="708"/>
      <c r="D21" s="709"/>
      <c r="E21" s="709"/>
      <c r="F21" s="709"/>
      <c r="G21" s="710"/>
      <c r="H21" s="695"/>
      <c r="I21" s="613"/>
      <c r="J21" s="613"/>
      <c r="K21" s="267" t="s">
        <v>403</v>
      </c>
      <c r="L21" s="827"/>
      <c r="M21" s="587"/>
      <c r="N21" s="587"/>
      <c r="O21" s="587">
        <f>Q21*$E$26</f>
        <v>1404</v>
      </c>
      <c r="P21" s="587"/>
      <c r="Q21" s="890">
        <v>13</v>
      </c>
      <c r="R21" s="613"/>
      <c r="S21" s="614"/>
      <c r="T21" s="231"/>
      <c r="U21" s="231"/>
      <c r="V21" s="237"/>
      <c r="W21" s="613"/>
      <c r="X21" s="613"/>
      <c r="Y21" s="613"/>
      <c r="Z21" s="613"/>
      <c r="AA21" s="613"/>
      <c r="AB21" s="613"/>
      <c r="AC21" s="613"/>
      <c r="AD21" s="613"/>
      <c r="AE21" s="613"/>
      <c r="AF21" s="613"/>
      <c r="AG21" s="613"/>
      <c r="AH21" s="613"/>
      <c r="AI21" s="613"/>
      <c r="AJ21" s="613"/>
      <c r="AK21" s="613"/>
      <c r="AL21" s="613"/>
      <c r="AM21" s="613"/>
      <c r="AN21" s="614"/>
    </row>
    <row r="22" spans="1:40" ht="15.75" thickBot="1">
      <c r="A22" s="231"/>
      <c r="B22" s="612"/>
      <c r="C22" s="593" t="s">
        <v>284</v>
      </c>
      <c r="D22" s="594"/>
      <c r="E22" s="671">
        <v>30</v>
      </c>
      <c r="F22" s="594"/>
      <c r="G22" s="694"/>
      <c r="H22" s="695"/>
      <c r="I22" s="613"/>
      <c r="J22" s="613"/>
      <c r="K22" s="238"/>
      <c r="L22" s="711"/>
      <c r="M22" s="613"/>
      <c r="N22" s="712">
        <f>SUM(N18:N21)</f>
        <v>4.7300000000000004</v>
      </c>
      <c r="O22" s="712">
        <f>8*7*4*N22+O21</f>
        <v>2463.52</v>
      </c>
      <c r="P22" s="712">
        <f>N22/G10</f>
        <v>5.9125000000000002E-3</v>
      </c>
      <c r="Q22" s="698">
        <f>O22/G10</f>
        <v>3.0794000000000001</v>
      </c>
      <c r="R22" s="613"/>
      <c r="S22" s="614"/>
      <c r="T22" s="231"/>
      <c r="U22" s="231"/>
      <c r="V22" s="237"/>
      <c r="W22" s="613"/>
      <c r="X22" s="613"/>
      <c r="Y22" s="613"/>
      <c r="Z22" s="613"/>
      <c r="AA22" s="613"/>
      <c r="AB22" s="613"/>
      <c r="AC22" s="613"/>
      <c r="AD22" s="613"/>
      <c r="AE22" s="613"/>
      <c r="AF22" s="613"/>
      <c r="AG22" s="613"/>
      <c r="AH22" s="613"/>
      <c r="AI22" s="613"/>
      <c r="AJ22" s="613"/>
      <c r="AK22" s="613"/>
      <c r="AL22" s="613"/>
      <c r="AM22" s="613"/>
      <c r="AN22" s="614"/>
    </row>
    <row r="23" spans="1:40" ht="15" thickBot="1">
      <c r="A23" s="231"/>
      <c r="B23" s="612"/>
      <c r="C23" s="593"/>
      <c r="D23" s="594"/>
      <c r="E23" s="713"/>
      <c r="F23" s="594"/>
      <c r="G23" s="694"/>
      <c r="H23" s="695"/>
      <c r="I23" s="613"/>
      <c r="J23" s="613"/>
      <c r="K23" s="613"/>
      <c r="L23" s="613"/>
      <c r="M23" s="613"/>
      <c r="N23" s="613"/>
      <c r="O23" s="613"/>
      <c r="P23" s="613"/>
      <c r="Q23" s="613"/>
      <c r="R23" s="613"/>
      <c r="S23" s="614"/>
      <c r="T23" s="231"/>
      <c r="U23" s="231"/>
      <c r="V23" s="237"/>
      <c r="W23" s="613"/>
      <c r="X23" s="613"/>
      <c r="Y23" s="613"/>
      <c r="Z23" s="613"/>
      <c r="AA23" s="613"/>
      <c r="AB23" s="613"/>
      <c r="AC23" s="613"/>
      <c r="AD23" s="613"/>
      <c r="AE23" s="613"/>
      <c r="AF23" s="613"/>
      <c r="AG23" s="613"/>
      <c r="AH23" s="613"/>
      <c r="AI23" s="613"/>
      <c r="AJ23" s="613"/>
      <c r="AK23" s="613"/>
      <c r="AL23" s="613"/>
      <c r="AM23" s="613"/>
      <c r="AN23" s="614"/>
    </row>
    <row r="24" spans="1:40" ht="15">
      <c r="A24" s="231"/>
      <c r="B24" s="612"/>
      <c r="C24" s="915"/>
      <c r="D24" s="594"/>
      <c r="E24" s="586"/>
      <c r="F24" s="594"/>
      <c r="G24" s="694"/>
      <c r="H24" s="695"/>
      <c r="I24" s="613"/>
      <c r="J24" s="613"/>
      <c r="K24" s="613"/>
      <c r="L24" s="613"/>
      <c r="M24" s="613"/>
      <c r="N24" s="613"/>
      <c r="O24" s="613"/>
      <c r="P24" s="613"/>
      <c r="Q24" s="613"/>
      <c r="R24" s="613"/>
      <c r="S24" s="614"/>
      <c r="T24" s="231"/>
      <c r="U24" s="231"/>
      <c r="V24" s="237"/>
      <c r="W24" s="714" t="s">
        <v>293</v>
      </c>
      <c r="X24" s="715"/>
      <c r="Y24" s="715"/>
      <c r="Z24" s="715"/>
      <c r="AA24" s="716"/>
      <c r="AB24" s="717"/>
      <c r="AC24" s="714" t="s">
        <v>294</v>
      </c>
      <c r="AD24" s="715"/>
      <c r="AE24" s="715"/>
      <c r="AF24" s="715"/>
      <c r="AG24" s="716"/>
      <c r="AH24" s="613"/>
      <c r="AI24" s="714" t="s">
        <v>400</v>
      </c>
      <c r="AJ24" s="715"/>
      <c r="AK24" s="715"/>
      <c r="AL24" s="715"/>
      <c r="AM24" s="716"/>
      <c r="AN24" s="614"/>
    </row>
    <row r="25" spans="1:40" ht="16.5" thickBot="1">
      <c r="A25" s="231"/>
      <c r="B25" s="612"/>
      <c r="C25" s="593"/>
      <c r="D25" s="594"/>
      <c r="E25" s="586"/>
      <c r="F25" s="594"/>
      <c r="G25" s="694"/>
      <c r="H25" s="695"/>
      <c r="I25" s="613"/>
      <c r="J25" s="613"/>
      <c r="K25" s="613"/>
      <c r="L25" s="1012" t="str">
        <f>IF(L27="User Input","Please, click here for user inputs", "")</f>
        <v/>
      </c>
      <c r="M25" s="1012"/>
      <c r="N25" s="1012"/>
      <c r="O25" s="613"/>
      <c r="P25" s="613"/>
      <c r="Q25" s="613"/>
      <c r="R25" s="613"/>
      <c r="S25" s="614"/>
      <c r="T25" s="231"/>
      <c r="U25" s="231"/>
      <c r="V25" s="237"/>
      <c r="W25" s="638"/>
      <c r="X25" s="643" t="s">
        <v>128</v>
      </c>
      <c r="Y25" s="643" t="s">
        <v>127</v>
      </c>
      <c r="Z25" s="643" t="s">
        <v>126</v>
      </c>
      <c r="AA25" s="644" t="s">
        <v>125</v>
      </c>
      <c r="AB25" s="718"/>
      <c r="AC25" s="638"/>
      <c r="AD25" s="643" t="s">
        <v>128</v>
      </c>
      <c r="AE25" s="643" t="s">
        <v>127</v>
      </c>
      <c r="AF25" s="643" t="s">
        <v>126</v>
      </c>
      <c r="AG25" s="644" t="s">
        <v>125</v>
      </c>
      <c r="AH25" s="613"/>
      <c r="AI25" s="638"/>
      <c r="AJ25" s="643" t="s">
        <v>128</v>
      </c>
      <c r="AK25" s="643" t="s">
        <v>127</v>
      </c>
      <c r="AL25" s="643" t="s">
        <v>126</v>
      </c>
      <c r="AM25" s="644" t="s">
        <v>125</v>
      </c>
      <c r="AN25" s="614"/>
    </row>
    <row r="26" spans="1:40" ht="15" thickBot="1">
      <c r="A26" s="231"/>
      <c r="B26" s="612"/>
      <c r="C26" s="623" t="s">
        <v>21</v>
      </c>
      <c r="D26" s="696"/>
      <c r="E26" s="697">
        <f>(E22/100)*(E8+E16)</f>
        <v>108</v>
      </c>
      <c r="F26" s="671">
        <v>2.8</v>
      </c>
      <c r="G26" s="698">
        <f>E26*F26/G10</f>
        <v>0.37799999999999995</v>
      </c>
      <c r="H26" s="699"/>
      <c r="I26" s="613"/>
      <c r="J26" s="613"/>
      <c r="K26" s="719" t="s">
        <v>419</v>
      </c>
      <c r="L26" s="630"/>
      <c r="M26" s="720" t="s">
        <v>411</v>
      </c>
      <c r="N26" s="630"/>
      <c r="O26" s="613"/>
      <c r="P26" s="613"/>
      <c r="Q26" s="613"/>
      <c r="R26" s="613"/>
      <c r="S26" s="614"/>
      <c r="T26" s="231"/>
      <c r="U26" s="231"/>
      <c r="V26" s="237"/>
      <c r="W26" s="646" t="s">
        <v>124</v>
      </c>
      <c r="X26" s="650">
        <f>Z6*24*'Degree days C.F and HWS'!I11/(L$8-'Temperature Data Scotland'!F28)</f>
        <v>18.184579173529414</v>
      </c>
      <c r="Y26" s="651">
        <f>Y6*24*'Degree days C.F and HWS'!J11/(L$8-'Temperature Data Scotland'!E28)</f>
        <v>18.616106269478358</v>
      </c>
      <c r="Z26" s="651">
        <f>X6*24*'Degree days C.F and HWS'!K11/(L$8-'Temperature Data Scotland'!D28)</f>
        <v>16.890318564406783</v>
      </c>
      <c r="AA26" s="652">
        <f>X6*24*'Degree days C.F and HWS'!L11/(L$8-'Temperature Data Scotland'!D28)</f>
        <v>18.589973262711869</v>
      </c>
      <c r="AB26" s="718"/>
      <c r="AC26" s="646" t="s">
        <v>124</v>
      </c>
      <c r="AD26" s="650">
        <f t="shared" ref="AD26:AG27" si="5">$R$14*X26</f>
        <v>14.256710072047062</v>
      </c>
      <c r="AE26" s="651">
        <f t="shared" si="5"/>
        <v>14.595027315271034</v>
      </c>
      <c r="AF26" s="651">
        <f t="shared" si="5"/>
        <v>13.242009754494919</v>
      </c>
      <c r="AG26" s="652">
        <f t="shared" si="5"/>
        <v>14.574539037966106</v>
      </c>
      <c r="AH26" s="613"/>
      <c r="AI26" s="646" t="s">
        <v>124</v>
      </c>
      <c r="AJ26" s="721">
        <f t="shared" ref="AJ26:AJ37" si="6">AD45/$G$10</f>
        <v>26.551080096062748</v>
      </c>
      <c r="AK26" s="722">
        <f t="shared" ref="AK26:AK37" si="7">AE45/$G$10</f>
        <v>27.002169753694712</v>
      </c>
      <c r="AL26" s="722">
        <f t="shared" ref="AL26:AL37" si="8">AF45/$G$10</f>
        <v>25.198146339326559</v>
      </c>
      <c r="AM26" s="723">
        <f t="shared" ref="AM26:AM37" si="9">AG45/$G$10</f>
        <v>26.974852050621472</v>
      </c>
      <c r="AN26" s="614"/>
    </row>
    <row r="27" spans="1:40" ht="15.75" thickBot="1">
      <c r="A27" s="231"/>
      <c r="B27" s="612"/>
      <c r="C27" s="675"/>
      <c r="D27" s="675"/>
      <c r="E27" s="675"/>
      <c r="F27" s="675"/>
      <c r="G27" s="705"/>
      <c r="H27" s="695"/>
      <c r="I27" s="613"/>
      <c r="J27" s="613"/>
      <c r="K27" s="938" t="s">
        <v>127</v>
      </c>
      <c r="L27" s="1023" t="s">
        <v>551</v>
      </c>
      <c r="M27" s="1024"/>
      <c r="N27" s="610"/>
      <c r="O27" s="611"/>
      <c r="P27" s="613"/>
      <c r="Q27" s="613"/>
      <c r="R27" s="613"/>
      <c r="S27" s="614"/>
      <c r="T27" s="231"/>
      <c r="U27" s="231"/>
      <c r="V27" s="237"/>
      <c r="W27" s="661" t="s">
        <v>123</v>
      </c>
      <c r="X27" s="724">
        <f>Z7*24*'Degree days C.F and HWS'!I12/(L$8-'Temperature Data Scotland'!F29)</f>
        <v>16.277392807988168</v>
      </c>
      <c r="Y27" s="725">
        <f>Y7*24*'Degree days C.F and HWS'!J12/(L$8-'Temperature Data Scotland'!E29)</f>
        <v>16.412265045150502</v>
      </c>
      <c r="Z27" s="725">
        <f>X7*24*'Degree days C.F and HWS'!K12/(L$8-'Temperature Data Scotland'!D29)</f>
        <v>15.636927044117648</v>
      </c>
      <c r="AA27" s="726">
        <f>X7*24*'Degree days C.F and HWS'!L12/(L$8-'Temperature Data Scotland'!D29)</f>
        <v>16.750064223529414</v>
      </c>
      <c r="AB27" s="718"/>
      <c r="AC27" s="661" t="s">
        <v>123</v>
      </c>
      <c r="AD27" s="647">
        <f t="shared" si="5"/>
        <v>12.761475961462724</v>
      </c>
      <c r="AE27" s="648">
        <f t="shared" si="5"/>
        <v>12.867215795397994</v>
      </c>
      <c r="AF27" s="648">
        <f t="shared" si="5"/>
        <v>12.259350802588237</v>
      </c>
      <c r="AG27" s="649">
        <f t="shared" si="5"/>
        <v>13.132050351247061</v>
      </c>
      <c r="AH27" s="613"/>
      <c r="AI27" s="661" t="s">
        <v>123</v>
      </c>
      <c r="AJ27" s="727">
        <f t="shared" si="6"/>
        <v>24.557434615283633</v>
      </c>
      <c r="AK27" s="728">
        <f t="shared" si="7"/>
        <v>24.698421060530659</v>
      </c>
      <c r="AL27" s="728">
        <f t="shared" si="8"/>
        <v>23.887934403450981</v>
      </c>
      <c r="AM27" s="729">
        <f t="shared" si="9"/>
        <v>25.05153380166275</v>
      </c>
      <c r="AN27" s="614"/>
    </row>
    <row r="28" spans="1:40" ht="15.75" thickBot="1">
      <c r="A28" s="231"/>
      <c r="B28" s="612"/>
      <c r="C28" s="675"/>
      <c r="D28" s="675"/>
      <c r="E28" s="706" t="s">
        <v>13</v>
      </c>
      <c r="F28" s="706" t="s">
        <v>14</v>
      </c>
      <c r="G28" s="706" t="s">
        <v>402</v>
      </c>
      <c r="H28" s="695"/>
      <c r="I28" s="613"/>
      <c r="J28" s="613"/>
      <c r="K28" s="612"/>
      <c r="L28" s="815"/>
      <c r="M28" s="747"/>
      <c r="O28" s="614"/>
      <c r="P28" s="613"/>
      <c r="Q28" s="613"/>
      <c r="R28" s="613"/>
      <c r="S28" s="614"/>
      <c r="T28" s="231"/>
      <c r="U28" s="231"/>
      <c r="V28" s="237"/>
      <c r="W28" s="646" t="s">
        <v>122</v>
      </c>
      <c r="X28" s="647">
        <f>Z8*24*'Degree days C.F and HWS'!I13/(L$8-'Temperature Data Scotland'!F30)</f>
        <v>16.019269157224336</v>
      </c>
      <c r="Y28" s="648">
        <f>Y8*24*'Degree days C.F and HWS'!J13/(L$8-'Temperature Data Scotland'!E30)</f>
        <v>16.022217237725631</v>
      </c>
      <c r="Z28" s="648">
        <f>X8*24*'Degree days C.F and HWS'!K13/(L$8-'Temperature Data Scotland'!D30)</f>
        <v>16.22814270882353</v>
      </c>
      <c r="AA28" s="649">
        <f>X8*24*'Degree days C.F and HWS'!L13/(L$8-'Temperature Data Scotland'!D30)</f>
        <v>16.497713185714286</v>
      </c>
      <c r="AB28" s="718"/>
      <c r="AC28" s="646" t="s">
        <v>122</v>
      </c>
      <c r="AD28" s="647">
        <f t="shared" ref="AD28:AG30" si="10">$R$15*X28</f>
        <v>11.213488410057035</v>
      </c>
      <c r="AE28" s="648">
        <f t="shared" si="10"/>
        <v>11.215552066407941</v>
      </c>
      <c r="AF28" s="648">
        <f t="shared" si="10"/>
        <v>11.359699896176471</v>
      </c>
      <c r="AG28" s="649">
        <f t="shared" si="10"/>
        <v>11.548399229999999</v>
      </c>
      <c r="AH28" s="613"/>
      <c r="AI28" s="646" t="s">
        <v>122</v>
      </c>
      <c r="AJ28" s="727">
        <f t="shared" si="6"/>
        <v>22.493451213409376</v>
      </c>
      <c r="AK28" s="728">
        <f t="shared" si="7"/>
        <v>22.496202755210582</v>
      </c>
      <c r="AL28" s="728">
        <f t="shared" si="8"/>
        <v>22.688399861568627</v>
      </c>
      <c r="AM28" s="729">
        <f t="shared" si="9"/>
        <v>22.939998973333331</v>
      </c>
      <c r="AN28" s="614"/>
    </row>
    <row r="29" spans="1:40" ht="49.5" customHeight="1" thickBot="1">
      <c r="A29" s="231"/>
      <c r="B29" s="612"/>
      <c r="C29" s="730" t="s">
        <v>22</v>
      </c>
      <c r="D29" s="688"/>
      <c r="E29" s="688"/>
      <c r="F29" s="688"/>
      <c r="G29" s="707"/>
      <c r="H29" s="695"/>
      <c r="I29" s="613"/>
      <c r="J29" s="613"/>
      <c r="K29" s="1019"/>
      <c r="L29" s="1020"/>
      <c r="M29" s="731" t="s">
        <v>547</v>
      </c>
      <c r="N29" s="884" t="s">
        <v>546</v>
      </c>
      <c r="O29" s="949" t="s">
        <v>463</v>
      </c>
      <c r="P29" s="613"/>
      <c r="Q29" s="613"/>
      <c r="R29" s="613"/>
      <c r="S29" s="614"/>
      <c r="T29" s="231"/>
      <c r="U29" s="231"/>
      <c r="V29" s="237"/>
      <c r="W29" s="661" t="s">
        <v>121</v>
      </c>
      <c r="X29" s="724">
        <f>Z9*24*'Degree days C.F and HWS'!I14/(L$8-'Temperature Data Scotland'!F31)</f>
        <v>12.873544221490596</v>
      </c>
      <c r="Y29" s="725">
        <f>Y9*24*'Degree days C.F and HWS'!J14/(L$8-'Temperature Data Scotland'!E31)</f>
        <v>13.309075361157028</v>
      </c>
      <c r="Z29" s="725">
        <f>X9*24*'Degree days C.F and HWS'!K14/(L$8-'Temperature Data Scotland'!D31)</f>
        <v>13.504336247368419</v>
      </c>
      <c r="AA29" s="726">
        <f>X9*24*'Degree days C.F and HWS'!L14/(L$8-'Temperature Data Scotland'!D31)</f>
        <v>13.839154501435404</v>
      </c>
      <c r="AB29" s="718"/>
      <c r="AC29" s="661" t="s">
        <v>121</v>
      </c>
      <c r="AD29" s="647">
        <f t="shared" si="10"/>
        <v>9.0114809550434156</v>
      </c>
      <c r="AE29" s="648">
        <f t="shared" si="10"/>
        <v>9.3163527528099195</v>
      </c>
      <c r="AF29" s="648">
        <f t="shared" si="10"/>
        <v>9.4530353731578938</v>
      </c>
      <c r="AG29" s="649">
        <f t="shared" si="10"/>
        <v>9.6874081510047816</v>
      </c>
      <c r="AH29" s="613"/>
      <c r="AI29" s="661" t="s">
        <v>121</v>
      </c>
      <c r="AJ29" s="727">
        <f t="shared" si="6"/>
        <v>19.55744127339122</v>
      </c>
      <c r="AK29" s="728">
        <f t="shared" si="7"/>
        <v>19.963937003746558</v>
      </c>
      <c r="AL29" s="728">
        <f t="shared" si="8"/>
        <v>20.146180497543856</v>
      </c>
      <c r="AM29" s="729">
        <f t="shared" si="9"/>
        <v>20.458677534673043</v>
      </c>
      <c r="AN29" s="614"/>
    </row>
    <row r="30" spans="1:40" ht="15">
      <c r="A30" s="231"/>
      <c r="B30" s="612"/>
      <c r="C30" s="593" t="s">
        <v>19</v>
      </c>
      <c r="D30" s="594"/>
      <c r="E30" s="671">
        <v>0.75</v>
      </c>
      <c r="F30" s="586"/>
      <c r="G30" s="619"/>
      <c r="H30" s="699"/>
      <c r="I30" s="613"/>
      <c r="J30" s="613"/>
      <c r="K30" s="612"/>
      <c r="L30" s="665" t="s">
        <v>124</v>
      </c>
      <c r="M30" s="820">
        <f>IF(AND($K$27=$AH$5,$L$27="Automatic Calculation"),AH6,IF(AND($K$27=$AI$5,$L$27="Automatic Calculation"),AI6,IF(AND($K$27=$AJ$5,$L$27="Automatic Calculation"),AJ6,'User Input'!D93)))</f>
        <v>32.567257099999999</v>
      </c>
      <c r="N30" s="732">
        <f>IF(AND($K$27=$AH$5,$L$27="Automatic Calculation"),AG45,IF(AND($K$27=$AI$5,$L$27="Automatic Calculation"),AE45,IF(AND($K$27=$AJ$5,$L$27="Automatic Calculation"),AD45,'User Input'!E93)))</f>
        <v>21601.735802955769</v>
      </c>
      <c r="O30" s="614"/>
      <c r="P30" s="613"/>
      <c r="Q30" s="613"/>
      <c r="R30" s="613"/>
      <c r="S30" s="614"/>
      <c r="T30" s="231"/>
      <c r="U30" s="231"/>
      <c r="V30" s="237"/>
      <c r="W30" s="646" t="s">
        <v>105</v>
      </c>
      <c r="X30" s="647">
        <f>Z10*24*'Degree days C.F and HWS'!I15/(L$8-'Temperature Data Scotland'!F32)</f>
        <v>9.3901834181403832</v>
      </c>
      <c r="Y30" s="648">
        <f>Y10*24*'Degree days C.F and HWS'!J15/(L$8-'Temperature Data Scotland'!E32)</f>
        <v>10.385236176923076</v>
      </c>
      <c r="Z30" s="648">
        <f>X10*24*'Degree days C.F and HWS'!K15/(L$8-'Temperature Data Scotland'!D32)</f>
        <v>11.489661232758621</v>
      </c>
      <c r="AA30" s="649">
        <f>X10*24*'Degree days C.F and HWS'!L15/(L$8-'Temperature Data Scotland'!D32)</f>
        <v>10.782605156896553</v>
      </c>
      <c r="AB30" s="718"/>
      <c r="AC30" s="646" t="s">
        <v>105</v>
      </c>
      <c r="AD30" s="647">
        <f t="shared" si="10"/>
        <v>6.5731283926982682</v>
      </c>
      <c r="AE30" s="648">
        <f t="shared" si="10"/>
        <v>7.2696653238461524</v>
      </c>
      <c r="AF30" s="648">
        <f t="shared" si="10"/>
        <v>8.0427628629310348</v>
      </c>
      <c r="AG30" s="649">
        <f t="shared" si="10"/>
        <v>7.5478236098275868</v>
      </c>
      <c r="AH30" s="613"/>
      <c r="AI30" s="646" t="s">
        <v>105</v>
      </c>
      <c r="AJ30" s="727">
        <f t="shared" si="6"/>
        <v>16.306304523597689</v>
      </c>
      <c r="AK30" s="728">
        <f t="shared" si="7"/>
        <v>17.235020431794865</v>
      </c>
      <c r="AL30" s="728">
        <f t="shared" si="8"/>
        <v>18.265817150574712</v>
      </c>
      <c r="AM30" s="729">
        <f t="shared" si="9"/>
        <v>17.605898146436783</v>
      </c>
      <c r="AN30" s="614"/>
    </row>
    <row r="31" spans="1:40" ht="15">
      <c r="A31" s="231"/>
      <c r="B31" s="612"/>
      <c r="C31" s="593" t="s">
        <v>20</v>
      </c>
      <c r="D31" s="594"/>
      <c r="E31" s="671">
        <v>2.1</v>
      </c>
      <c r="F31" s="586"/>
      <c r="G31" s="619"/>
      <c r="H31" s="699"/>
      <c r="I31" s="613"/>
      <c r="J31" s="613"/>
      <c r="K31" s="612"/>
      <c r="L31" s="315" t="s">
        <v>123</v>
      </c>
      <c r="M31" s="820">
        <f>IF(AND($K$27=$AH$5,$L$27="Automatic Calculation"),AH7,IF(AND($K$27=$AI$5,$L$27="Automatic Calculation"),AI7,IF(AND($K$27=$AJ$5,$L$27="Automatic Calculation"),AJ7,'User Input'!D94)))</f>
        <v>32.459788700000004</v>
      </c>
      <c r="N31" s="732">
        <f>IF(AND($K$27=$AH$5,$L$27="Automatic Calculation"),AG46,IF(AND($K$27=$AI$5,$L$27="Automatic Calculation"),AE46,IF(AND($K$27=$AJ$5,$L$27="Automatic Calculation"),AD46,'User Input'!E94)))</f>
        <v>19758.736848424527</v>
      </c>
      <c r="O31" s="614"/>
      <c r="P31" s="613"/>
      <c r="Q31" s="613"/>
      <c r="R31" s="613"/>
      <c r="S31" s="614"/>
      <c r="T31" s="231"/>
      <c r="U31" s="231"/>
      <c r="V31" s="237"/>
      <c r="W31" s="661" t="s">
        <v>120</v>
      </c>
      <c r="X31" s="724">
        <f>Z11*24*'Degree days C.F and HWS'!I16/(L$8-'Temperature Data Scotland'!F33)</f>
        <v>5.633802672680412</v>
      </c>
      <c r="Y31" s="725">
        <f>Y11*24*'Degree days C.F and HWS'!J16/(L$8-'Temperature Data Scotland'!E33)</f>
        <v>6.0381233164495125</v>
      </c>
      <c r="Z31" s="725">
        <f>X11*24*'Degree days C.F and HWS'!K16/(L$8-'Temperature Data Scotland'!D33)</f>
        <v>7.5907338704453444</v>
      </c>
      <c r="AA31" s="726">
        <f>X11*24*'Degree days C.F and HWS'!L16/(L$8-'Temperature Data Scotland'!D33)</f>
        <v>6.578636021052632</v>
      </c>
      <c r="AB31" s="718"/>
      <c r="AC31" s="661" t="s">
        <v>120</v>
      </c>
      <c r="AD31" s="647">
        <f t="shared" ref="AD31:AG33" si="11">$R$13*X31</f>
        <v>3.1549294967010306</v>
      </c>
      <c r="AE31" s="648">
        <f t="shared" si="11"/>
        <v>3.3813490572117266</v>
      </c>
      <c r="AF31" s="648">
        <f t="shared" si="11"/>
        <v>4.2508109674493921</v>
      </c>
      <c r="AG31" s="649">
        <f t="shared" si="11"/>
        <v>3.6840361717894736</v>
      </c>
      <c r="AH31" s="613"/>
      <c r="AI31" s="661" t="s">
        <v>120</v>
      </c>
      <c r="AJ31" s="727">
        <f t="shared" si="6"/>
        <v>11.748705995601375</v>
      </c>
      <c r="AK31" s="728">
        <f t="shared" si="7"/>
        <v>12.050598742948969</v>
      </c>
      <c r="AL31" s="728">
        <f t="shared" si="8"/>
        <v>13.20988128993252</v>
      </c>
      <c r="AM31" s="729">
        <f t="shared" si="9"/>
        <v>12.454181562385966</v>
      </c>
      <c r="AN31" s="614"/>
    </row>
    <row r="32" spans="1:40" ht="15">
      <c r="A32" s="231"/>
      <c r="B32" s="612"/>
      <c r="C32" s="593" t="s">
        <v>23</v>
      </c>
      <c r="D32" s="594"/>
      <c r="E32" s="671">
        <v>2</v>
      </c>
      <c r="F32" s="586"/>
      <c r="G32" s="619"/>
      <c r="H32" s="699"/>
      <c r="I32" s="613"/>
      <c r="J32" s="613"/>
      <c r="K32" s="612"/>
      <c r="L32" s="315" t="s">
        <v>122</v>
      </c>
      <c r="M32" s="820">
        <f>IF(AND($K$27=$AH$5,$L$27="Automatic Calculation"),AH8,IF(AND($K$27=$AI$5,$L$27="Automatic Calculation"),AI8,IF(AND($K$27=$AJ$5,$L$27="Automatic Calculation"),AJ8,'User Input'!D95)))</f>
        <v>30.686560100000005</v>
      </c>
      <c r="N32" s="732">
        <f>IF(AND($K$27=$AH$5,$L$27="Automatic Calculation"),AG47,IF(AND($K$27=$AI$5,$L$27="Automatic Calculation"),AE47,IF(AND($K$27=$AJ$5,$L$27="Automatic Calculation"),AD47,'User Input'!E95)))</f>
        <v>17996.962204168467</v>
      </c>
      <c r="O32" s="614"/>
      <c r="P32" s="613"/>
      <c r="Q32" s="613"/>
      <c r="R32" s="613"/>
      <c r="S32" s="614"/>
      <c r="T32" s="231"/>
      <c r="U32" s="231"/>
      <c r="V32" s="237"/>
      <c r="W32" s="646" t="s">
        <v>119</v>
      </c>
      <c r="X32" s="647">
        <f>Z12*24*'Degree days C.F and HWS'!I17/(L$8-'Temperature Data Scotland'!F34)</f>
        <v>3.6844599105633806</v>
      </c>
      <c r="Y32" s="648">
        <f>Y12*24*'Degree days C.F and HWS'!J17/(L$8-'Temperature Data Scotland'!E34)</f>
        <v>3.9662307472409157</v>
      </c>
      <c r="Z32" s="648">
        <f>X12*24*'Degree days C.F and HWS'!K17/(L$8-'Temperature Data Scotland'!D34)</f>
        <v>5.3767990856181163</v>
      </c>
      <c r="AA32" s="649">
        <f>X12*24*'Degree days C.F and HWS'!L17/(L$8-'Temperature Data Scotland'!D34)</f>
        <v>4.0836448751529995</v>
      </c>
      <c r="AB32" s="718"/>
      <c r="AC32" s="646" t="s">
        <v>119</v>
      </c>
      <c r="AD32" s="647">
        <f t="shared" si="11"/>
        <v>2.0632975499154931</v>
      </c>
      <c r="AE32" s="648">
        <f t="shared" si="11"/>
        <v>2.2210892184549125</v>
      </c>
      <c r="AF32" s="648">
        <f t="shared" si="11"/>
        <v>3.0110074879461446</v>
      </c>
      <c r="AG32" s="649">
        <f t="shared" si="11"/>
        <v>2.2868411300856795</v>
      </c>
      <c r="AH32" s="613"/>
      <c r="AI32" s="646" t="s">
        <v>119</v>
      </c>
      <c r="AJ32" s="727">
        <f t="shared" si="6"/>
        <v>8.7360000000000007</v>
      </c>
      <c r="AK32" s="728">
        <f t="shared" si="7"/>
        <v>8.7360000000000007</v>
      </c>
      <c r="AL32" s="728">
        <f t="shared" si="8"/>
        <v>8.7360000000000007</v>
      </c>
      <c r="AM32" s="729">
        <f t="shared" si="9"/>
        <v>8.7360000000000007</v>
      </c>
      <c r="AN32" s="614"/>
    </row>
    <row r="33" spans="1:40" ht="15">
      <c r="A33" s="231"/>
      <c r="B33" s="612"/>
      <c r="C33" s="593" t="s">
        <v>24</v>
      </c>
      <c r="D33" s="594"/>
      <c r="E33" s="671"/>
      <c r="F33" s="586"/>
      <c r="G33" s="619"/>
      <c r="H33" s="699"/>
      <c r="I33" s="613"/>
      <c r="J33" s="613"/>
      <c r="K33" s="612"/>
      <c r="L33" s="315" t="s">
        <v>121</v>
      </c>
      <c r="M33" s="820">
        <f>IF(AND($K$27=$AH$5,$L$27="Automatic Calculation"),AH9,IF(AND($K$27=$AI$5,$L$27="Automatic Calculation"),AI9,IF(AND($K$27=$AJ$5,$L$27="Automatic Calculation"),AJ9,'User Input'!D96)))</f>
        <v>27.865514600000008</v>
      </c>
      <c r="N33" s="732">
        <f>IF(AND($K$27=$AH$5,$L$27="Automatic Calculation"),AG48,IF(AND($K$27=$AI$5,$L$27="Automatic Calculation"),AE48,IF(AND($K$27=$AJ$5,$L$27="Automatic Calculation"),AD48,'User Input'!E96)))</f>
        <v>15971.149602997248</v>
      </c>
      <c r="O33" s="614"/>
      <c r="P33" s="613"/>
      <c r="Q33" s="613"/>
      <c r="R33" s="613"/>
      <c r="S33" s="614"/>
      <c r="T33" s="231"/>
      <c r="U33" s="231"/>
      <c r="V33" s="237"/>
      <c r="W33" s="661" t="s">
        <v>118</v>
      </c>
      <c r="X33" s="724">
        <f>Z13*24*'Degree days C.F and HWS'!I18/(L$8-'Temperature Data Scotland'!F35)</f>
        <v>3.9011928464788737</v>
      </c>
      <c r="Y33" s="725">
        <f>Y13*24*'Degree days C.F and HWS'!J18/(L$8-'Temperature Data Scotland'!E35)</f>
        <v>3.9435296270916327</v>
      </c>
      <c r="Z33" s="725">
        <f>X13*24*'Degree days C.F and HWS'!K18/(L$8-'Temperature Data Scotland'!D35)</f>
        <v>4.691514080769231</v>
      </c>
      <c r="AA33" s="726">
        <f>X13*24*'Degree days C.F and HWS'!L18/(L$8-'Temperature Data Scotland'!D35)</f>
        <v>4.1475704192307701</v>
      </c>
      <c r="AB33" s="718"/>
      <c r="AC33" s="661" t="s">
        <v>118</v>
      </c>
      <c r="AD33" s="647">
        <f t="shared" si="11"/>
        <v>2.1846679940281688</v>
      </c>
      <c r="AE33" s="648">
        <f t="shared" si="11"/>
        <v>2.208376591171314</v>
      </c>
      <c r="AF33" s="648">
        <f t="shared" si="11"/>
        <v>2.6272478852307692</v>
      </c>
      <c r="AG33" s="649">
        <f t="shared" si="11"/>
        <v>2.322639434769231</v>
      </c>
      <c r="AH33" s="613"/>
      <c r="AI33" s="661" t="s">
        <v>118</v>
      </c>
      <c r="AJ33" s="727">
        <f t="shared" si="6"/>
        <v>8.7360000000000007</v>
      </c>
      <c r="AK33" s="728">
        <f t="shared" si="7"/>
        <v>8.7360000000000007</v>
      </c>
      <c r="AL33" s="728">
        <f t="shared" si="8"/>
        <v>8.7360000000000007</v>
      </c>
      <c r="AM33" s="729">
        <f t="shared" si="9"/>
        <v>8.7360000000000007</v>
      </c>
      <c r="AN33" s="614"/>
    </row>
    <row r="34" spans="1:40" ht="15.75" thickBot="1">
      <c r="A34" s="231"/>
      <c r="B34" s="612"/>
      <c r="C34" s="623" t="s">
        <v>21</v>
      </c>
      <c r="D34" s="696"/>
      <c r="E34" s="697">
        <f>E30*E31*E32</f>
        <v>3.1500000000000004</v>
      </c>
      <c r="F34" s="671">
        <v>2</v>
      </c>
      <c r="G34" s="698">
        <f>E34*F34/G10</f>
        <v>7.8750000000000001E-3</v>
      </c>
      <c r="H34" s="699"/>
      <c r="I34" s="613"/>
      <c r="J34" s="613"/>
      <c r="K34" s="612"/>
      <c r="L34" s="315" t="s">
        <v>105</v>
      </c>
      <c r="M34" s="820">
        <f>IF(AND($K$27=$AH$5,$L$27="Automatic Calculation"),AH10,IF(AND($K$27=$AI$5,$L$27="Automatic Calculation"),AI10,IF(AND($K$27=$AJ$5,$L$27="Automatic Calculation"),AJ10,'User Input'!D97)))</f>
        <v>24.077253500000001</v>
      </c>
      <c r="N34" s="732">
        <f>IF(AND($K$27=$AH$5,$L$27="Automatic Calculation"),AG49,IF(AND($K$27=$AI$5,$L$27="Automatic Calculation"),AE49,IF(AND($K$27=$AJ$5,$L$27="Automatic Calculation"),AD49,'User Input'!E97)))</f>
        <v>13788.016345435894</v>
      </c>
      <c r="O34" s="614"/>
      <c r="P34" s="613"/>
      <c r="Q34" s="613"/>
      <c r="R34" s="613"/>
      <c r="S34" s="614"/>
      <c r="T34" s="231"/>
      <c r="U34" s="231"/>
      <c r="V34" s="237"/>
      <c r="W34" s="646" t="s">
        <v>117</v>
      </c>
      <c r="X34" s="647">
        <f>Z14*24*'Degree days C.F and HWS'!I19/(L$8-'Temperature Data Scotland'!F36)</f>
        <v>6.3743629753739919</v>
      </c>
      <c r="Y34" s="648">
        <f>Y14*24*'Degree days C.F and HWS'!J19/(L$8-'Temperature Data Scotland'!E36)</f>
        <v>6.2874981851351359</v>
      </c>
      <c r="Z34" s="648">
        <f>X14*24*'Degree days C.F and HWS'!K19/(L$8-'Temperature Data Scotland'!D36)</f>
        <v>6.6355370300518119</v>
      </c>
      <c r="AA34" s="649">
        <f>X14*24*'Degree days C.F and HWS'!L19/(L$8-'Temperature Data Scotland'!D36)</f>
        <v>6.6993402707253882</v>
      </c>
      <c r="AB34" s="718"/>
      <c r="AC34" s="646" t="s">
        <v>117</v>
      </c>
      <c r="AD34" s="647">
        <f t="shared" ref="AD34:AG36" si="12">$R$15*X34</f>
        <v>4.462054082761794</v>
      </c>
      <c r="AE34" s="648">
        <f t="shared" si="12"/>
        <v>4.4012487295945952</v>
      </c>
      <c r="AF34" s="648">
        <f t="shared" si="12"/>
        <v>4.6448759210362685</v>
      </c>
      <c r="AG34" s="649">
        <f t="shared" si="12"/>
        <v>4.689538189507771</v>
      </c>
      <c r="AH34" s="613"/>
      <c r="AI34" s="646" t="s">
        <v>117</v>
      </c>
      <c r="AJ34" s="727">
        <f t="shared" si="6"/>
        <v>13.491538777015723</v>
      </c>
      <c r="AK34" s="728">
        <f t="shared" si="7"/>
        <v>13.410464972792795</v>
      </c>
      <c r="AL34" s="728">
        <f t="shared" si="8"/>
        <v>13.735301228048357</v>
      </c>
      <c r="AM34" s="729">
        <f t="shared" si="9"/>
        <v>13.794850919343691</v>
      </c>
      <c r="AN34" s="614"/>
    </row>
    <row r="35" spans="1:40" ht="15">
      <c r="A35" s="231"/>
      <c r="B35" s="612"/>
      <c r="C35" s="675"/>
      <c r="D35" s="675"/>
      <c r="E35" s="675"/>
      <c r="F35" s="675"/>
      <c r="G35" s="705"/>
      <c r="H35" s="695"/>
      <c r="I35" s="675"/>
      <c r="J35" s="613"/>
      <c r="K35" s="612"/>
      <c r="L35" s="315" t="s">
        <v>120</v>
      </c>
      <c r="M35" s="820">
        <f>IF(AND($K$27=$AH$5,$L$27="Automatic Calculation"),AH11,IF(AND($K$27=$AI$5,$L$27="Automatic Calculation"),AI11,IF(AND($K$27=$AJ$5,$L$27="Automatic Calculation"),AJ11,'User Input'!D98)))</f>
        <v>20.73229955</v>
      </c>
      <c r="N35" s="732">
        <f>IF(AND($K$27=$AH$5,$L$27="Automatic Calculation"),AG50,IF(AND($K$27=$AI$5,$L$27="Automatic Calculation"),AE50,IF(AND($K$27=$AJ$5,$L$27="Automatic Calculation"),AD50,'User Input'!E98)))</f>
        <v>9640.478994359175</v>
      </c>
      <c r="O35" s="614"/>
      <c r="P35" s="613"/>
      <c r="Q35" s="613"/>
      <c r="R35" s="613"/>
      <c r="S35" s="614"/>
      <c r="T35" s="231"/>
      <c r="U35" s="231"/>
      <c r="V35" s="237"/>
      <c r="W35" s="661" t="s">
        <v>116</v>
      </c>
      <c r="X35" s="724">
        <f>Z15*24*'Degree days C.F and HWS'!I20/(L$8-'Temperature Data Scotland'!F37)</f>
        <v>10.845286508528428</v>
      </c>
      <c r="Y35" s="725">
        <f>Y15*24*'Degree days C.F and HWS'!J20/(L$8-'Temperature Data Scotland'!E37)</f>
        <v>10.514088238235294</v>
      </c>
      <c r="Z35" s="725">
        <f>X15*24*'Degree days C.F and HWS'!K20/(L$8-'Temperature Data Scotland'!D37)</f>
        <v>10.665413057943928</v>
      </c>
      <c r="AA35" s="726">
        <f>X15*24*'Degree days C.F and HWS'!L20/(L$8-'Temperature Data Scotland'!D37)</f>
        <v>11.071162467757013</v>
      </c>
      <c r="AB35" s="718"/>
      <c r="AC35" s="661" t="s">
        <v>116</v>
      </c>
      <c r="AD35" s="647">
        <f t="shared" si="12"/>
        <v>7.5917005559698989</v>
      </c>
      <c r="AE35" s="648">
        <f t="shared" si="12"/>
        <v>7.3598617667647055</v>
      </c>
      <c r="AF35" s="648">
        <f t="shared" si="12"/>
        <v>7.4657891405607488</v>
      </c>
      <c r="AG35" s="649">
        <f t="shared" si="12"/>
        <v>7.7498137274299088</v>
      </c>
      <c r="AH35" s="613"/>
      <c r="AI35" s="661" t="s">
        <v>116</v>
      </c>
      <c r="AJ35" s="727">
        <f t="shared" si="6"/>
        <v>17.6644007412932</v>
      </c>
      <c r="AK35" s="728">
        <f t="shared" si="7"/>
        <v>17.355282355686274</v>
      </c>
      <c r="AL35" s="728">
        <f t="shared" si="8"/>
        <v>17.496518854081</v>
      </c>
      <c r="AM35" s="729">
        <f t="shared" si="9"/>
        <v>17.87521830323988</v>
      </c>
      <c r="AN35" s="614"/>
    </row>
    <row r="36" spans="1:40" ht="15.75" thickBot="1">
      <c r="A36" s="231"/>
      <c r="B36" s="612"/>
      <c r="C36" s="675"/>
      <c r="D36" s="675"/>
      <c r="E36" s="706" t="s">
        <v>13</v>
      </c>
      <c r="F36" s="706" t="s">
        <v>14</v>
      </c>
      <c r="G36" s="706" t="s">
        <v>402</v>
      </c>
      <c r="H36" s="695"/>
      <c r="I36" s="675"/>
      <c r="J36" s="613"/>
      <c r="K36" s="612"/>
      <c r="L36" s="315" t="s">
        <v>119</v>
      </c>
      <c r="M36" s="820">
        <f>IF(AND($K$27=$AH$5,$L$27="Automatic Calculation"),AH12,IF(AND($K$27=$AI$5,$L$27="Automatic Calculation"),AI12,IF(AND($K$27=$AJ$5,$L$27="Automatic Calculation"),AJ12,'User Input'!D99)))</f>
        <v>18.341127650000004</v>
      </c>
      <c r="N36" s="732">
        <f>IF(AND($K$27=$AH$5,$L$27="Automatic Calculation"),AG51,IF(AND($K$27=$AI$5,$L$27="Automatic Calculation"),AE51,IF(AND($K$27=$AJ$5,$L$27="Automatic Calculation"),AD51,'User Input'!E99)))</f>
        <v>6988.8</v>
      </c>
      <c r="O36" s="614"/>
      <c r="P36" s="613"/>
      <c r="Q36" s="613"/>
      <c r="R36" s="613"/>
      <c r="S36" s="614"/>
      <c r="T36" s="231"/>
      <c r="U36" s="231"/>
      <c r="V36" s="237"/>
      <c r="W36" s="646" t="s">
        <v>115</v>
      </c>
      <c r="X36" s="647">
        <f>Z16*24*'Degree days C.F and HWS'!I21/(L$8-'Temperature Data Scotland'!F38)</f>
        <v>14.918622980487807</v>
      </c>
      <c r="Y36" s="648">
        <f>Y16*24*'Degree days C.F and HWS'!J21/(L$8-'Temperature Data Scotland'!E38)</f>
        <v>14.973004285958256</v>
      </c>
      <c r="Z36" s="648">
        <f>X16*24*'Degree days C.F and HWS'!K21/(L$8-'Temperature Data Scotland'!D38)</f>
        <v>13.597789899551568</v>
      </c>
      <c r="AA36" s="649">
        <f>X16*24*'Degree days C.F and HWS'!L21/(L$8-'Temperature Data Scotland'!D38)</f>
        <v>15.133024243049327</v>
      </c>
      <c r="AB36" s="718"/>
      <c r="AC36" s="646" t="s">
        <v>115</v>
      </c>
      <c r="AD36" s="647">
        <f t="shared" si="12"/>
        <v>10.443036086341465</v>
      </c>
      <c r="AE36" s="648">
        <f t="shared" si="12"/>
        <v>10.481103000170778</v>
      </c>
      <c r="AF36" s="648">
        <f t="shared" si="12"/>
        <v>9.5184529296860969</v>
      </c>
      <c r="AG36" s="649">
        <f t="shared" si="12"/>
        <v>10.593116970134528</v>
      </c>
      <c r="AH36" s="613"/>
      <c r="AI36" s="646" t="s">
        <v>115</v>
      </c>
      <c r="AJ36" s="727">
        <f t="shared" si="6"/>
        <v>21.466181448455288</v>
      </c>
      <c r="AK36" s="728">
        <f t="shared" si="7"/>
        <v>21.516937333561035</v>
      </c>
      <c r="AL36" s="728">
        <f t="shared" si="8"/>
        <v>20.233403906248128</v>
      </c>
      <c r="AM36" s="729">
        <f t="shared" si="9"/>
        <v>21.666289293512705</v>
      </c>
      <c r="AN36" s="614"/>
    </row>
    <row r="37" spans="1:40" ht="15.75" thickBot="1">
      <c r="A37" s="231"/>
      <c r="B37" s="612"/>
      <c r="C37" s="687" t="s">
        <v>25</v>
      </c>
      <c r="D37" s="688"/>
      <c r="E37" s="688"/>
      <c r="F37" s="688"/>
      <c r="G37" s="707"/>
      <c r="H37" s="699"/>
      <c r="I37" s="613"/>
      <c r="J37" s="613"/>
      <c r="K37" s="612"/>
      <c r="L37" s="315" t="s">
        <v>118</v>
      </c>
      <c r="M37" s="820">
        <f>IF(AND($K$27=$AH$5,$L$27="Automatic Calculation"),AH13,IF(AND($K$27=$AI$5,$L$27="Automatic Calculation"),AI13,IF(AND($K$27=$AJ$5,$L$27="Automatic Calculation"),AJ13,'User Input'!D100)))</f>
        <v>18.475463150000003</v>
      </c>
      <c r="N37" s="732">
        <f>IF(AND($K$27=$AH$5,$L$27="Automatic Calculation"),AG52,IF(AND($K$27=$AI$5,$L$27="Automatic Calculation"),AE52,IF(AND($K$27=$AJ$5,$L$27="Automatic Calculation"),AD52,'User Input'!E100)))</f>
        <v>6988.8</v>
      </c>
      <c r="O37" s="614"/>
      <c r="P37" s="613"/>
      <c r="Q37" s="613"/>
      <c r="R37" s="613"/>
      <c r="S37" s="614"/>
      <c r="T37" s="231"/>
      <c r="U37" s="231"/>
      <c r="V37" s="237"/>
      <c r="W37" s="701" t="s">
        <v>114</v>
      </c>
      <c r="X37" s="733">
        <f>Z17*24*'Degree days C.F and HWS'!I22/(L$8-'Temperature Data Scotland'!F39)</f>
        <v>18.610992216666666</v>
      </c>
      <c r="Y37" s="734">
        <f>Y17*24*'Degree days C.F and HWS'!J22/(L$8-'Temperature Data Scotland'!E39)</f>
        <v>18.903093343920801</v>
      </c>
      <c r="Z37" s="734">
        <f>X17*24*'Degree days C.F and HWS'!K22/(L$8-'Temperature Data Scotland'!D39)</f>
        <v>16.65975843070866</v>
      </c>
      <c r="AA37" s="735">
        <f>X17*24*'Degree days C.F and HWS'!L22/(L$8-'Temperature Data Scotland'!D39)</f>
        <v>18.888133762204728</v>
      </c>
      <c r="AB37" s="613"/>
      <c r="AC37" s="701" t="s">
        <v>114</v>
      </c>
      <c r="AD37" s="702">
        <f>$R$14*X37</f>
        <v>14.591017897866667</v>
      </c>
      <c r="AE37" s="703">
        <f>$R$14*Y37</f>
        <v>14.820025181633909</v>
      </c>
      <c r="AF37" s="703">
        <f>$R$14*Z37</f>
        <v>13.061250609675589</v>
      </c>
      <c r="AG37" s="704">
        <f>$R$14*AA37</f>
        <v>14.808296869568506</v>
      </c>
      <c r="AH37" s="613"/>
      <c r="AI37" s="701" t="s">
        <v>114</v>
      </c>
      <c r="AJ37" s="736">
        <f t="shared" si="6"/>
        <v>26.996823863822225</v>
      </c>
      <c r="AK37" s="737">
        <f t="shared" si="7"/>
        <v>27.302166908845212</v>
      </c>
      <c r="AL37" s="737">
        <f t="shared" si="8"/>
        <v>24.957134146234115</v>
      </c>
      <c r="AM37" s="738">
        <f t="shared" si="9"/>
        <v>27.286529159424678</v>
      </c>
      <c r="AN37" s="614"/>
    </row>
    <row r="38" spans="1:40" ht="15">
      <c r="A38" s="231"/>
      <c r="B38" s="612"/>
      <c r="C38" s="593" t="s">
        <v>26</v>
      </c>
      <c r="D38" s="594"/>
      <c r="E38" s="671"/>
      <c r="F38" s="586"/>
      <c r="G38" s="619"/>
      <c r="H38" s="699"/>
      <c r="I38" s="613"/>
      <c r="J38" s="613"/>
      <c r="K38" s="612"/>
      <c r="L38" s="315" t="s">
        <v>117</v>
      </c>
      <c r="M38" s="820">
        <f>IF(AND($K$27=$AH$5,$L$27="Automatic Calculation"),AH14,IF(AND($K$27=$AI$5,$L$27="Automatic Calculation"),AI14,IF(AND($K$27=$AJ$5,$L$27="Automatic Calculation"),AJ14,'User Input'!D101)))</f>
        <v>20.786033750000001</v>
      </c>
      <c r="N38" s="732">
        <f>IF(AND($K$27=$AH$5,$L$27="Automatic Calculation"),AG53,IF(AND($K$27=$AI$5,$L$27="Automatic Calculation"),AE53,IF(AND($K$27=$AJ$5,$L$27="Automatic Calculation"),AD53,'User Input'!E101)))</f>
        <v>10728.371978234236</v>
      </c>
      <c r="O38" s="614"/>
      <c r="P38" s="613"/>
      <c r="Q38" s="613"/>
      <c r="R38" s="613"/>
      <c r="S38" s="614"/>
      <c r="T38" s="231"/>
      <c r="U38" s="231"/>
      <c r="V38" s="237"/>
      <c r="W38" s="613"/>
      <c r="X38" s="613"/>
      <c r="Y38" s="613"/>
      <c r="Z38" s="613"/>
      <c r="AA38" s="613"/>
      <c r="AB38" s="613"/>
      <c r="AC38" s="613"/>
      <c r="AD38" s="613"/>
      <c r="AE38" s="613"/>
      <c r="AF38" s="613"/>
      <c r="AG38" s="613"/>
      <c r="AH38" s="613"/>
      <c r="AI38" s="613"/>
      <c r="AJ38" s="613"/>
      <c r="AK38" s="613"/>
      <c r="AL38" s="613"/>
      <c r="AM38" s="613"/>
      <c r="AN38" s="614"/>
    </row>
    <row r="39" spans="1:40" ht="15.75" thickBot="1">
      <c r="A39" s="231"/>
      <c r="B39" s="612"/>
      <c r="C39" s="739" t="s">
        <v>21</v>
      </c>
      <c r="D39" s="740"/>
      <c r="E39" s="741">
        <f>D8*D9+E38</f>
        <v>800</v>
      </c>
      <c r="F39" s="937">
        <v>0.2</v>
      </c>
      <c r="G39" s="742">
        <f>E39*F39/G10</f>
        <v>0.2</v>
      </c>
      <c r="H39" s="699"/>
      <c r="I39" s="613"/>
      <c r="J39" s="613"/>
      <c r="K39" s="612"/>
      <c r="L39" s="315" t="s">
        <v>116</v>
      </c>
      <c r="M39" s="820">
        <f>IF(AND($K$27=$AH$5,$L$27="Automatic Calculation"),AH15,IF(AND($K$27=$AI$5,$L$27="Automatic Calculation"),AI15,IF(AND($K$27=$AJ$5,$L$27="Automatic Calculation"),AJ15,'User Input'!D102)))</f>
        <v>25.487776250000003</v>
      </c>
      <c r="N39" s="732">
        <f>IF(AND($K$27=$AH$5,$L$27="Automatic Calculation"),AG54,IF(AND($K$27=$AI$5,$L$27="Automatic Calculation"),AE54,IF(AND($K$27=$AJ$5,$L$27="Automatic Calculation"),AD54,'User Input'!E102)))</f>
        <v>13884.22588454902</v>
      </c>
      <c r="O39" s="614"/>
      <c r="P39" s="613"/>
      <c r="Q39" s="613"/>
      <c r="R39" s="613"/>
      <c r="S39" s="614"/>
      <c r="T39" s="231"/>
      <c r="U39" s="231"/>
      <c r="V39" s="237"/>
      <c r="W39" s="613"/>
      <c r="X39" s="613"/>
      <c r="Y39" s="613"/>
      <c r="Z39" s="613"/>
      <c r="AA39" s="613"/>
      <c r="AB39" s="613"/>
      <c r="AC39" s="613"/>
      <c r="AD39" s="613"/>
      <c r="AE39" s="613"/>
      <c r="AF39" s="613"/>
      <c r="AG39" s="613"/>
      <c r="AH39" s="613"/>
      <c r="AI39" s="613"/>
      <c r="AJ39" s="613"/>
      <c r="AK39" s="613"/>
      <c r="AL39" s="613"/>
      <c r="AM39" s="613"/>
      <c r="AN39" s="614"/>
    </row>
    <row r="40" spans="1:40" ht="15">
      <c r="A40" s="231"/>
      <c r="B40" s="612"/>
      <c r="C40" s="675"/>
      <c r="D40" s="675"/>
      <c r="E40" s="675"/>
      <c r="F40" s="675"/>
      <c r="G40" s="705"/>
      <c r="H40" s="695"/>
      <c r="I40" s="613"/>
      <c r="J40" s="613"/>
      <c r="K40" s="612"/>
      <c r="L40" s="315" t="s">
        <v>115</v>
      </c>
      <c r="M40" s="820">
        <f>IF(AND($K$27=$AH$5,$L$27="Automatic Calculation"),AH16,IF(AND($K$27=$AI$5,$L$27="Automatic Calculation"),AI16,IF(AND($K$27=$AJ$5,$L$27="Automatic Calculation"),AJ16,'User Input'!D103)))</f>
        <v>29.598442549999998</v>
      </c>
      <c r="N40" s="732">
        <f>IF(AND($K$27=$AH$5,$L$27="Automatic Calculation"),AG55,IF(AND($K$27=$AI$5,$L$27="Automatic Calculation"),AE55,IF(AND($K$27=$AJ$5,$L$27="Automatic Calculation"),AD55,'User Input'!E103)))</f>
        <v>17213.549866848829</v>
      </c>
      <c r="O40" s="614"/>
      <c r="P40" s="613"/>
      <c r="Q40" s="613"/>
      <c r="R40" s="613"/>
      <c r="S40" s="614"/>
      <c r="T40" s="231"/>
      <c r="U40" s="231"/>
      <c r="V40" s="237"/>
      <c r="W40" s="613"/>
      <c r="X40" s="613"/>
      <c r="Y40" s="613"/>
      <c r="Z40" s="613"/>
      <c r="AA40" s="613"/>
      <c r="AB40" s="613"/>
      <c r="AC40" s="613"/>
      <c r="AD40" s="613"/>
      <c r="AE40" s="613"/>
      <c r="AF40" s="613"/>
      <c r="AG40" s="613"/>
      <c r="AH40" s="613"/>
      <c r="AI40" s="613"/>
      <c r="AJ40" s="613"/>
      <c r="AK40" s="613"/>
      <c r="AL40" s="613"/>
      <c r="AM40" s="613"/>
      <c r="AN40" s="614"/>
    </row>
    <row r="41" spans="1:40" ht="15.75" thickBot="1">
      <c r="A41" s="231"/>
      <c r="B41" s="612"/>
      <c r="C41" s="675"/>
      <c r="D41" s="675"/>
      <c r="E41" s="706" t="s">
        <v>13</v>
      </c>
      <c r="F41" s="706" t="s">
        <v>14</v>
      </c>
      <c r="G41" s="706" t="s">
        <v>402</v>
      </c>
      <c r="H41" s="695"/>
      <c r="I41" s="613"/>
      <c r="J41" s="613"/>
      <c r="K41" s="612"/>
      <c r="L41" s="672" t="s">
        <v>114</v>
      </c>
      <c r="M41" s="821">
        <f>IF(AND($K$27=$AH$5,$L$27="Automatic Calculation"),AH17,IF(AND($K$27=$AI$5,$L$27="Automatic Calculation"),AI17,IF(AND($K$27=$AJ$5,$L$27="Automatic Calculation"),AJ17,'User Input'!D104)))</f>
        <v>32.446355149999995</v>
      </c>
      <c r="N41" s="743">
        <f>IF(AND($K$27=$AH$5,$L$27="Automatic Calculation"),AG56,IF(AND($K$27=$AI$5,$L$27="Automatic Calculation"),AE56,IF(AND($K$27=$AJ$5,$L$27="Automatic Calculation"),AD56,'User Input'!E104)))</f>
        <v>21841.733527076169</v>
      </c>
      <c r="O41" s="1021"/>
      <c r="P41" s="613"/>
      <c r="Q41" s="613"/>
      <c r="R41" s="613"/>
      <c r="S41" s="614"/>
      <c r="T41" s="231"/>
      <c r="U41" s="231"/>
      <c r="V41" s="237"/>
      <c r="W41" s="613"/>
      <c r="X41" s="613"/>
      <c r="Y41" s="613"/>
      <c r="Z41" s="613"/>
      <c r="AA41" s="613"/>
      <c r="AB41" s="613"/>
      <c r="AC41" s="613"/>
      <c r="AD41" s="613"/>
      <c r="AE41" s="613"/>
      <c r="AF41" s="613"/>
      <c r="AG41" s="613"/>
      <c r="AH41" s="613"/>
      <c r="AI41" s="613"/>
      <c r="AJ41" s="613"/>
      <c r="AK41" s="613"/>
      <c r="AL41" s="613"/>
      <c r="AM41" s="613"/>
      <c r="AN41" s="614"/>
    </row>
    <row r="42" spans="1:40" ht="15" thickBot="1">
      <c r="A42" s="231"/>
      <c r="B42" s="612"/>
      <c r="C42" s="687" t="s">
        <v>27</v>
      </c>
      <c r="D42" s="688"/>
      <c r="E42" s="688"/>
      <c r="F42" s="688"/>
      <c r="G42" s="707"/>
      <c r="H42" s="695"/>
      <c r="I42" s="613"/>
      <c r="J42" s="613"/>
      <c r="K42" s="629"/>
      <c r="L42" s="630"/>
      <c r="M42" s="630"/>
      <c r="N42" s="630"/>
      <c r="O42" s="1022"/>
      <c r="P42" s="613"/>
      <c r="Q42" s="613"/>
      <c r="R42" s="613"/>
      <c r="S42" s="614"/>
      <c r="T42" s="231"/>
      <c r="U42" s="231"/>
      <c r="V42" s="237"/>
      <c r="W42" s="613"/>
      <c r="X42" s="613"/>
      <c r="Y42" s="613"/>
      <c r="Z42" s="613"/>
      <c r="AA42" s="613"/>
      <c r="AB42" s="613"/>
      <c r="AC42" s="613"/>
      <c r="AD42" s="613"/>
      <c r="AE42" s="613"/>
      <c r="AF42" s="613"/>
      <c r="AG42" s="613"/>
      <c r="AH42" s="613"/>
      <c r="AI42" s="613"/>
      <c r="AJ42" s="613"/>
      <c r="AK42" s="613"/>
      <c r="AL42" s="613"/>
      <c r="AM42" s="613"/>
      <c r="AN42" s="614"/>
    </row>
    <row r="43" spans="1:40" ht="15">
      <c r="A43" s="231"/>
      <c r="B43" s="612"/>
      <c r="C43" s="593" t="s">
        <v>26</v>
      </c>
      <c r="D43" s="594"/>
      <c r="E43" s="744"/>
      <c r="F43" s="594"/>
      <c r="G43" s="694"/>
      <c r="H43" s="695"/>
      <c r="I43" s="613"/>
      <c r="J43" s="613"/>
      <c r="K43" s="1017"/>
      <c r="L43" s="1017"/>
      <c r="M43" s="613"/>
      <c r="N43" s="613"/>
      <c r="O43" s="613"/>
      <c r="P43" s="613"/>
      <c r="Q43" s="613"/>
      <c r="R43" s="613"/>
      <c r="S43" s="614"/>
      <c r="T43" s="231"/>
      <c r="U43" s="231"/>
      <c r="V43" s="237"/>
      <c r="W43" s="714" t="s">
        <v>295</v>
      </c>
      <c r="X43" s="715"/>
      <c r="Y43" s="715"/>
      <c r="Z43" s="715"/>
      <c r="AA43" s="716"/>
      <c r="AB43" s="613"/>
      <c r="AC43" s="714" t="s">
        <v>360</v>
      </c>
      <c r="AD43" s="715"/>
      <c r="AE43" s="715"/>
      <c r="AF43" s="715"/>
      <c r="AG43" s="716"/>
      <c r="AH43" s="613"/>
      <c r="AI43" s="613"/>
      <c r="AJ43" s="613"/>
      <c r="AK43" s="613"/>
      <c r="AL43" s="613"/>
      <c r="AM43" s="613"/>
      <c r="AN43" s="614"/>
    </row>
    <row r="44" spans="1:40" ht="15.75" thickBot="1">
      <c r="A44" s="231"/>
      <c r="B44" s="612"/>
      <c r="C44" s="739" t="s">
        <v>21</v>
      </c>
      <c r="D44" s="740"/>
      <c r="E44" s="741">
        <f>D8*D9+E43</f>
        <v>800</v>
      </c>
      <c r="F44" s="937">
        <v>0.45</v>
      </c>
      <c r="G44" s="742">
        <f>E44*F44/G10</f>
        <v>0.45</v>
      </c>
      <c r="H44" s="699"/>
      <c r="I44" s="613"/>
      <c r="J44" s="613"/>
      <c r="K44" s="1018"/>
      <c r="L44" s="1018"/>
      <c r="M44" s="613"/>
      <c r="N44" s="613"/>
      <c r="O44" s="613"/>
      <c r="P44" s="613"/>
      <c r="Q44" s="613"/>
      <c r="R44" s="613"/>
      <c r="S44" s="614"/>
      <c r="T44" s="231"/>
      <c r="U44" s="231"/>
      <c r="V44" s="237"/>
      <c r="W44" s="638"/>
      <c r="X44" s="643" t="s">
        <v>128</v>
      </c>
      <c r="Y44" s="643" t="s">
        <v>127</v>
      </c>
      <c r="Z44" s="643" t="s">
        <v>126</v>
      </c>
      <c r="AA44" s="644" t="s">
        <v>125</v>
      </c>
      <c r="AB44" s="613"/>
      <c r="AC44" s="638"/>
      <c r="AD44" s="643" t="s">
        <v>128</v>
      </c>
      <c r="AE44" s="643" t="s">
        <v>127</v>
      </c>
      <c r="AF44" s="643" t="s">
        <v>126</v>
      </c>
      <c r="AG44" s="644" t="s">
        <v>125</v>
      </c>
      <c r="AH44" s="613"/>
      <c r="AI44" s="613"/>
      <c r="AJ44" s="613"/>
      <c r="AK44" s="613"/>
      <c r="AL44" s="613"/>
      <c r="AM44" s="613"/>
      <c r="AN44" s="614"/>
    </row>
    <row r="45" spans="1:40" ht="15" thickBot="1">
      <c r="A45" s="231"/>
      <c r="B45" s="612"/>
      <c r="C45" s="675"/>
      <c r="D45" s="675"/>
      <c r="E45" s="675"/>
      <c r="F45" s="675"/>
      <c r="G45" s="705"/>
      <c r="H45" s="695"/>
      <c r="I45" s="613"/>
      <c r="J45" s="613"/>
      <c r="K45" s="613"/>
      <c r="L45" s="613"/>
      <c r="M45" s="613"/>
      <c r="N45" s="613"/>
      <c r="O45" s="613"/>
      <c r="P45" s="613"/>
      <c r="Q45" s="613"/>
      <c r="R45" s="613"/>
      <c r="S45" s="614"/>
      <c r="T45" s="231"/>
      <c r="U45" s="231"/>
      <c r="V45" s="237"/>
      <c r="W45" s="646" t="s">
        <v>124</v>
      </c>
      <c r="X45" s="650">
        <f t="shared" ref="X45:X56" si="13">AD26*$G$10</f>
        <v>11405.36805763765</v>
      </c>
      <c r="Y45" s="651">
        <f t="shared" ref="Y45:Y56" si="14">AE26*$G$10</f>
        <v>11676.021852216827</v>
      </c>
      <c r="Z45" s="651">
        <f t="shared" ref="Z45:Z56" si="15">AF26*$G$10</f>
        <v>10593.607803595936</v>
      </c>
      <c r="AA45" s="652">
        <f t="shared" ref="AA45:AA56" si="16">AG26*$G$10</f>
        <v>11659.631230372885</v>
      </c>
      <c r="AB45" s="613"/>
      <c r="AC45" s="646" t="s">
        <v>124</v>
      </c>
      <c r="AD45" s="721">
        <f>IF((AD26*$G$10-$O$22)/$Q$8&gt;0,(AD26*$G$10+$G$54*$G$10-$O$22)/$Q$8,($G$54*$G$10))</f>
        <v>21240.864076850197</v>
      </c>
      <c r="AE45" s="722">
        <f>IF((AE26*$G$10-$O$22)/$Q$8&gt;0,(AE26*$G$10+$G$54*$G$10-$O$22)/$Q$8,($G$54*$G$10))</f>
        <v>21601.735802955769</v>
      </c>
      <c r="AF45" s="722">
        <f>IF((AF26*$G$10-$O$22)/$Q$8&gt;0,(AF26*$G$10+$G$54*$G$10-$O$22)/$Q$8,($G$54*$G$10))</f>
        <v>20158.517071461247</v>
      </c>
      <c r="AG45" s="723">
        <f>IF((AG26*$G$10-$O$22)/$Q$8&gt;0,(AG26*$G$10+$G$54*$G$10-$O$22)/$Q$8,($G$54*$G$10))</f>
        <v>21579.881640497177</v>
      </c>
      <c r="AH45" s="613"/>
      <c r="AI45" s="613"/>
      <c r="AJ45" s="613"/>
      <c r="AK45" s="613"/>
      <c r="AL45" s="613"/>
      <c r="AM45" s="613"/>
      <c r="AN45" s="614"/>
    </row>
    <row r="46" spans="1:40" ht="15" thickBot="1">
      <c r="A46" s="231"/>
      <c r="B46" s="612"/>
      <c r="C46" s="687" t="s">
        <v>113</v>
      </c>
      <c r="D46" s="688"/>
      <c r="E46" s="688"/>
      <c r="F46" s="688"/>
      <c r="G46" s="707"/>
      <c r="H46" s="695"/>
      <c r="I46" s="613"/>
      <c r="J46" s="613"/>
      <c r="K46" s="613"/>
      <c r="L46" s="613"/>
      <c r="M46" s="613"/>
      <c r="N46" s="613"/>
      <c r="O46" s="613"/>
      <c r="P46" s="613"/>
      <c r="Q46" s="613"/>
      <c r="R46" s="613"/>
      <c r="S46" s="614"/>
      <c r="T46" s="231"/>
      <c r="U46" s="231"/>
      <c r="V46" s="237"/>
      <c r="W46" s="661" t="s">
        <v>123</v>
      </c>
      <c r="X46" s="647">
        <f t="shared" si="13"/>
        <v>10209.18076917018</v>
      </c>
      <c r="Y46" s="648">
        <f t="shared" si="14"/>
        <v>10293.772636318396</v>
      </c>
      <c r="Z46" s="648">
        <f t="shared" si="15"/>
        <v>9807.48064207059</v>
      </c>
      <c r="AA46" s="649">
        <f t="shared" si="16"/>
        <v>10505.64028099765</v>
      </c>
      <c r="AB46" s="613"/>
      <c r="AC46" s="661" t="s">
        <v>123</v>
      </c>
      <c r="AD46" s="721">
        <f t="shared" ref="AD46:AG56" si="17">IF((AD27*$G$10-$O$22)/$Q$8&gt;0,(AD27*$G$10+$G$54*$G$10-$O$22)/$Q$8,($G$54*$G$10))</f>
        <v>19645.947692226906</v>
      </c>
      <c r="AE46" s="722">
        <f t="shared" si="17"/>
        <v>19758.736848424527</v>
      </c>
      <c r="AF46" s="722">
        <f t="shared" si="17"/>
        <v>19110.347522760785</v>
      </c>
      <c r="AG46" s="723">
        <f t="shared" si="17"/>
        <v>20041.227041330199</v>
      </c>
      <c r="AH46" s="613"/>
      <c r="AI46" s="613"/>
      <c r="AJ46" s="613"/>
      <c r="AK46" s="613"/>
      <c r="AL46" s="613"/>
      <c r="AM46" s="613"/>
      <c r="AN46" s="614"/>
    </row>
    <row r="47" spans="1:40" ht="15.75" thickBot="1">
      <c r="A47" s="231"/>
      <c r="B47" s="612"/>
      <c r="C47" s="267"/>
      <c r="D47" s="268"/>
      <c r="E47" s="587"/>
      <c r="F47" s="587"/>
      <c r="G47" s="742">
        <f>(F8*D11)/(3*G10)</f>
        <v>1</v>
      </c>
      <c r="H47" s="699"/>
      <c r="I47" s="613"/>
      <c r="J47" s="613"/>
      <c r="K47" s="613"/>
      <c r="L47" s="613"/>
      <c r="M47" s="613"/>
      <c r="N47" s="613"/>
      <c r="O47" s="613"/>
      <c r="P47" s="613"/>
      <c r="Q47" s="613"/>
      <c r="R47" s="613"/>
      <c r="S47" s="614"/>
      <c r="T47" s="231"/>
      <c r="U47" s="231"/>
      <c r="V47" s="237"/>
      <c r="W47" s="646" t="s">
        <v>122</v>
      </c>
      <c r="X47" s="647">
        <f t="shared" si="13"/>
        <v>8970.7907280456275</v>
      </c>
      <c r="Y47" s="648">
        <f t="shared" si="14"/>
        <v>8972.4416531263523</v>
      </c>
      <c r="Z47" s="648">
        <f t="shared" si="15"/>
        <v>9087.7599169411769</v>
      </c>
      <c r="AA47" s="649">
        <f t="shared" si="16"/>
        <v>9238.719384</v>
      </c>
      <c r="AB47" s="613"/>
      <c r="AC47" s="646" t="s">
        <v>122</v>
      </c>
      <c r="AD47" s="721">
        <f t="shared" si="17"/>
        <v>17994.760970727501</v>
      </c>
      <c r="AE47" s="722">
        <f t="shared" si="17"/>
        <v>17996.962204168467</v>
      </c>
      <c r="AF47" s="722">
        <f t="shared" si="17"/>
        <v>18150.719889254902</v>
      </c>
      <c r="AG47" s="723">
        <f t="shared" si="17"/>
        <v>18351.999178666665</v>
      </c>
      <c r="AH47" s="613"/>
      <c r="AI47" s="613"/>
      <c r="AJ47" s="613"/>
      <c r="AK47" s="613"/>
      <c r="AL47" s="613"/>
      <c r="AM47" s="613"/>
      <c r="AN47" s="614"/>
    </row>
    <row r="48" spans="1:40" ht="15" thickBot="1">
      <c r="A48" s="231"/>
      <c r="B48" s="629"/>
      <c r="C48" s="630"/>
      <c r="D48" s="630"/>
      <c r="E48" s="630"/>
      <c r="F48" s="630"/>
      <c r="G48" s="630"/>
      <c r="H48" s="745"/>
      <c r="I48" s="613"/>
      <c r="J48" s="613"/>
      <c r="K48" s="613"/>
      <c r="L48" s="613"/>
      <c r="M48" s="613"/>
      <c r="N48" s="613"/>
      <c r="O48" s="613"/>
      <c r="P48" s="613"/>
      <c r="Q48" s="613"/>
      <c r="R48" s="613"/>
      <c r="S48" s="614"/>
      <c r="T48" s="231"/>
      <c r="U48" s="231"/>
      <c r="V48" s="237"/>
      <c r="W48" s="661" t="s">
        <v>121</v>
      </c>
      <c r="X48" s="647">
        <f t="shared" si="13"/>
        <v>7209.1847640347323</v>
      </c>
      <c r="Y48" s="648">
        <f t="shared" si="14"/>
        <v>7453.0822022479351</v>
      </c>
      <c r="Z48" s="648">
        <f t="shared" si="15"/>
        <v>7562.4282985263153</v>
      </c>
      <c r="AA48" s="649">
        <f t="shared" si="16"/>
        <v>7749.926520803825</v>
      </c>
      <c r="AB48" s="613"/>
      <c r="AC48" s="661" t="s">
        <v>121</v>
      </c>
      <c r="AD48" s="721">
        <f t="shared" si="17"/>
        <v>15645.953018712977</v>
      </c>
      <c r="AE48" s="722">
        <f t="shared" si="17"/>
        <v>15971.149602997248</v>
      </c>
      <c r="AF48" s="722">
        <f t="shared" si="17"/>
        <v>16116.944398035086</v>
      </c>
      <c r="AG48" s="723">
        <f t="shared" si="17"/>
        <v>16366.942027738434</v>
      </c>
      <c r="AH48" s="613"/>
      <c r="AI48" s="613"/>
      <c r="AJ48" s="613"/>
      <c r="AK48" s="613"/>
      <c r="AL48" s="613"/>
      <c r="AM48" s="613"/>
      <c r="AN48" s="614"/>
    </row>
    <row r="49" spans="1:40" ht="15" thickBot="1">
      <c r="A49" s="231"/>
      <c r="B49" s="612"/>
      <c r="C49" s="746" t="s">
        <v>286</v>
      </c>
      <c r="D49" s="613"/>
      <c r="E49" s="613"/>
      <c r="F49" s="613"/>
      <c r="G49" s="613"/>
      <c r="H49" s="613"/>
      <c r="I49" s="613"/>
      <c r="J49" s="613"/>
      <c r="K49" s="613"/>
      <c r="L49" s="613"/>
      <c r="M49" s="613"/>
      <c r="N49" s="613"/>
      <c r="O49" s="613"/>
      <c r="P49" s="613"/>
      <c r="Q49" s="613"/>
      <c r="R49" s="613"/>
      <c r="S49" s="614"/>
      <c r="T49" s="231"/>
      <c r="U49" s="231"/>
      <c r="V49" s="237"/>
      <c r="W49" s="646" t="s">
        <v>105</v>
      </c>
      <c r="X49" s="647">
        <f t="shared" si="13"/>
        <v>5258.5027141586143</v>
      </c>
      <c r="Y49" s="648">
        <f t="shared" si="14"/>
        <v>5815.7322590769218</v>
      </c>
      <c r="Z49" s="648">
        <f t="shared" si="15"/>
        <v>6434.2102903448276</v>
      </c>
      <c r="AA49" s="649">
        <f t="shared" si="16"/>
        <v>6038.2588878620691</v>
      </c>
      <c r="AB49" s="613"/>
      <c r="AC49" s="646" t="s">
        <v>105</v>
      </c>
      <c r="AD49" s="721">
        <f t="shared" si="17"/>
        <v>13045.043618878151</v>
      </c>
      <c r="AE49" s="722">
        <f t="shared" si="17"/>
        <v>13788.016345435894</v>
      </c>
      <c r="AF49" s="722">
        <f t="shared" si="17"/>
        <v>14612.65372045977</v>
      </c>
      <c r="AG49" s="723">
        <f t="shared" si="17"/>
        <v>14084.718517149426</v>
      </c>
      <c r="AH49" s="613"/>
      <c r="AI49" s="613"/>
      <c r="AJ49" s="613"/>
      <c r="AK49" s="613"/>
      <c r="AL49" s="613"/>
      <c r="AM49" s="613"/>
      <c r="AN49" s="614"/>
    </row>
    <row r="50" spans="1:40" ht="15" thickBot="1">
      <c r="A50" s="231"/>
      <c r="B50" s="609"/>
      <c r="C50" s="747"/>
      <c r="D50" s="610"/>
      <c r="E50" s="610"/>
      <c r="F50" s="610"/>
      <c r="G50" s="611"/>
      <c r="H50" s="613"/>
      <c r="I50" s="613"/>
      <c r="J50" s="613"/>
      <c r="K50" s="613"/>
      <c r="L50" s="613"/>
      <c r="M50" s="613"/>
      <c r="N50" s="613"/>
      <c r="O50" s="613"/>
      <c r="P50" s="613"/>
      <c r="Q50" s="613"/>
      <c r="R50" s="613"/>
      <c r="S50" s="614"/>
      <c r="T50" s="231"/>
      <c r="U50" s="231"/>
      <c r="V50" s="237"/>
      <c r="W50" s="661" t="s">
        <v>120</v>
      </c>
      <c r="X50" s="647">
        <f t="shared" si="13"/>
        <v>2523.9435973608247</v>
      </c>
      <c r="Y50" s="648">
        <f t="shared" si="14"/>
        <v>2705.0792457693815</v>
      </c>
      <c r="Z50" s="648">
        <f t="shared" si="15"/>
        <v>3400.6487739595136</v>
      </c>
      <c r="AA50" s="649">
        <f t="shared" si="16"/>
        <v>2947.2289374315787</v>
      </c>
      <c r="AB50" s="613"/>
      <c r="AC50" s="661" t="s">
        <v>120</v>
      </c>
      <c r="AD50" s="721">
        <f t="shared" si="17"/>
        <v>9398.9647964810993</v>
      </c>
      <c r="AE50" s="722">
        <f t="shared" si="17"/>
        <v>9640.478994359175</v>
      </c>
      <c r="AF50" s="722">
        <f t="shared" si="17"/>
        <v>10567.905031946017</v>
      </c>
      <c r="AG50" s="723">
        <f t="shared" si="17"/>
        <v>9963.3452499087725</v>
      </c>
      <c r="AH50" s="613"/>
      <c r="AI50" s="613"/>
      <c r="AJ50" s="613"/>
      <c r="AK50" s="613"/>
      <c r="AL50" s="613"/>
      <c r="AM50" s="613"/>
      <c r="AN50" s="614"/>
    </row>
    <row r="51" spans="1:40" ht="15" thickBot="1">
      <c r="A51" s="231"/>
      <c r="B51" s="748"/>
      <c r="C51" s="620" t="s">
        <v>417</v>
      </c>
      <c r="D51" s="688"/>
      <c r="E51" s="688"/>
      <c r="F51" s="688" t="s">
        <v>287</v>
      </c>
      <c r="G51" s="749" t="s">
        <v>288</v>
      </c>
      <c r="H51" s="613"/>
      <c r="I51" s="613"/>
      <c r="J51" s="613"/>
      <c r="K51" s="613"/>
      <c r="L51" s="613"/>
      <c r="M51" s="613"/>
      <c r="N51" s="613"/>
      <c r="O51" s="613"/>
      <c r="P51" s="613"/>
      <c r="Q51" s="613"/>
      <c r="R51" s="613"/>
      <c r="S51" s="614"/>
      <c r="T51" s="231"/>
      <c r="U51" s="231"/>
      <c r="V51" s="237"/>
      <c r="W51" s="646" t="s">
        <v>119</v>
      </c>
      <c r="X51" s="647">
        <f t="shared" si="13"/>
        <v>1650.6380399323943</v>
      </c>
      <c r="Y51" s="648">
        <f t="shared" si="14"/>
        <v>1776.8713747639299</v>
      </c>
      <c r="Z51" s="648">
        <f t="shared" si="15"/>
        <v>2408.8059903569156</v>
      </c>
      <c r="AA51" s="649">
        <f t="shared" si="16"/>
        <v>1829.4729040685436</v>
      </c>
      <c r="AB51" s="613"/>
      <c r="AC51" s="646" t="s">
        <v>119</v>
      </c>
      <c r="AD51" s="721">
        <f t="shared" si="17"/>
        <v>6988.8</v>
      </c>
      <c r="AE51" s="722">
        <f t="shared" si="17"/>
        <v>6988.8</v>
      </c>
      <c r="AF51" s="722">
        <f t="shared" si="17"/>
        <v>6988.8</v>
      </c>
      <c r="AG51" s="723">
        <f t="shared" si="17"/>
        <v>6988.8</v>
      </c>
      <c r="AH51" s="613"/>
      <c r="AI51" s="613"/>
      <c r="AJ51" s="613"/>
      <c r="AK51" s="613"/>
      <c r="AL51" s="613"/>
      <c r="AM51" s="613"/>
      <c r="AN51" s="614"/>
    </row>
    <row r="52" spans="1:40" ht="15" thickBot="1">
      <c r="A52" s="231"/>
      <c r="B52" s="748"/>
      <c r="C52" s="593" t="s">
        <v>289</v>
      </c>
      <c r="D52" s="594"/>
      <c r="E52" s="750">
        <v>52</v>
      </c>
      <c r="F52" s="594"/>
      <c r="G52" s="595"/>
      <c r="H52" s="613"/>
      <c r="I52" s="613"/>
      <c r="J52" s="613"/>
      <c r="K52" s="613"/>
      <c r="L52" s="613"/>
      <c r="M52" s="613"/>
      <c r="N52" s="613"/>
      <c r="O52" s="613"/>
      <c r="P52" s="613"/>
      <c r="Q52" s="613"/>
      <c r="R52" s="613"/>
      <c r="S52" s="614"/>
      <c r="T52" s="231"/>
      <c r="U52" s="231"/>
      <c r="V52" s="237"/>
      <c r="W52" s="661" t="s">
        <v>118</v>
      </c>
      <c r="X52" s="647">
        <f t="shared" si="13"/>
        <v>1747.7343952225351</v>
      </c>
      <c r="Y52" s="648">
        <f t="shared" si="14"/>
        <v>1766.7012729370513</v>
      </c>
      <c r="Z52" s="648">
        <f t="shared" si="15"/>
        <v>2101.7983081846155</v>
      </c>
      <c r="AA52" s="649">
        <f t="shared" si="16"/>
        <v>1858.1115478153847</v>
      </c>
      <c r="AB52" s="613"/>
      <c r="AC52" s="661" t="s">
        <v>118</v>
      </c>
      <c r="AD52" s="721">
        <f t="shared" si="17"/>
        <v>6988.8</v>
      </c>
      <c r="AE52" s="722">
        <f t="shared" si="17"/>
        <v>6988.8</v>
      </c>
      <c r="AF52" s="722">
        <f t="shared" si="17"/>
        <v>6988.8</v>
      </c>
      <c r="AG52" s="723">
        <f t="shared" si="17"/>
        <v>6988.8</v>
      </c>
      <c r="AH52" s="613"/>
      <c r="AI52" s="613"/>
      <c r="AJ52" s="613"/>
      <c r="AK52" s="613"/>
      <c r="AL52" s="613"/>
      <c r="AM52" s="613"/>
      <c r="AN52" s="614"/>
    </row>
    <row r="53" spans="1:40" ht="15.75" thickBot="1">
      <c r="A53" s="231"/>
      <c r="B53" s="748"/>
      <c r="C53" s="593" t="s">
        <v>290</v>
      </c>
      <c r="D53" s="594"/>
      <c r="E53" s="751">
        <v>7</v>
      </c>
      <c r="F53" s="752" t="b">
        <f>IF(E54="Warehouses",'Degree days C.F and HWS'!E44,IF('Heat Demand Model'!E54="Residential",'Degree days C.F and HWS'!E45,IF('Heat Demand Model'!E54="Hotels",'Degree days C.F and HWS'!E46,IF('Heat Demand Model'!E54="Hospitals",'Degree days C.F and HWS'!E47,IF('Heat Demand Model'!E54="Education",'Degree days C.F and HWS'!E48)))))</f>
        <v>0</v>
      </c>
      <c r="G53" s="595"/>
      <c r="H53" s="613"/>
      <c r="I53" s="613"/>
      <c r="J53" s="613"/>
      <c r="K53" s="613"/>
      <c r="L53" s="613"/>
      <c r="M53" s="613"/>
      <c r="N53" s="613"/>
      <c r="O53" s="613"/>
      <c r="P53" s="613"/>
      <c r="Q53" s="613"/>
      <c r="R53" s="613"/>
      <c r="S53" s="614"/>
      <c r="T53" s="231"/>
      <c r="U53" s="231"/>
      <c r="V53" s="237"/>
      <c r="W53" s="646" t="s">
        <v>117</v>
      </c>
      <c r="X53" s="647">
        <f t="shared" si="13"/>
        <v>3569.6432662094353</v>
      </c>
      <c r="Y53" s="648">
        <f t="shared" si="14"/>
        <v>3520.9989836756763</v>
      </c>
      <c r="Z53" s="648">
        <f t="shared" si="15"/>
        <v>3715.9007368290149</v>
      </c>
      <c r="AA53" s="649">
        <f t="shared" si="16"/>
        <v>3751.6305516062166</v>
      </c>
      <c r="AB53" s="613"/>
      <c r="AC53" s="646" t="s">
        <v>117</v>
      </c>
      <c r="AD53" s="721">
        <f t="shared" si="17"/>
        <v>10793.231021612579</v>
      </c>
      <c r="AE53" s="722">
        <f t="shared" si="17"/>
        <v>10728.371978234236</v>
      </c>
      <c r="AF53" s="722">
        <f t="shared" si="17"/>
        <v>10988.240982438685</v>
      </c>
      <c r="AG53" s="723">
        <f t="shared" si="17"/>
        <v>11035.880735474953</v>
      </c>
      <c r="AH53" s="613"/>
      <c r="AI53" s="613"/>
      <c r="AJ53" s="613"/>
      <c r="AK53" s="613"/>
      <c r="AL53" s="613"/>
      <c r="AM53" s="613"/>
      <c r="AN53" s="614"/>
    </row>
    <row r="54" spans="1:40" ht="15" thickBot="1">
      <c r="A54" s="231"/>
      <c r="B54" s="748"/>
      <c r="C54" s="267" t="s">
        <v>291</v>
      </c>
      <c r="D54" s="268"/>
      <c r="E54" s="908" t="s">
        <v>553</v>
      </c>
      <c r="F54" s="753">
        <f>IF(E54="Office 5 or 6 day week",'Degree days C.F and HWS'!E39,IF(E54="Shop 6 day week",'Degree days C.F and HWS'!E40,IF('Heat Demand Model'!E54="Factories 5 day single shift",'Degree days C.F and HWS'!E41,IF('Heat Demand Model'!E54="Factories 6 day single shift",'Degree days C.F and HWS'!E42,IF('Heat Demand Model'!E54="Factories 7 day multiple shift",'Degree days C.F and HWS'!E43,F53)))))</f>
        <v>1</v>
      </c>
      <c r="G54" s="754">
        <f>24*E52*E53*F54/1000</f>
        <v>8.7360000000000007</v>
      </c>
      <c r="H54" s="613"/>
      <c r="I54" s="613"/>
      <c r="J54" s="613"/>
      <c r="K54" s="613"/>
      <c r="L54" s="613"/>
      <c r="M54" s="613"/>
      <c r="N54" s="613"/>
      <c r="O54" s="613"/>
      <c r="P54" s="613"/>
      <c r="Q54" s="613"/>
      <c r="R54" s="613"/>
      <c r="S54" s="614"/>
      <c r="T54" s="231"/>
      <c r="U54" s="231"/>
      <c r="V54" s="237"/>
      <c r="W54" s="661" t="s">
        <v>116</v>
      </c>
      <c r="X54" s="647">
        <f t="shared" si="13"/>
        <v>6073.3604447759189</v>
      </c>
      <c r="Y54" s="648">
        <f t="shared" si="14"/>
        <v>5887.8894134117645</v>
      </c>
      <c r="Z54" s="648">
        <f t="shared" si="15"/>
        <v>5972.6313124485987</v>
      </c>
      <c r="AA54" s="649">
        <f t="shared" si="16"/>
        <v>6199.8509819439269</v>
      </c>
      <c r="AB54" s="613"/>
      <c r="AC54" s="661" t="s">
        <v>116</v>
      </c>
      <c r="AD54" s="721">
        <f t="shared" si="17"/>
        <v>14131.52059303456</v>
      </c>
      <c r="AE54" s="722">
        <f t="shared" si="17"/>
        <v>13884.22588454902</v>
      </c>
      <c r="AF54" s="722">
        <f t="shared" si="17"/>
        <v>13997.215083264799</v>
      </c>
      <c r="AG54" s="723">
        <f t="shared" si="17"/>
        <v>14300.174642591903</v>
      </c>
      <c r="AH54" s="613"/>
      <c r="AI54" s="613"/>
      <c r="AJ54" s="613"/>
      <c r="AK54" s="613"/>
      <c r="AL54" s="613"/>
      <c r="AM54" s="613"/>
      <c r="AN54" s="614"/>
    </row>
    <row r="55" spans="1:40" ht="15.75" thickBot="1">
      <c r="A55" s="231"/>
      <c r="B55" s="612"/>
      <c r="C55" s="612"/>
      <c r="D55" s="613"/>
      <c r="E55" s="613"/>
      <c r="F55" s="238"/>
      <c r="G55" s="755"/>
      <c r="H55" s="613"/>
      <c r="I55" s="613"/>
      <c r="J55" s="613"/>
      <c r="K55" s="613"/>
      <c r="L55" s="613"/>
      <c r="M55" s="613"/>
      <c r="N55" s="613"/>
      <c r="O55" s="613"/>
      <c r="P55" s="613"/>
      <c r="Q55" s="613"/>
      <c r="R55" s="613"/>
      <c r="S55" s="614"/>
      <c r="T55" s="231"/>
      <c r="U55" s="231"/>
      <c r="V55" s="237"/>
      <c r="W55" s="646" t="s">
        <v>115</v>
      </c>
      <c r="X55" s="647">
        <f t="shared" si="13"/>
        <v>8354.4288690731719</v>
      </c>
      <c r="Y55" s="648">
        <f t="shared" si="14"/>
        <v>8384.8824001366229</v>
      </c>
      <c r="Z55" s="648">
        <f t="shared" si="15"/>
        <v>7614.7623437488774</v>
      </c>
      <c r="AA55" s="649">
        <f t="shared" si="16"/>
        <v>8474.4935761076213</v>
      </c>
      <c r="AB55" s="613"/>
      <c r="AC55" s="646" t="s">
        <v>115</v>
      </c>
      <c r="AD55" s="721">
        <f t="shared" si="17"/>
        <v>17172.945158764229</v>
      </c>
      <c r="AE55" s="722">
        <f t="shared" si="17"/>
        <v>17213.549866848829</v>
      </c>
      <c r="AF55" s="722">
        <f t="shared" si="17"/>
        <v>16186.723124998503</v>
      </c>
      <c r="AG55" s="723">
        <f t="shared" si="17"/>
        <v>17333.031434810164</v>
      </c>
      <c r="AH55" s="613"/>
      <c r="AI55" s="613"/>
      <c r="AJ55" s="613"/>
      <c r="AK55" s="613"/>
      <c r="AL55" s="613"/>
      <c r="AM55" s="613"/>
      <c r="AN55" s="614"/>
    </row>
    <row r="56" spans="1:40" ht="15.75" thickBot="1">
      <c r="A56" s="231"/>
      <c r="B56" s="612"/>
      <c r="C56" s="756" t="s">
        <v>416</v>
      </c>
      <c r="D56" s="881">
        <f>IF(AND(L27="User input",'User Input'!D7:E7="Design heat losses + HWS"),('User Input'!E30),F54*G10/1000)</f>
        <v>0.8</v>
      </c>
      <c r="E56" s="613"/>
      <c r="F56" s="613"/>
      <c r="G56" s="614"/>
      <c r="H56" s="613"/>
      <c r="I56" s="613"/>
      <c r="J56" s="613"/>
      <c r="K56" s="613"/>
      <c r="L56" s="613"/>
      <c r="M56" s="613"/>
      <c r="N56" s="613"/>
      <c r="O56" s="613"/>
      <c r="P56" s="613"/>
      <c r="Q56" s="613"/>
      <c r="R56" s="613"/>
      <c r="S56" s="614"/>
      <c r="T56" s="231"/>
      <c r="U56" s="231"/>
      <c r="V56" s="237"/>
      <c r="W56" s="701" t="s">
        <v>114</v>
      </c>
      <c r="X56" s="702">
        <f t="shared" si="13"/>
        <v>11672.814318293335</v>
      </c>
      <c r="Y56" s="703">
        <f t="shared" si="14"/>
        <v>11856.020145307128</v>
      </c>
      <c r="Z56" s="703">
        <f t="shared" si="15"/>
        <v>10449.000487740472</v>
      </c>
      <c r="AA56" s="704">
        <f t="shared" si="16"/>
        <v>11846.637495654804</v>
      </c>
      <c r="AB56" s="613"/>
      <c r="AC56" s="701" t="s">
        <v>114</v>
      </c>
      <c r="AD56" s="721">
        <f t="shared" si="17"/>
        <v>21597.459091057779</v>
      </c>
      <c r="AE56" s="722">
        <f t="shared" si="17"/>
        <v>21841.733527076169</v>
      </c>
      <c r="AF56" s="722">
        <f t="shared" si="17"/>
        <v>19965.707316987293</v>
      </c>
      <c r="AG56" s="723">
        <f t="shared" si="17"/>
        <v>21829.223327539741</v>
      </c>
      <c r="AH56" s="613"/>
      <c r="AI56" s="613"/>
      <c r="AJ56" s="613"/>
      <c r="AK56" s="613"/>
      <c r="AL56" s="613"/>
      <c r="AM56" s="613"/>
      <c r="AN56" s="614"/>
    </row>
    <row r="57" spans="1:40" ht="18" customHeight="1" thickBot="1">
      <c r="A57" s="231"/>
      <c r="B57" s="612"/>
      <c r="C57" s="757" t="s">
        <v>486</v>
      </c>
      <c r="D57" s="881">
        <f>IF(AND(L27="User input",'User Input'!D7:E7="Design heat losses + HWS"),('User Input'!I30),G54*G10)</f>
        <v>6988.8</v>
      </c>
      <c r="E57" s="613"/>
      <c r="F57" s="613"/>
      <c r="G57" s="614"/>
      <c r="H57" s="613"/>
      <c r="I57" s="613"/>
      <c r="J57" s="613"/>
      <c r="K57" s="613"/>
      <c r="L57" s="613"/>
      <c r="M57" s="613"/>
      <c r="N57" s="613"/>
      <c r="O57" s="613"/>
      <c r="P57" s="613"/>
      <c r="Q57" s="613"/>
      <c r="R57" s="613"/>
      <c r="S57" s="614"/>
      <c r="T57" s="231"/>
      <c r="U57" s="231"/>
      <c r="V57" s="237"/>
      <c r="W57" s="613"/>
      <c r="X57" s="613"/>
      <c r="Y57" s="613"/>
      <c r="Z57" s="613"/>
      <c r="AA57" s="613"/>
      <c r="AB57" s="613"/>
      <c r="AC57" s="613"/>
      <c r="AD57" s="613"/>
      <c r="AE57" s="613"/>
      <c r="AF57" s="613"/>
      <c r="AG57" s="613"/>
      <c r="AH57" s="613"/>
      <c r="AI57" s="613"/>
      <c r="AJ57" s="613"/>
      <c r="AK57" s="613"/>
      <c r="AL57" s="613"/>
      <c r="AM57" s="613"/>
      <c r="AN57" s="614"/>
    </row>
    <row r="58" spans="1:40" ht="30.75" customHeight="1" thickBot="1">
      <c r="A58" s="231"/>
      <c r="B58" s="612"/>
      <c r="C58" s="770"/>
      <c r="D58" s="758"/>
      <c r="E58" s="630"/>
      <c r="F58" s="630"/>
      <c r="G58" s="631"/>
      <c r="H58" s="613"/>
      <c r="I58" s="613"/>
      <c r="J58" s="613"/>
      <c r="K58" s="613"/>
      <c r="L58" s="613"/>
      <c r="M58" s="613"/>
      <c r="N58" s="613"/>
      <c r="O58" s="613"/>
      <c r="P58" s="613"/>
      <c r="Q58" s="613"/>
      <c r="R58" s="613"/>
      <c r="S58" s="614"/>
      <c r="T58" s="231"/>
      <c r="U58" s="231"/>
      <c r="V58" s="237"/>
      <c r="W58" s="613"/>
      <c r="X58" s="613"/>
      <c r="Y58" s="613"/>
      <c r="Z58" s="613"/>
      <c r="AA58" s="613"/>
      <c r="AB58" s="613"/>
      <c r="AC58" s="613"/>
      <c r="AD58" s="613"/>
      <c r="AE58" s="613"/>
      <c r="AF58" s="613"/>
      <c r="AG58" s="613"/>
      <c r="AH58" s="613"/>
      <c r="AI58" s="613"/>
      <c r="AJ58" s="613"/>
      <c r="AK58" s="613"/>
      <c r="AL58" s="613"/>
      <c r="AM58" s="613"/>
      <c r="AN58" s="614"/>
    </row>
    <row r="59" spans="1:40" ht="19.5" customHeight="1" thickBot="1">
      <c r="A59" s="231"/>
      <c r="B59" s="629"/>
      <c r="C59" s="630"/>
      <c r="D59" s="630"/>
      <c r="E59" s="630"/>
      <c r="F59" s="759"/>
      <c r="G59" s="760"/>
      <c r="H59" s="630"/>
      <c r="I59" s="630"/>
      <c r="J59" s="630"/>
      <c r="K59" s="630"/>
      <c r="L59" s="630"/>
      <c r="M59" s="630"/>
      <c r="N59" s="630"/>
      <c r="O59" s="630"/>
      <c r="P59" s="630"/>
      <c r="Q59" s="630"/>
      <c r="R59" s="630"/>
      <c r="S59" s="631"/>
      <c r="T59" s="231"/>
      <c r="U59" s="231"/>
      <c r="V59" s="237"/>
      <c r="W59" s="613"/>
      <c r="X59" s="613"/>
      <c r="Y59" s="613"/>
      <c r="Z59" s="613"/>
      <c r="AA59" s="613"/>
      <c r="AB59" s="613"/>
      <c r="AC59" s="613"/>
      <c r="AD59" s="613"/>
      <c r="AE59" s="613"/>
      <c r="AF59" s="613"/>
      <c r="AG59" s="613"/>
      <c r="AH59" s="613"/>
      <c r="AI59" s="613"/>
      <c r="AJ59" s="613"/>
      <c r="AK59" s="613"/>
      <c r="AL59" s="613"/>
      <c r="AM59" s="613"/>
      <c r="AN59" s="614"/>
    </row>
    <row r="60" spans="1:40">
      <c r="A60" s="231"/>
      <c r="B60" s="231"/>
      <c r="C60" s="231"/>
      <c r="D60" s="231"/>
      <c r="E60" s="231"/>
      <c r="F60" s="761"/>
      <c r="G60" s="231"/>
      <c r="H60" s="231"/>
      <c r="I60" s="231"/>
      <c r="J60" s="231"/>
      <c r="K60" s="231"/>
      <c r="L60" s="231"/>
      <c r="M60" s="231"/>
      <c r="N60" s="231"/>
      <c r="O60" s="231"/>
      <c r="P60" s="231"/>
      <c r="Q60" s="231"/>
      <c r="R60" s="231"/>
      <c r="S60" s="231"/>
      <c r="T60" s="231"/>
      <c r="U60" s="231"/>
      <c r="V60" s="237"/>
      <c r="W60" s="613"/>
      <c r="X60" s="613"/>
      <c r="Y60" s="613"/>
      <c r="Z60" s="613"/>
      <c r="AA60" s="613"/>
      <c r="AB60" s="613"/>
      <c r="AC60" s="613"/>
      <c r="AD60" s="613"/>
      <c r="AE60" s="613"/>
      <c r="AF60" s="613"/>
      <c r="AG60" s="613"/>
      <c r="AH60" s="613"/>
      <c r="AI60" s="613"/>
      <c r="AJ60" s="613"/>
      <c r="AK60" s="613"/>
      <c r="AL60" s="613"/>
      <c r="AM60" s="613"/>
      <c r="AN60" s="614"/>
    </row>
    <row r="61" spans="1:40" ht="15" thickBot="1">
      <c r="A61" s="231"/>
      <c r="B61" s="231"/>
      <c r="C61" s="231"/>
      <c r="D61" s="231"/>
      <c r="E61" s="231"/>
      <c r="F61" s="231"/>
      <c r="G61" s="231"/>
      <c r="H61" s="231"/>
      <c r="I61" s="231"/>
      <c r="J61" s="231"/>
      <c r="K61" s="231"/>
      <c r="L61" s="231"/>
      <c r="M61" s="231"/>
      <c r="N61" s="231"/>
      <c r="O61" s="231"/>
      <c r="P61" s="231"/>
      <c r="Q61" s="231"/>
      <c r="R61" s="231"/>
      <c r="S61" s="231"/>
      <c r="T61" s="231"/>
      <c r="U61" s="231"/>
      <c r="V61" s="240"/>
      <c r="W61" s="630"/>
      <c r="X61" s="630"/>
      <c r="Y61" s="630"/>
      <c r="Z61" s="630"/>
      <c r="AA61" s="630"/>
      <c r="AB61" s="630"/>
      <c r="AC61" s="630"/>
      <c r="AD61" s="630"/>
      <c r="AE61" s="630"/>
      <c r="AF61" s="630"/>
      <c r="AG61" s="630"/>
      <c r="AH61" s="630"/>
      <c r="AI61" s="630"/>
      <c r="AJ61" s="630"/>
      <c r="AK61" s="630"/>
      <c r="AL61" s="630"/>
      <c r="AM61" s="630"/>
      <c r="AN61" s="631"/>
    </row>
    <row r="62" spans="1:40" s="231" customFormat="1"/>
    <row r="63" spans="1:40" s="231" customFormat="1"/>
    <row r="64" spans="1:40" s="231" customFormat="1"/>
    <row r="65" spans="2:2" s="231" customFormat="1"/>
    <row r="66" spans="2:2" s="231" customFormat="1"/>
    <row r="67" spans="2:2" s="231" customFormat="1"/>
    <row r="68" spans="2:2" s="231" customFormat="1"/>
    <row r="69" spans="2:2" s="231" customFormat="1"/>
    <row r="70" spans="2:2" s="231" customFormat="1"/>
    <row r="71" spans="2:2" s="231" customFormat="1"/>
    <row r="72" spans="2:2" s="231" customFormat="1"/>
    <row r="73" spans="2:2" s="231" customFormat="1"/>
    <row r="74" spans="2:2" s="231" customFormat="1" ht="15">
      <c r="B74" s="762"/>
    </row>
    <row r="75" spans="2:2" s="231" customFormat="1">
      <c r="B75" s="763"/>
    </row>
    <row r="76" spans="2:2" s="231" customFormat="1">
      <c r="B76" s="763"/>
    </row>
    <row r="77" spans="2:2" s="231" customFormat="1">
      <c r="B77" s="763"/>
    </row>
    <row r="78" spans="2:2" s="231" customFormat="1">
      <c r="B78" s="763"/>
    </row>
    <row r="79" spans="2:2" s="231" customFormat="1">
      <c r="B79" s="763"/>
    </row>
    <row r="80" spans="2:2" s="231" customFormat="1">
      <c r="B80" s="763"/>
    </row>
    <row r="81" spans="2:16" s="231" customFormat="1">
      <c r="B81" s="763"/>
    </row>
    <row r="82" spans="2:16" s="231" customFormat="1">
      <c r="B82" s="763"/>
    </row>
    <row r="83" spans="2:16" s="231" customFormat="1">
      <c r="B83" s="763"/>
    </row>
    <row r="84" spans="2:16" s="231" customFormat="1">
      <c r="B84" s="763"/>
    </row>
    <row r="85" spans="2:16" s="231" customFormat="1">
      <c r="B85" s="763"/>
      <c r="C85" s="763"/>
      <c r="D85" s="763"/>
      <c r="E85" s="763"/>
      <c r="F85" s="763"/>
      <c r="P85" s="764"/>
    </row>
    <row r="86" spans="2:16" s="231" customFormat="1">
      <c r="B86" s="763"/>
      <c r="C86" s="763"/>
      <c r="D86" s="763"/>
      <c r="E86" s="763"/>
      <c r="F86" s="763"/>
    </row>
    <row r="87" spans="2:16" s="231" customFormat="1">
      <c r="B87" s="763"/>
      <c r="C87" s="765"/>
      <c r="D87" s="763"/>
      <c r="E87" s="763"/>
      <c r="F87" s="763"/>
    </row>
    <row r="88" spans="2:16" s="231" customFormat="1"/>
    <row r="89" spans="2:16" s="231" customFormat="1"/>
    <row r="90" spans="2:16" s="231" customFormat="1"/>
    <row r="91" spans="2:16" s="231" customFormat="1"/>
    <row r="92" spans="2:16" s="231" customFormat="1"/>
    <row r="93" spans="2:16" s="231" customFormat="1"/>
    <row r="94" spans="2:16" s="231" customFormat="1"/>
    <row r="95" spans="2:16" s="231" customFormat="1"/>
    <row r="96" spans="2:16" s="231" customFormat="1"/>
    <row r="97" spans="6:28" s="231" customFormat="1"/>
    <row r="98" spans="6:28" s="231" customFormat="1"/>
    <row r="99" spans="6:28" s="231" customFormat="1"/>
    <row r="100" spans="6:28" s="231" customFormat="1"/>
    <row r="101" spans="6:28" s="231" customFormat="1"/>
    <row r="102" spans="6:28" s="231" customFormat="1"/>
    <row r="103" spans="6:28" s="231" customFormat="1"/>
    <row r="104" spans="6:28" s="231" customFormat="1"/>
    <row r="105" spans="6:28" s="231" customFormat="1"/>
    <row r="106" spans="6:28" s="231" customFormat="1">
      <c r="F106" s="766"/>
      <c r="G106" s="766"/>
      <c r="H106" s="766"/>
      <c r="I106" s="766"/>
      <c r="J106" s="766"/>
      <c r="AB106" s="766"/>
    </row>
    <row r="107" spans="6:28" s="231" customFormat="1">
      <c r="F107" s="766"/>
      <c r="G107" s="766"/>
      <c r="H107" s="766"/>
      <c r="I107" s="766"/>
      <c r="J107" s="766"/>
      <c r="AB107" s="766"/>
    </row>
    <row r="108" spans="6:28" s="231" customFormat="1">
      <c r="F108" s="766"/>
      <c r="G108" s="766"/>
      <c r="H108" s="766"/>
      <c r="I108" s="766"/>
      <c r="J108" s="766"/>
      <c r="AB108" s="766"/>
    </row>
    <row r="109" spans="6:28" s="231" customFormat="1">
      <c r="F109" s="766"/>
      <c r="G109" s="766"/>
      <c r="H109" s="766"/>
      <c r="I109" s="766"/>
      <c r="J109" s="766"/>
      <c r="AB109" s="766"/>
    </row>
    <row r="110" spans="6:28">
      <c r="F110" s="632"/>
      <c r="G110" s="632"/>
      <c r="H110" s="632"/>
      <c r="I110" s="632"/>
      <c r="J110" s="632"/>
      <c r="AB110" s="632"/>
    </row>
    <row r="111" spans="6:28">
      <c r="F111" s="632"/>
      <c r="G111" s="632"/>
      <c r="H111" s="632"/>
      <c r="I111" s="632"/>
      <c r="J111" s="632"/>
      <c r="AB111" s="632"/>
    </row>
    <row r="112" spans="6:28">
      <c r="F112" s="632"/>
      <c r="G112" s="632"/>
      <c r="H112" s="632"/>
      <c r="I112" s="632"/>
      <c r="J112" s="632"/>
      <c r="AB112" s="632"/>
    </row>
    <row r="113" spans="6:28">
      <c r="F113" s="632"/>
      <c r="G113" s="632"/>
      <c r="H113" s="632"/>
      <c r="I113" s="632"/>
      <c r="J113" s="632"/>
      <c r="AB113" s="632"/>
    </row>
    <row r="114" spans="6:28">
      <c r="F114" s="632"/>
      <c r="G114" s="632"/>
      <c r="H114" s="632"/>
      <c r="I114" s="632"/>
      <c r="J114" s="632"/>
      <c r="AB114" s="632"/>
    </row>
    <row r="115" spans="6:28">
      <c r="F115" s="632"/>
      <c r="G115" s="632"/>
      <c r="H115" s="632"/>
      <c r="I115" s="632"/>
      <c r="J115" s="632"/>
      <c r="AB115" s="632"/>
    </row>
    <row r="116" spans="6:28">
      <c r="F116" s="632"/>
      <c r="G116" s="632"/>
      <c r="H116" s="632"/>
      <c r="I116" s="632"/>
      <c r="J116" s="632"/>
      <c r="AB116" s="632"/>
    </row>
    <row r="117" spans="6:28">
      <c r="F117" s="632"/>
      <c r="G117" s="632"/>
      <c r="H117" s="632"/>
      <c r="I117" s="632"/>
      <c r="J117" s="632"/>
      <c r="AB117" s="632"/>
    </row>
    <row r="118" spans="6:28">
      <c r="F118" s="632"/>
      <c r="G118" s="632"/>
      <c r="H118" s="632"/>
      <c r="I118" s="632"/>
      <c r="J118" s="632"/>
      <c r="AB118" s="632"/>
    </row>
    <row r="119" spans="6:28">
      <c r="F119" s="632"/>
      <c r="G119" s="632"/>
      <c r="H119" s="632"/>
      <c r="I119" s="632"/>
      <c r="J119" s="632"/>
      <c r="AB119" s="632"/>
    </row>
    <row r="120" spans="6:28">
      <c r="F120" s="632"/>
      <c r="G120" s="632"/>
      <c r="H120" s="632"/>
      <c r="I120" s="632"/>
      <c r="J120" s="632"/>
      <c r="AB120" s="632"/>
    </row>
    <row r="121" spans="6:28">
      <c r="F121" s="632"/>
      <c r="G121" s="632"/>
      <c r="H121" s="632"/>
      <c r="I121" s="632"/>
      <c r="J121" s="632"/>
      <c r="AB121" s="632"/>
    </row>
    <row r="122" spans="6:28">
      <c r="F122" s="632"/>
      <c r="G122" s="632"/>
      <c r="H122" s="632"/>
      <c r="I122" s="632"/>
      <c r="J122" s="632"/>
      <c r="AB122" s="632"/>
    </row>
    <row r="123" spans="6:28">
      <c r="F123" s="632"/>
      <c r="G123" s="632"/>
      <c r="H123" s="632"/>
      <c r="I123" s="632"/>
      <c r="J123" s="632"/>
      <c r="AB123" s="632"/>
    </row>
    <row r="124" spans="6:28">
      <c r="F124" s="632"/>
      <c r="G124" s="632"/>
      <c r="H124" s="632"/>
      <c r="I124" s="632"/>
      <c r="J124" s="632"/>
      <c r="AB124" s="632"/>
    </row>
    <row r="125" spans="6:28">
      <c r="F125" s="632"/>
      <c r="G125" s="632"/>
      <c r="H125" s="632"/>
      <c r="I125" s="632"/>
      <c r="J125" s="632"/>
      <c r="AB125" s="632"/>
    </row>
    <row r="126" spans="6:28">
      <c r="F126" s="632"/>
      <c r="G126" s="632"/>
      <c r="H126" s="632"/>
      <c r="I126" s="632"/>
      <c r="J126" s="632"/>
      <c r="AB126" s="632"/>
    </row>
    <row r="127" spans="6:28">
      <c r="F127" s="632"/>
      <c r="G127" s="632"/>
      <c r="H127" s="632"/>
      <c r="I127" s="632"/>
      <c r="J127" s="632"/>
      <c r="AB127" s="632"/>
    </row>
    <row r="128" spans="6:28">
      <c r="F128" s="632"/>
      <c r="G128" s="632"/>
      <c r="H128" s="632"/>
      <c r="I128" s="632"/>
      <c r="J128" s="632"/>
      <c r="AB128" s="632"/>
    </row>
    <row r="129" spans="6:28">
      <c r="F129" s="632"/>
      <c r="G129" s="632"/>
      <c r="H129" s="632"/>
      <c r="I129" s="632"/>
      <c r="J129" s="632"/>
      <c r="AB129" s="632"/>
    </row>
    <row r="130" spans="6:28">
      <c r="F130" s="632"/>
      <c r="G130" s="632"/>
      <c r="H130" s="632"/>
      <c r="I130" s="632"/>
      <c r="J130" s="632"/>
      <c r="AB130" s="632"/>
    </row>
    <row r="131" spans="6:28">
      <c r="F131" s="632"/>
      <c r="G131" s="632"/>
      <c r="H131" s="632"/>
      <c r="I131" s="632"/>
      <c r="J131" s="632"/>
      <c r="AB131" s="632"/>
    </row>
    <row r="132" spans="6:28">
      <c r="F132" s="632"/>
      <c r="G132" s="632"/>
      <c r="H132" s="632"/>
      <c r="I132" s="632"/>
      <c r="J132" s="632"/>
      <c r="AB132" s="632"/>
    </row>
    <row r="133" spans="6:28">
      <c r="F133" s="632"/>
      <c r="G133" s="632"/>
      <c r="H133" s="632"/>
      <c r="I133" s="632"/>
      <c r="J133" s="632"/>
      <c r="AB133" s="632"/>
    </row>
    <row r="134" spans="6:28">
      <c r="F134" s="632"/>
      <c r="G134" s="632"/>
      <c r="H134" s="632"/>
      <c r="I134" s="632"/>
      <c r="J134" s="632"/>
      <c r="AB134" s="632"/>
    </row>
    <row r="135" spans="6:28">
      <c r="F135" s="632"/>
      <c r="G135" s="632"/>
      <c r="H135" s="632"/>
      <c r="I135" s="632"/>
      <c r="J135" s="632"/>
      <c r="AB135" s="632"/>
    </row>
    <row r="136" spans="6:28">
      <c r="F136" s="632"/>
      <c r="G136" s="632"/>
      <c r="H136" s="632"/>
      <c r="I136" s="632"/>
      <c r="J136" s="632"/>
      <c r="AB136" s="632"/>
    </row>
    <row r="137" spans="6:28">
      <c r="F137" s="632"/>
      <c r="G137" s="632"/>
      <c r="H137" s="632"/>
      <c r="I137" s="632"/>
      <c r="J137" s="632"/>
      <c r="AB137" s="632"/>
    </row>
    <row r="138" spans="6:28">
      <c r="F138" s="632"/>
      <c r="G138" s="632"/>
      <c r="H138" s="632"/>
      <c r="I138" s="632"/>
      <c r="J138" s="632"/>
      <c r="AB138" s="632"/>
    </row>
    <row r="139" spans="6:28">
      <c r="F139" s="632"/>
      <c r="G139" s="632"/>
      <c r="H139" s="632"/>
      <c r="I139" s="632"/>
      <c r="J139" s="632"/>
      <c r="AB139" s="632"/>
    </row>
    <row r="140" spans="6:28">
      <c r="F140" s="632"/>
      <c r="G140" s="632"/>
      <c r="H140" s="632"/>
      <c r="I140" s="632"/>
      <c r="J140" s="632"/>
      <c r="AB140" s="632"/>
    </row>
    <row r="141" spans="6:28">
      <c r="F141" s="632"/>
      <c r="G141" s="632"/>
      <c r="H141" s="632"/>
      <c r="I141" s="632"/>
      <c r="J141" s="632"/>
      <c r="K141" s="632"/>
      <c r="L141" s="632"/>
      <c r="M141" s="632"/>
      <c r="N141" s="632"/>
      <c r="O141" s="632"/>
      <c r="P141" s="632"/>
      <c r="Q141" s="632"/>
      <c r="R141" s="632"/>
      <c r="S141" s="632"/>
      <c r="T141" s="632"/>
      <c r="U141" s="632"/>
      <c r="V141" s="632"/>
      <c r="W141" s="632"/>
      <c r="X141" s="632"/>
      <c r="Y141" s="632"/>
      <c r="Z141" s="632"/>
      <c r="AA141" s="632"/>
      <c r="AB141" s="632"/>
    </row>
    <row r="142" spans="6:28">
      <c r="F142" s="632"/>
      <c r="G142" s="632"/>
      <c r="H142" s="632"/>
      <c r="I142" s="632"/>
      <c r="J142" s="632"/>
      <c r="K142" s="632"/>
      <c r="L142" s="632"/>
      <c r="M142" s="632"/>
      <c r="N142" s="632"/>
      <c r="O142" s="632"/>
      <c r="P142" s="632"/>
      <c r="Q142" s="632"/>
      <c r="R142" s="632"/>
      <c r="S142" s="632"/>
      <c r="T142" s="632"/>
      <c r="U142" s="632"/>
      <c r="V142" s="632"/>
      <c r="W142" s="632"/>
      <c r="X142" s="632"/>
      <c r="Y142" s="632"/>
      <c r="Z142" s="632"/>
      <c r="AA142" s="632"/>
      <c r="AB142" s="632"/>
    </row>
    <row r="143" spans="6:28">
      <c r="F143" s="632"/>
      <c r="G143" s="632"/>
      <c r="H143" s="632"/>
      <c r="I143" s="632"/>
      <c r="J143" s="632"/>
      <c r="K143" s="632"/>
      <c r="L143" s="632"/>
      <c r="M143" s="632"/>
      <c r="N143" s="632"/>
      <c r="O143" s="632"/>
      <c r="P143" s="632"/>
      <c r="Q143" s="632"/>
      <c r="R143" s="632"/>
      <c r="S143" s="632"/>
      <c r="T143" s="632"/>
      <c r="U143" s="632"/>
      <c r="V143" s="632"/>
      <c r="W143" s="632"/>
      <c r="X143" s="632"/>
      <c r="Y143" s="632"/>
      <c r="Z143" s="632"/>
      <c r="AA143" s="632"/>
      <c r="AB143" s="632"/>
    </row>
    <row r="144" spans="6:28">
      <c r="F144" s="632"/>
      <c r="G144" s="632"/>
      <c r="H144" s="632"/>
      <c r="I144" s="632"/>
      <c r="J144" s="632"/>
      <c r="K144" s="632"/>
      <c r="L144" s="632"/>
      <c r="M144" s="632"/>
      <c r="N144" s="632"/>
      <c r="O144" s="632"/>
      <c r="P144" s="632"/>
      <c r="Q144" s="632"/>
      <c r="R144" s="632"/>
      <c r="S144" s="632"/>
      <c r="T144" s="632"/>
      <c r="U144" s="632"/>
      <c r="V144" s="632"/>
      <c r="W144" s="632"/>
      <c r="X144" s="632"/>
      <c r="Y144" s="632"/>
      <c r="Z144" s="632"/>
      <c r="AA144" s="632"/>
      <c r="AB144" s="632"/>
    </row>
    <row r="145" spans="6:28">
      <c r="F145" s="632"/>
      <c r="G145" s="632"/>
      <c r="H145" s="632"/>
      <c r="I145" s="632"/>
      <c r="J145" s="632"/>
      <c r="K145" s="632"/>
      <c r="L145" s="632"/>
      <c r="M145" s="632"/>
      <c r="N145" s="632"/>
      <c r="O145" s="632"/>
      <c r="P145" s="632"/>
      <c r="Q145" s="632"/>
      <c r="R145" s="632"/>
      <c r="S145" s="632"/>
      <c r="T145" s="632"/>
      <c r="U145" s="632"/>
      <c r="V145" s="632"/>
      <c r="W145" s="632"/>
      <c r="X145" s="632"/>
      <c r="Y145" s="632"/>
      <c r="Z145" s="632"/>
      <c r="AA145" s="632"/>
      <c r="AB145" s="632"/>
    </row>
    <row r="146" spans="6:28">
      <c r="F146" s="632"/>
      <c r="G146" s="632"/>
      <c r="H146" s="632"/>
      <c r="I146" s="632"/>
      <c r="J146" s="632"/>
      <c r="K146" s="632"/>
      <c r="L146" s="632"/>
      <c r="M146" s="632"/>
      <c r="N146" s="632"/>
      <c r="O146" s="632"/>
      <c r="P146" s="632"/>
      <c r="Q146" s="632"/>
      <c r="R146" s="632"/>
      <c r="S146" s="632"/>
      <c r="T146" s="632"/>
      <c r="U146" s="632"/>
      <c r="V146" s="632"/>
      <c r="W146" s="632"/>
      <c r="X146" s="632"/>
      <c r="Y146" s="632"/>
      <c r="Z146" s="632"/>
      <c r="AA146" s="632"/>
      <c r="AB146" s="632"/>
    </row>
    <row r="147" spans="6:28">
      <c r="F147" s="632"/>
      <c r="G147" s="632"/>
      <c r="H147" s="632"/>
      <c r="I147" s="632"/>
      <c r="J147" s="632"/>
      <c r="K147" s="632"/>
      <c r="L147" s="632"/>
      <c r="M147" s="632"/>
      <c r="N147" s="632"/>
      <c r="O147" s="632"/>
      <c r="P147" s="632"/>
      <c r="Q147" s="632"/>
      <c r="R147" s="632"/>
      <c r="S147" s="632"/>
      <c r="T147" s="632"/>
      <c r="U147" s="632"/>
      <c r="V147" s="632"/>
      <c r="W147" s="632"/>
      <c r="X147" s="632"/>
      <c r="Y147" s="632"/>
      <c r="Z147" s="632"/>
      <c r="AA147" s="632"/>
      <c r="AB147" s="632"/>
    </row>
    <row r="148" spans="6:28">
      <c r="F148" s="632"/>
      <c r="G148" s="632"/>
      <c r="H148" s="632"/>
      <c r="I148" s="632"/>
      <c r="J148" s="632"/>
      <c r="K148" s="632"/>
      <c r="L148" s="632"/>
      <c r="M148" s="632"/>
      <c r="N148" s="632"/>
      <c r="O148" s="632"/>
      <c r="P148" s="632"/>
      <c r="Q148" s="632"/>
      <c r="R148" s="632"/>
      <c r="S148" s="632"/>
      <c r="T148" s="632"/>
      <c r="U148" s="632"/>
      <c r="V148" s="632"/>
      <c r="W148" s="632"/>
      <c r="X148" s="632"/>
      <c r="Y148" s="632"/>
      <c r="Z148" s="632"/>
      <c r="AA148" s="632"/>
      <c r="AB148" s="632"/>
    </row>
    <row r="149" spans="6:28">
      <c r="F149" s="632"/>
      <c r="G149" s="632"/>
      <c r="H149" s="632"/>
      <c r="I149" s="632"/>
      <c r="J149" s="632"/>
      <c r="K149" s="632"/>
      <c r="L149" s="632"/>
      <c r="M149" s="632"/>
      <c r="N149" s="632"/>
      <c r="O149" s="632"/>
      <c r="P149" s="632"/>
      <c r="Q149" s="632"/>
      <c r="R149" s="632"/>
      <c r="S149" s="632"/>
      <c r="T149" s="632"/>
      <c r="U149" s="632"/>
      <c r="V149" s="632"/>
      <c r="W149" s="632"/>
      <c r="X149" s="632"/>
      <c r="Y149" s="632"/>
      <c r="Z149" s="632"/>
      <c r="AA149" s="632"/>
      <c r="AB149" s="632"/>
    </row>
    <row r="150" spans="6:28">
      <c r="F150" s="632"/>
      <c r="G150" s="632"/>
      <c r="H150" s="632"/>
      <c r="I150" s="632"/>
      <c r="J150" s="632"/>
      <c r="K150" s="632"/>
      <c r="L150" s="632"/>
      <c r="M150" s="632"/>
      <c r="N150" s="632"/>
      <c r="O150" s="632"/>
      <c r="P150" s="632"/>
      <c r="Q150" s="632"/>
      <c r="R150" s="632"/>
      <c r="S150" s="632"/>
      <c r="T150" s="632"/>
      <c r="U150" s="632"/>
      <c r="V150" s="632"/>
      <c r="W150" s="632"/>
      <c r="X150" s="632"/>
      <c r="Y150" s="632"/>
      <c r="Z150" s="632"/>
      <c r="AA150" s="632"/>
      <c r="AB150" s="632"/>
    </row>
    <row r="151" spans="6:28">
      <c r="F151" s="632"/>
      <c r="G151" s="632"/>
      <c r="H151" s="632"/>
      <c r="I151" s="632"/>
      <c r="J151" s="632"/>
      <c r="K151" s="632"/>
      <c r="L151" s="632"/>
      <c r="M151" s="632"/>
      <c r="N151" s="632"/>
      <c r="O151" s="632"/>
      <c r="P151" s="632"/>
      <c r="Q151" s="632"/>
      <c r="R151" s="632"/>
      <c r="S151" s="632"/>
      <c r="T151" s="632"/>
      <c r="U151" s="632"/>
      <c r="V151" s="632"/>
      <c r="W151" s="632"/>
      <c r="X151" s="632"/>
      <c r="Y151" s="632"/>
      <c r="Z151" s="632"/>
      <c r="AA151" s="632"/>
      <c r="AB151" s="632"/>
    </row>
    <row r="152" spans="6:28">
      <c r="F152" s="632"/>
      <c r="G152" s="632"/>
      <c r="H152" s="632"/>
      <c r="I152" s="632"/>
      <c r="J152" s="632"/>
      <c r="K152" s="632"/>
      <c r="L152" s="632"/>
      <c r="M152" s="632"/>
      <c r="N152" s="632"/>
      <c r="O152" s="632"/>
      <c r="P152" s="632"/>
      <c r="Q152" s="632"/>
      <c r="R152" s="632"/>
      <c r="S152" s="632"/>
      <c r="T152" s="632"/>
      <c r="U152" s="632"/>
      <c r="V152" s="632"/>
      <c r="W152" s="632"/>
      <c r="X152" s="632"/>
      <c r="Y152" s="632"/>
      <c r="Z152" s="632"/>
      <c r="AA152" s="632"/>
      <c r="AB152" s="632"/>
    </row>
    <row r="153" spans="6:28">
      <c r="F153" s="632"/>
      <c r="G153" s="632"/>
      <c r="H153" s="632"/>
      <c r="I153" s="632"/>
      <c r="J153" s="632"/>
      <c r="K153" s="632"/>
      <c r="L153" s="632"/>
      <c r="M153" s="632"/>
      <c r="N153" s="632"/>
      <c r="O153" s="632"/>
      <c r="P153" s="632"/>
      <c r="Q153" s="632"/>
      <c r="R153" s="632"/>
      <c r="S153" s="632"/>
      <c r="T153" s="632"/>
      <c r="U153" s="632"/>
      <c r="V153" s="632"/>
      <c r="W153" s="632"/>
      <c r="X153" s="632"/>
      <c r="Y153" s="632"/>
      <c r="Z153" s="632"/>
      <c r="AA153" s="632"/>
      <c r="AB153" s="632"/>
    </row>
    <row r="154" spans="6:28">
      <c r="F154" s="632"/>
      <c r="G154" s="632"/>
      <c r="H154" s="632"/>
      <c r="I154" s="632"/>
      <c r="J154" s="632"/>
      <c r="K154" s="632"/>
      <c r="L154" s="632"/>
      <c r="M154" s="632"/>
      <c r="N154" s="632"/>
      <c r="O154" s="632"/>
      <c r="P154" s="632"/>
      <c r="Q154" s="632"/>
      <c r="R154" s="632"/>
      <c r="S154" s="632"/>
      <c r="T154" s="632"/>
      <c r="U154" s="632"/>
      <c r="V154" s="632"/>
      <c r="W154" s="632"/>
      <c r="X154" s="632"/>
      <c r="Y154" s="632"/>
      <c r="Z154" s="632"/>
      <c r="AA154" s="632"/>
      <c r="AB154" s="632"/>
    </row>
    <row r="155" spans="6:28">
      <c r="F155" s="632"/>
      <c r="G155" s="632"/>
      <c r="H155" s="632"/>
      <c r="I155" s="632"/>
      <c r="J155" s="632"/>
      <c r="K155" s="632"/>
      <c r="L155" s="632"/>
      <c r="M155" s="632"/>
      <c r="N155" s="632"/>
      <c r="O155" s="632"/>
      <c r="P155" s="632"/>
      <c r="Q155" s="632"/>
      <c r="R155" s="632"/>
      <c r="S155" s="632"/>
      <c r="T155" s="632"/>
      <c r="U155" s="632"/>
      <c r="V155" s="632"/>
      <c r="W155" s="632"/>
      <c r="X155" s="632"/>
      <c r="Y155" s="632"/>
      <c r="Z155" s="632"/>
      <c r="AA155" s="632"/>
      <c r="AB155" s="632"/>
    </row>
    <row r="156" spans="6:28">
      <c r="F156" s="632"/>
      <c r="G156" s="632"/>
      <c r="H156" s="632"/>
      <c r="I156" s="632"/>
      <c r="J156" s="632"/>
      <c r="K156" s="632"/>
      <c r="L156" s="632"/>
      <c r="M156" s="632"/>
      <c r="N156" s="632"/>
      <c r="O156" s="632"/>
      <c r="P156" s="632"/>
      <c r="Q156" s="632"/>
      <c r="R156" s="632"/>
      <c r="S156" s="632"/>
      <c r="T156" s="632"/>
      <c r="U156" s="632"/>
      <c r="V156" s="632"/>
      <c r="W156" s="632"/>
      <c r="X156" s="632"/>
      <c r="Y156" s="632"/>
      <c r="Z156" s="632"/>
      <c r="AA156" s="632"/>
      <c r="AB156" s="632"/>
    </row>
    <row r="157" spans="6:28">
      <c r="F157" s="632"/>
      <c r="G157" s="632"/>
      <c r="H157" s="632"/>
      <c r="I157" s="632"/>
      <c r="J157" s="632"/>
      <c r="K157" s="632"/>
      <c r="L157" s="632"/>
      <c r="M157" s="632"/>
      <c r="N157" s="632"/>
      <c r="O157" s="632"/>
      <c r="P157" s="632"/>
      <c r="Q157" s="632"/>
      <c r="R157" s="632"/>
      <c r="S157" s="632"/>
      <c r="T157" s="632"/>
      <c r="U157" s="632"/>
      <c r="V157" s="632"/>
      <c r="W157" s="632"/>
      <c r="X157" s="632"/>
      <c r="Y157" s="632"/>
      <c r="Z157" s="632"/>
      <c r="AA157" s="632"/>
      <c r="AB157" s="632"/>
    </row>
    <row r="158" spans="6:28">
      <c r="F158" s="632"/>
      <c r="G158" s="632"/>
      <c r="H158" s="632"/>
      <c r="I158" s="632"/>
      <c r="J158" s="632"/>
      <c r="K158" s="632"/>
      <c r="L158" s="632"/>
      <c r="M158" s="632"/>
      <c r="N158" s="632"/>
      <c r="O158" s="632"/>
      <c r="P158" s="632"/>
      <c r="Q158" s="632"/>
      <c r="R158" s="632"/>
      <c r="S158" s="632"/>
      <c r="T158" s="632"/>
      <c r="U158" s="632"/>
      <c r="V158" s="632"/>
      <c r="W158" s="632"/>
      <c r="X158" s="632"/>
      <c r="Y158" s="632"/>
      <c r="Z158" s="632"/>
      <c r="AA158" s="632"/>
      <c r="AB158" s="632"/>
    </row>
    <row r="159" spans="6:28">
      <c r="F159" s="632"/>
      <c r="G159" s="632"/>
      <c r="H159" s="632"/>
      <c r="I159" s="632"/>
      <c r="J159" s="632"/>
      <c r="K159" s="632"/>
      <c r="L159" s="632"/>
      <c r="M159" s="632"/>
      <c r="N159" s="632"/>
      <c r="O159" s="632"/>
      <c r="P159" s="632"/>
      <c r="Q159" s="632"/>
      <c r="R159" s="632"/>
      <c r="S159" s="632"/>
      <c r="T159" s="632"/>
      <c r="U159" s="632"/>
      <c r="V159" s="632"/>
      <c r="W159" s="632"/>
      <c r="X159" s="632"/>
      <c r="Y159" s="632"/>
      <c r="Z159" s="632"/>
      <c r="AA159" s="632"/>
      <c r="AB159" s="632"/>
    </row>
    <row r="160" spans="6:28">
      <c r="F160" s="632"/>
      <c r="G160" s="632"/>
      <c r="H160" s="632"/>
      <c r="I160" s="632"/>
      <c r="J160" s="632"/>
      <c r="K160" s="632"/>
      <c r="L160" s="632"/>
      <c r="M160" s="632"/>
      <c r="N160" s="632"/>
      <c r="O160" s="632"/>
      <c r="P160" s="632"/>
      <c r="Q160" s="632"/>
      <c r="R160" s="632"/>
      <c r="S160" s="632"/>
      <c r="T160" s="632"/>
      <c r="U160" s="632"/>
      <c r="V160" s="632"/>
      <c r="W160" s="632"/>
      <c r="X160" s="632"/>
      <c r="Y160" s="632"/>
      <c r="Z160" s="632"/>
      <c r="AA160" s="632"/>
      <c r="AB160" s="632"/>
    </row>
    <row r="161" spans="6:28">
      <c r="F161" s="632"/>
      <c r="G161" s="632"/>
      <c r="H161" s="632"/>
      <c r="I161" s="632"/>
      <c r="J161" s="632"/>
      <c r="K161" s="632"/>
      <c r="L161" s="632"/>
      <c r="M161" s="632"/>
      <c r="N161" s="632"/>
      <c r="O161" s="632"/>
      <c r="P161" s="632"/>
      <c r="Q161" s="632"/>
      <c r="R161" s="632"/>
      <c r="S161" s="632"/>
      <c r="T161" s="632"/>
      <c r="U161" s="632"/>
      <c r="V161" s="632"/>
      <c r="W161" s="632"/>
      <c r="X161" s="632"/>
      <c r="Y161" s="632"/>
      <c r="Z161" s="632"/>
      <c r="AA161" s="632"/>
      <c r="AB161" s="632"/>
    </row>
  </sheetData>
  <sheetProtection password="B1AA" sheet="1" selectLockedCells="1"/>
  <mergeCells count="8">
    <mergeCell ref="D3:G4"/>
    <mergeCell ref="L25:N25"/>
    <mergeCell ref="G5:G6"/>
    <mergeCell ref="N10:O10"/>
    <mergeCell ref="K43:L44"/>
    <mergeCell ref="K29:L29"/>
    <mergeCell ref="O41:O42"/>
    <mergeCell ref="L27:M27"/>
  </mergeCells>
  <dataValidations count="6">
    <dataValidation type="list" allowBlank="1" showInputMessage="1" showErrorMessage="1" sqref="L27">
      <formula1>"Automatic Calculation,User Input"</formula1>
    </dataValidation>
    <dataValidation type="list" allowBlank="1" showInputMessage="1" showErrorMessage="1" sqref="K27">
      <formula1>"North Scotland,East Scotland,West Scotland"</formula1>
    </dataValidation>
    <dataValidation type="list" allowBlank="1" showInputMessage="1" showErrorMessage="1" sqref="N13:N15">
      <formula1>"5,7"</formula1>
    </dataValidation>
    <dataValidation type="list" allowBlank="1" showInputMessage="1" showErrorMessage="1" sqref="L13:L15">
      <formula1>"4,8,12,16"</formula1>
    </dataValidation>
    <dataValidation type="list" allowBlank="1" showInputMessage="1" showErrorMessage="1" sqref="P13:P15">
      <formula1>"Continuous,Intermittent-responsive plant,Intermittent-plant with long time lag"</formula1>
    </dataValidation>
    <dataValidation type="list" allowBlank="1" showInputMessage="1" showErrorMessage="1" sqref="E54">
      <formula1>"Office 5 or 6 day week,Shop 6 day week, Factories 5 day single shift,Factories 6 day single shift,Factories 7 day multiple shift,Warehouses,Residential,Hotels,Hospitals,Education"</formula1>
    </dataValidation>
  </dataValidations>
  <hyperlinks>
    <hyperlink ref="L25:N25" location="'User Input'!A1" display="'User Input'!A1"/>
    <hyperlink ref="G5:G6" location="'Main Menu'!A1" display="RETURN TO MAIN MENU"/>
    <hyperlink ref="N10" location="'Degree days C.F and HWS'!A1" display="'Degree days C.F and HWS'!A1"/>
    <hyperlink ref="O29" location="'Temperature Data Scotland'!A1" display="TEMPERATURE DATA CLICK HER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Plan10"/>
  <dimension ref="A1:V110"/>
  <sheetViews>
    <sheetView showGridLines="0" zoomScale="85" zoomScaleNormal="85" workbookViewId="0">
      <selection activeCell="I4" sqref="I4:J5"/>
    </sheetView>
  </sheetViews>
  <sheetFormatPr defaultRowHeight="15"/>
  <cols>
    <col min="1" max="1" width="9.140625" style="227"/>
    <col min="3" max="3" width="19" customWidth="1"/>
    <col min="4" max="4" width="19.42578125" customWidth="1"/>
    <col min="5" max="5" width="17" customWidth="1"/>
    <col min="6" max="6" width="16.140625" customWidth="1"/>
    <col min="7" max="7" width="9.140625" customWidth="1"/>
    <col min="8" max="8" width="28" customWidth="1"/>
    <col min="9" max="9" width="19.28515625" customWidth="1"/>
    <col min="10" max="10" width="16" customWidth="1"/>
    <col min="11" max="11" width="15.42578125" customWidth="1"/>
    <col min="13" max="14" width="9.140625" style="227"/>
    <col min="15" max="15" width="12.7109375" style="227" bestFit="1" customWidth="1"/>
    <col min="16" max="22" width="9.140625" style="227"/>
  </cols>
  <sheetData>
    <row r="1" spans="2:13" s="227" customFormat="1" ht="15.75" thickBot="1"/>
    <row r="2" spans="2:13">
      <c r="B2" s="27"/>
      <c r="C2" s="55"/>
      <c r="D2" s="55"/>
      <c r="E2" s="55"/>
      <c r="F2" s="55"/>
      <c r="G2" s="55"/>
      <c r="H2" s="55"/>
      <c r="I2" s="55"/>
      <c r="J2" s="55"/>
      <c r="K2" s="55"/>
      <c r="L2" s="55"/>
      <c r="M2" s="491"/>
    </row>
    <row r="3" spans="2:13">
      <c r="B3" s="88"/>
      <c r="C3" s="51"/>
      <c r="D3" s="51"/>
      <c r="E3" s="51"/>
      <c r="F3" s="51"/>
      <c r="G3" s="51"/>
      <c r="H3" s="51"/>
      <c r="I3" s="51"/>
      <c r="J3" s="51"/>
      <c r="K3" s="51"/>
      <c r="L3" s="51"/>
      <c r="M3" s="223"/>
    </row>
    <row r="4" spans="2:13" ht="26.25">
      <c r="B4" s="88"/>
      <c r="C4" s="51"/>
      <c r="D4" s="429" t="s">
        <v>409</v>
      </c>
      <c r="E4" s="51"/>
      <c r="F4" s="51"/>
      <c r="G4" s="51"/>
      <c r="H4" s="51"/>
      <c r="I4" s="1032" t="s">
        <v>476</v>
      </c>
      <c r="J4" s="1032"/>
      <c r="K4" s="51"/>
      <c r="L4" s="51"/>
      <c r="M4" s="223"/>
    </row>
    <row r="5" spans="2:13" ht="15.75" thickBot="1">
      <c r="B5" s="88"/>
      <c r="C5" s="51"/>
      <c r="D5" s="51"/>
      <c r="E5" s="51"/>
      <c r="F5" s="51"/>
      <c r="G5" s="51"/>
      <c r="H5" s="51"/>
      <c r="I5" s="1032"/>
      <c r="J5" s="1032"/>
      <c r="K5" s="51"/>
      <c r="L5" s="51"/>
      <c r="M5" s="223"/>
    </row>
    <row r="6" spans="2:13" ht="20.25" thickTop="1" thickBot="1">
      <c r="B6" s="88"/>
      <c r="C6" s="835"/>
      <c r="D6" s="835"/>
      <c r="E6" s="835"/>
      <c r="F6" s="835"/>
      <c r="G6" s="835"/>
      <c r="H6" s="835"/>
      <c r="I6" s="872"/>
      <c r="J6" s="835"/>
      <c r="K6" s="835"/>
      <c r="L6" s="835"/>
      <c r="M6" s="223"/>
    </row>
    <row r="7" spans="2:13" ht="19.5" thickBot="1">
      <c r="B7" s="830"/>
      <c r="C7" s="858" t="s">
        <v>544</v>
      </c>
      <c r="D7" s="1036" t="s">
        <v>535</v>
      </c>
      <c r="E7" s="1037"/>
      <c r="F7" s="51"/>
      <c r="G7" s="51"/>
      <c r="H7" s="51"/>
      <c r="I7" s="51"/>
      <c r="J7" s="51"/>
      <c r="K7" s="51"/>
      <c r="L7" s="51"/>
      <c r="M7" s="223"/>
    </row>
    <row r="8" spans="2:13" ht="15.75" thickBot="1">
      <c r="B8" s="88"/>
      <c r="C8" s="51"/>
      <c r="D8" s="51"/>
      <c r="E8" s="51"/>
      <c r="F8" s="51"/>
      <c r="G8" s="51"/>
      <c r="H8" s="51"/>
      <c r="I8" s="51"/>
      <c r="J8" s="51"/>
      <c r="K8" s="51"/>
      <c r="L8" s="51"/>
      <c r="M8" s="223"/>
    </row>
    <row r="9" spans="2:13" ht="16.5" thickTop="1">
      <c r="B9" s="88"/>
      <c r="C9" s="871" t="s">
        <v>536</v>
      </c>
      <c r="D9" s="835"/>
      <c r="E9" s="835"/>
      <c r="F9" s="835"/>
      <c r="G9" s="835"/>
      <c r="H9" s="835"/>
      <c r="I9" s="835"/>
      <c r="J9" s="835"/>
      <c r="K9" s="835"/>
      <c r="L9" s="835"/>
      <c r="M9" s="223"/>
    </row>
    <row r="10" spans="2:13" ht="15.75" thickBot="1">
      <c r="B10" s="88"/>
      <c r="C10" s="51"/>
      <c r="D10" s="51"/>
      <c r="E10" s="51"/>
      <c r="F10" s="51"/>
      <c r="G10" s="51"/>
      <c r="H10" s="51"/>
      <c r="I10" s="51"/>
      <c r="J10" s="51"/>
      <c r="K10" s="51"/>
      <c r="L10" s="51"/>
      <c r="M10" s="223"/>
    </row>
    <row r="11" spans="2:13" ht="15.75" thickBot="1">
      <c r="B11" s="88"/>
      <c r="C11" s="1026" t="s">
        <v>295</v>
      </c>
      <c r="D11" s="1027"/>
      <c r="E11" s="1027"/>
      <c r="F11" s="1028"/>
      <c r="G11" s="51"/>
      <c r="H11" s="1029" t="s">
        <v>537</v>
      </c>
      <c r="I11" s="1030"/>
      <c r="J11" s="1030"/>
      <c r="K11" s="1031"/>
      <c r="L11" s="51"/>
      <c r="M11" s="223"/>
    </row>
    <row r="12" spans="2:13" ht="15.75" thickBot="1">
      <c r="B12" s="88"/>
      <c r="C12" s="506"/>
      <c r="D12" s="513" t="s">
        <v>129</v>
      </c>
      <c r="E12" s="513" t="s">
        <v>127</v>
      </c>
      <c r="F12" s="447" t="s">
        <v>128</v>
      </c>
      <c r="G12" s="51"/>
      <c r="H12" s="506"/>
      <c r="I12" s="888" t="s">
        <v>129</v>
      </c>
      <c r="J12" s="513" t="s">
        <v>127</v>
      </c>
      <c r="K12" s="447" t="s">
        <v>128</v>
      </c>
      <c r="L12" s="51"/>
      <c r="M12" s="223"/>
    </row>
    <row r="13" spans="2:13">
      <c r="B13" s="88"/>
      <c r="C13" s="247" t="s">
        <v>124</v>
      </c>
      <c r="D13" s="903"/>
      <c r="E13" s="904"/>
      <c r="F13" s="905"/>
      <c r="G13" s="51"/>
      <c r="H13" s="859" t="s">
        <v>124</v>
      </c>
      <c r="I13" s="885">
        <f>IF(D13&gt;0,((D13*'Heat Demand Model'!$Q$8+'Heat Demand Model'!$O$22-'Heat Demand Model'!$G$54*'Heat Demand Model'!$G$10)*('Heat Demand Model'!$L$8-'Temperature Data Scotland'!D28)/(24*'Degree days C.F and HWS'!M11*'Heat Demand Model'!$R$14)+'Heat Demand Model'!$F$54*'Heat Demand Model'!$G$10/1000),0)</f>
        <v>0</v>
      </c>
      <c r="J13" s="886">
        <f>IF(E13&gt;0,((E13*'Heat Demand Model'!$Q$8+'Heat Demand Model'!$O$22-'Heat Demand Model'!$G$54*'Heat Demand Model'!$G$10)*('Heat Demand Model'!$L$8-'Temperature Data Scotland'!E28)/(24*'Degree days C.F and HWS'!J11*'Heat Demand Model'!$R$14)+'Heat Demand Model'!$F$54*'Heat Demand Model'!$G$10/1000),0)</f>
        <v>0</v>
      </c>
      <c r="K13" s="887">
        <f>IF(F13&gt;0,((F13*'Heat Demand Model'!$Q$8+'Heat Demand Model'!$O$22-'Heat Demand Model'!$G$54*'Heat Demand Model'!$G$10)*('Heat Demand Model'!$L$8-'Temperature Data Scotland'!F28)/(24*'Degree days C.F and HWS'!I11*'Heat Demand Model'!$R$14)+'Heat Demand Model'!$F$54*'Heat Demand Model'!$G$10/1000),0)</f>
        <v>0</v>
      </c>
      <c r="L13" s="51"/>
      <c r="M13" s="223"/>
    </row>
    <row r="14" spans="2:13">
      <c r="B14" s="88"/>
      <c r="C14" s="247" t="s">
        <v>123</v>
      </c>
      <c r="D14" s="906"/>
      <c r="E14" s="508"/>
      <c r="F14" s="509"/>
      <c r="G14" s="51"/>
      <c r="H14" s="859" t="s">
        <v>123</v>
      </c>
      <c r="I14" s="897">
        <f>IF(D14&gt;0,((D14*'Heat Demand Model'!$Q$8+'Heat Demand Model'!$O$22-'Heat Demand Model'!$G$54*'Heat Demand Model'!$G$10)*('Heat Demand Model'!$L$8-'Temperature Data Scotland'!D29)/(24*'Degree days C.F and HWS'!M12*'Heat Demand Model'!$R$14)+'Heat Demand Model'!$F$54*'Heat Demand Model'!$G$10/1000),0)</f>
        <v>0</v>
      </c>
      <c r="J14" s="898">
        <f>IF(E14&gt;0,((E14*'Heat Demand Model'!$Q$8+'Heat Demand Model'!$O$22-'Heat Demand Model'!$G$54*'Heat Demand Model'!$G$10)*('Heat Demand Model'!$L$8-'Temperature Data Scotland'!E29)/(24*'Degree days C.F and HWS'!J12*'Heat Demand Model'!$R$14)+'Heat Demand Model'!$F$54*'Heat Demand Model'!$G$10/1000),0)</f>
        <v>0</v>
      </c>
      <c r="K14" s="899">
        <f>IF(F14&gt;0,((F14*'Heat Demand Model'!$Q$8+'Heat Demand Model'!$O$22-'Heat Demand Model'!$G$54*'Heat Demand Model'!$G$10)*('Heat Demand Model'!$L$8-'Temperature Data Scotland'!F29)/(24*'Degree days C.F and HWS'!I12*'Heat Demand Model'!$R$14)+'Heat Demand Model'!$F$54*'Heat Demand Model'!$G$10/1000),0)</f>
        <v>0</v>
      </c>
      <c r="L14" s="51"/>
      <c r="M14" s="223"/>
    </row>
    <row r="15" spans="2:13">
      <c r="B15" s="88"/>
      <c r="C15" s="247" t="s">
        <v>122</v>
      </c>
      <c r="D15" s="906"/>
      <c r="E15" s="508"/>
      <c r="F15" s="509"/>
      <c r="G15" s="51"/>
      <c r="H15" s="859" t="s">
        <v>122</v>
      </c>
      <c r="I15" s="897">
        <f>IF(D15&gt;0,((D15*'Heat Demand Model'!$Q$8+'Heat Demand Model'!$O$22-'Heat Demand Model'!$G$54*'Heat Demand Model'!$G$10)*('Heat Demand Model'!$L$8-'Temperature Data Scotland'!D30)/(24*'Degree days C.F and HWS'!M13*'Heat Demand Model'!$R$15)+'Heat Demand Model'!$F$54*'Heat Demand Model'!$G$10/1000),0)</f>
        <v>0</v>
      </c>
      <c r="J15" s="898">
        <f>IF(E15&gt;0,((E15*'Heat Demand Model'!$Q$8+'Heat Demand Model'!$O$22-'Heat Demand Model'!$G$54*'Heat Demand Model'!$G$10)*('Heat Demand Model'!$L$8-'Temperature Data Scotland'!E30)/(24*'Degree days C.F and HWS'!J13*'Heat Demand Model'!$R$15)+'Heat Demand Model'!$F$54*'Heat Demand Model'!$G$10/1000),0)</f>
        <v>0</v>
      </c>
      <c r="K15" s="899">
        <f>IF(F15&gt;0,((F15*'Heat Demand Model'!$Q$8+'Heat Demand Model'!$O$22-'Heat Demand Model'!$G$54*'Heat Demand Model'!$G$10)*('Heat Demand Model'!$L$8-'Temperature Data Scotland'!F30)/(24*'Degree days C.F and HWS'!I13*'Heat Demand Model'!$R$15)+'Heat Demand Model'!$F$54*'Heat Demand Model'!$G$10/1000),0)</f>
        <v>0</v>
      </c>
      <c r="L15" s="51"/>
      <c r="M15" s="223"/>
    </row>
    <row r="16" spans="2:13">
      <c r="B16" s="88"/>
      <c r="C16" s="247" t="s">
        <v>121</v>
      </c>
      <c r="D16" s="906"/>
      <c r="E16" s="508"/>
      <c r="F16" s="509"/>
      <c r="G16" s="51"/>
      <c r="H16" s="859" t="s">
        <v>121</v>
      </c>
      <c r="I16" s="897">
        <f>IF(D16&gt;0,((D16*'Heat Demand Model'!$Q$8+'Heat Demand Model'!$O$22-'Heat Demand Model'!$G$54*'Heat Demand Model'!$G$10)*('Heat Demand Model'!$L$8-'Temperature Data Scotland'!D31)/(24*'Degree days C.F and HWS'!M14*'Heat Demand Model'!$R$15)+'Heat Demand Model'!$F$54*'Heat Demand Model'!$G$10/1000),0)</f>
        <v>0</v>
      </c>
      <c r="J16" s="898">
        <f>IF(E16&gt;0,((E16*'Heat Demand Model'!$Q$8+'Heat Demand Model'!$O$22-'Heat Demand Model'!$G$54*'Heat Demand Model'!$G$10)*('Heat Demand Model'!$L$8-'Temperature Data Scotland'!E31)/(24*'Degree days C.F and HWS'!J14*'Heat Demand Model'!$R$15)+'Heat Demand Model'!$F$54*'Heat Demand Model'!$G$10/1000),0)</f>
        <v>0</v>
      </c>
      <c r="K16" s="899">
        <f>IF(F16&gt;0,((F16*'Heat Demand Model'!$Q$8+'Heat Demand Model'!$O$22-'Heat Demand Model'!$G$54*'Heat Demand Model'!$G$10)*('Heat Demand Model'!$L$8-'Temperature Data Scotland'!F31)/(24*'Degree days C.F and HWS'!I14*'Heat Demand Model'!$R$15)+'Heat Demand Model'!$F$54*'Heat Demand Model'!$G$10/1000),0)</f>
        <v>0</v>
      </c>
      <c r="L16" s="51"/>
      <c r="M16" s="223"/>
    </row>
    <row r="17" spans="2:13">
      <c r="B17" s="88"/>
      <c r="C17" s="247" t="s">
        <v>105</v>
      </c>
      <c r="D17" s="906"/>
      <c r="E17" s="508"/>
      <c r="F17" s="509"/>
      <c r="G17" s="51"/>
      <c r="H17" s="859" t="s">
        <v>105</v>
      </c>
      <c r="I17" s="897">
        <f>IF(D17&gt;0,((D17*'Heat Demand Model'!$Q$8+'Heat Demand Model'!$O$22-'Heat Demand Model'!$G$54*'Heat Demand Model'!$G$10)*('Heat Demand Model'!$L$8-'Temperature Data Scotland'!D32)/(24*'Degree days C.F and HWS'!M15*'Heat Demand Model'!$R$15)+'Heat Demand Model'!$F$54*'Heat Demand Model'!$G$10/1000),0)</f>
        <v>0</v>
      </c>
      <c r="J17" s="898">
        <f>IF(E17&gt;0,((E17*'Heat Demand Model'!$Q$8+'Heat Demand Model'!$O$22-'Heat Demand Model'!$G$54*'Heat Demand Model'!$G$10)*('Heat Demand Model'!$L$8-'Temperature Data Scotland'!E32)/(24*'Degree days C.F and HWS'!J15*'Heat Demand Model'!$R$15)+'Heat Demand Model'!$F$54*'Heat Demand Model'!$G$10/1000),0)</f>
        <v>0</v>
      </c>
      <c r="K17" s="899">
        <f>IF(F17&gt;0,((F17*'Heat Demand Model'!$Q$8+'Heat Demand Model'!$O$22-'Heat Demand Model'!$G$54*'Heat Demand Model'!$G$10)*('Heat Demand Model'!$L$8-'Temperature Data Scotland'!F32)/(24*'Degree days C.F and HWS'!I15*'Heat Demand Model'!$R$15)+'Heat Demand Model'!$F$54*'Heat Demand Model'!$G$10/1000),0)</f>
        <v>0</v>
      </c>
      <c r="L17" s="51"/>
      <c r="M17" s="223"/>
    </row>
    <row r="18" spans="2:13">
      <c r="B18" s="88"/>
      <c r="C18" s="247" t="s">
        <v>120</v>
      </c>
      <c r="D18" s="906"/>
      <c r="E18" s="508"/>
      <c r="F18" s="509"/>
      <c r="G18" s="51"/>
      <c r="H18" s="859" t="s">
        <v>120</v>
      </c>
      <c r="I18" s="897">
        <f>IF(D18&gt;0,((D18*'Heat Demand Model'!$Q$8+'Heat Demand Model'!$O$22-'Heat Demand Model'!$G$54*'Heat Demand Model'!$G$10)*('Heat Demand Model'!$L$8-'Temperature Data Scotland'!D33)/(24*'Degree days C.F and HWS'!M16*'Heat Demand Model'!$R$13)+'Heat Demand Model'!$F$54*'Heat Demand Model'!$G$10/1000),0)</f>
        <v>0</v>
      </c>
      <c r="J18" s="898">
        <f>IF(E18&gt;0,((E18*'Heat Demand Model'!$Q$8+'Heat Demand Model'!$O$22-'Heat Demand Model'!$G$54*'Heat Demand Model'!$G$10)*('Heat Demand Model'!$L$8-'Temperature Data Scotland'!E33)/(24*'Degree days C.F and HWS'!J16*'Heat Demand Model'!$R$13)+'Heat Demand Model'!$F$54*'Heat Demand Model'!$G$10/1000),0)</f>
        <v>0</v>
      </c>
      <c r="K18" s="899">
        <f>IF(F18&gt;0,((F18*'Heat Demand Model'!$Q$8+'Heat Demand Model'!$O$22-'Heat Demand Model'!$G$54*'Heat Demand Model'!$G$10)*('Heat Demand Model'!$L$8-'Temperature Data Scotland'!F33)/(24*'Degree days C.F and HWS'!I16*'Heat Demand Model'!$R$13)+'Heat Demand Model'!$F$54*'Heat Demand Model'!$G$10/1000),0)</f>
        <v>0</v>
      </c>
      <c r="L18" s="51"/>
      <c r="M18" s="223"/>
    </row>
    <row r="19" spans="2:13">
      <c r="B19" s="88"/>
      <c r="C19" s="247" t="s">
        <v>119</v>
      </c>
      <c r="D19" s="906"/>
      <c r="E19" s="508"/>
      <c r="F19" s="509"/>
      <c r="G19" s="51"/>
      <c r="H19" s="859" t="s">
        <v>119</v>
      </c>
      <c r="I19" s="897">
        <f>IF(D19&gt;0,((D19*'Heat Demand Model'!$Q$8+'Heat Demand Model'!$O$22-'Heat Demand Model'!$G$54*'Heat Demand Model'!$G$10)*('Heat Demand Model'!$L$8-'Temperature Data Scotland'!D34)/(24*'Degree days C.F and HWS'!M17*'Heat Demand Model'!$R$13)+'Heat Demand Model'!$F$54*'Heat Demand Model'!$G$10/1000),0)</f>
        <v>0</v>
      </c>
      <c r="J19" s="898">
        <f>IF(E19&gt;0,((E19*'Heat Demand Model'!$Q$8+'Heat Demand Model'!$O$22-'Heat Demand Model'!$G$54*'Heat Demand Model'!$G$10)*('Heat Demand Model'!$L$8-'Temperature Data Scotland'!E34)/(24*'Degree days C.F and HWS'!J17*'Heat Demand Model'!$R$13)+'Heat Demand Model'!$F$54*'Heat Demand Model'!$G$10/1000),0)</f>
        <v>0</v>
      </c>
      <c r="K19" s="899">
        <f>IF(F19&gt;0,((F19*'Heat Demand Model'!$Q$8+'Heat Demand Model'!$O$22-'Heat Demand Model'!$G$54*'Heat Demand Model'!$G$10)*('Heat Demand Model'!$L$8-'Temperature Data Scotland'!F34)/(24*'Degree days C.F and HWS'!I17*'Heat Demand Model'!$R$13)+'Heat Demand Model'!$F$54*'Heat Demand Model'!$G$10/1000),0)</f>
        <v>0</v>
      </c>
      <c r="L19" s="51"/>
      <c r="M19" s="223"/>
    </row>
    <row r="20" spans="2:13">
      <c r="B20" s="88"/>
      <c r="C20" s="247" t="s">
        <v>118</v>
      </c>
      <c r="D20" s="906"/>
      <c r="E20" s="508"/>
      <c r="F20" s="509"/>
      <c r="G20" s="51"/>
      <c r="H20" s="859" t="s">
        <v>118</v>
      </c>
      <c r="I20" s="897">
        <f>IF(D20&gt;0,((D20*'Heat Demand Model'!$Q$8+'Heat Demand Model'!$O$22-'Heat Demand Model'!$G$54*'Heat Demand Model'!$G$10)*('Heat Demand Model'!$L$8-'Temperature Data Scotland'!D35)/(24*'Degree days C.F and HWS'!M18*'Heat Demand Model'!$R$13)+'Heat Demand Model'!$F$54*'Heat Demand Model'!$G$10/1000),0)</f>
        <v>0</v>
      </c>
      <c r="J20" s="898">
        <f>IF(E20&gt;0,((E20*'Heat Demand Model'!$Q$8+'Heat Demand Model'!$O$22-'Heat Demand Model'!$G$54*'Heat Demand Model'!$G$10)*('Heat Demand Model'!$L$8-'Temperature Data Scotland'!E35)/(24*'Degree days C.F and HWS'!J18*'Heat Demand Model'!$R$13)+'Heat Demand Model'!$F$54*'Heat Demand Model'!$G$10/1000),0)</f>
        <v>0</v>
      </c>
      <c r="K20" s="899">
        <f>IF(F20&gt;0,((F20*'Heat Demand Model'!$Q$8+'Heat Demand Model'!$O$22-'Heat Demand Model'!$G$54*'Heat Demand Model'!$G$10)*('Heat Demand Model'!$L$8-'Temperature Data Scotland'!F35)/(24*'Degree days C.F and HWS'!I18*'Heat Demand Model'!$R$13)+'Heat Demand Model'!$F$54*'Heat Demand Model'!$G$10/1000),0)</f>
        <v>0</v>
      </c>
      <c r="L20" s="51"/>
      <c r="M20" s="223"/>
    </row>
    <row r="21" spans="2:13">
      <c r="B21" s="88"/>
      <c r="C21" s="247" t="s">
        <v>117</v>
      </c>
      <c r="D21" s="906"/>
      <c r="E21" s="508"/>
      <c r="F21" s="509"/>
      <c r="G21" s="51"/>
      <c r="H21" s="859" t="s">
        <v>117</v>
      </c>
      <c r="I21" s="897">
        <f>IF(D21&gt;0,((D21*'Heat Demand Model'!$Q$8+'Heat Demand Model'!$O$22-'Heat Demand Model'!$G$54*'Heat Demand Model'!$G$10)*('Heat Demand Model'!$L$8-'Temperature Data Scotland'!D36)/(24*'Degree days C.F and HWS'!M19*'Heat Demand Model'!$R$15)+'Heat Demand Model'!$F$54*'Heat Demand Model'!$G$10/1000),0)</f>
        <v>0</v>
      </c>
      <c r="J21" s="898">
        <f>IF(E21&gt;0,((E21*'Heat Demand Model'!$Q$8+'Heat Demand Model'!$O$22-'Heat Demand Model'!$G$54*'Heat Demand Model'!$G$10)*('Heat Demand Model'!$L$8-'Temperature Data Scotland'!E36)/(24*'Degree days C.F and HWS'!J19*'Heat Demand Model'!$R$15)+'Heat Demand Model'!$F$54*'Heat Demand Model'!$G$10/1000),0)</f>
        <v>0</v>
      </c>
      <c r="K21" s="899">
        <f>IF(F21&gt;0,((F21*'Heat Demand Model'!$Q$8+'Heat Demand Model'!$O$22-'Heat Demand Model'!$G$54*'Heat Demand Model'!$G$10)*('Heat Demand Model'!$L$8-'Temperature Data Scotland'!F36)/(24*'Degree days C.F and HWS'!I19*'Heat Demand Model'!$R$15)+'Heat Demand Model'!$F$54*'Heat Demand Model'!$G$10/1000),0)</f>
        <v>0</v>
      </c>
      <c r="L21" s="51"/>
      <c r="M21" s="223"/>
    </row>
    <row r="22" spans="2:13">
      <c r="B22" s="88"/>
      <c r="C22" s="247" t="s">
        <v>116</v>
      </c>
      <c r="D22" s="906"/>
      <c r="E22" s="508"/>
      <c r="F22" s="509"/>
      <c r="G22" s="51"/>
      <c r="H22" s="859" t="s">
        <v>116</v>
      </c>
      <c r="I22" s="897">
        <f>IF(D22&gt;0,((D22*'Heat Demand Model'!$Q$8+'Heat Demand Model'!$O$22-'Heat Demand Model'!$G$54*'Heat Demand Model'!$G$10)*('Heat Demand Model'!$L$8-'Temperature Data Scotland'!D37)/(24*'Degree days C.F and HWS'!M20*'Heat Demand Model'!$R$15)+'Heat Demand Model'!$F$54*'Heat Demand Model'!$G$10/1000),0)</f>
        <v>0</v>
      </c>
      <c r="J22" s="898">
        <f>IF(E22&gt;0,((E22*'Heat Demand Model'!$Q$8+'Heat Demand Model'!$O$22-'Heat Demand Model'!$G$54*'Heat Demand Model'!$G$10)*('Heat Demand Model'!$L$8-'Temperature Data Scotland'!E37)/(24*'Degree days C.F and HWS'!J20*'Heat Demand Model'!$R$15)+'Heat Demand Model'!$F$54*'Heat Demand Model'!$G$10/1000),0)</f>
        <v>0</v>
      </c>
      <c r="K22" s="899">
        <f>IF(F22&gt;0,((F22*'Heat Demand Model'!$Q$8+'Heat Demand Model'!$O$22-'Heat Demand Model'!$G$54*'Heat Demand Model'!$G$10)*('Heat Demand Model'!$L$8-'Temperature Data Scotland'!F37)/(24*'Degree days C.F and HWS'!I20*'Heat Demand Model'!$R$15)+'Heat Demand Model'!$F$54*'Heat Demand Model'!$G$10/1000),0)</f>
        <v>0</v>
      </c>
      <c r="L22" s="51"/>
      <c r="M22" s="223"/>
    </row>
    <row r="23" spans="2:13">
      <c r="B23" s="88"/>
      <c r="C23" s="247" t="s">
        <v>115</v>
      </c>
      <c r="D23" s="906"/>
      <c r="E23" s="508"/>
      <c r="F23" s="509"/>
      <c r="G23" s="51"/>
      <c r="H23" s="859" t="s">
        <v>115</v>
      </c>
      <c r="I23" s="897">
        <f>IF(D23&gt;0,((D23*'Heat Demand Model'!$Q$8+'Heat Demand Model'!$O$22-'Heat Demand Model'!$G$54*'Heat Demand Model'!$G$10)*('Heat Demand Model'!$L$8-'Temperature Data Scotland'!D38)/(24*'Degree days C.F and HWS'!M21*'Heat Demand Model'!$R$15)+'Heat Demand Model'!$F$54*'Heat Demand Model'!$G$10/1000),0)</f>
        <v>0</v>
      </c>
      <c r="J23" s="898">
        <f>IF(E23&gt;0,((E23*'Heat Demand Model'!$Q$8+'Heat Demand Model'!$O$22-'Heat Demand Model'!$G$54*'Heat Demand Model'!$G$10)*('Heat Demand Model'!$L$8-'Temperature Data Scotland'!E38)/(24*'Degree days C.F and HWS'!J21*'Heat Demand Model'!$R$15)+'Heat Demand Model'!$F$54*'Heat Demand Model'!$G$10/1000),0)</f>
        <v>0</v>
      </c>
      <c r="K23" s="899">
        <f>IF(F23&gt;0,((F23*'Heat Demand Model'!$Q$8+'Heat Demand Model'!$O$22-'Heat Demand Model'!$G$54*'Heat Demand Model'!$G$10)*('Heat Demand Model'!$L$8-'Temperature Data Scotland'!F38)/(24*'Degree days C.F and HWS'!I21*'Heat Demand Model'!$R$15)+'Heat Demand Model'!$F$54*'Heat Demand Model'!$G$10/1000),0)</f>
        <v>0</v>
      </c>
      <c r="L23" s="51"/>
      <c r="M23" s="223"/>
    </row>
    <row r="24" spans="2:13" ht="15.75" thickBot="1">
      <c r="B24" s="88"/>
      <c r="C24" s="249" t="s">
        <v>114</v>
      </c>
      <c r="D24" s="907"/>
      <c r="E24" s="510"/>
      <c r="F24" s="511"/>
      <c r="G24" s="51"/>
      <c r="H24" s="860" t="s">
        <v>114</v>
      </c>
      <c r="I24" s="900">
        <f>IF(D24&gt;0,((D24*'Heat Demand Model'!$Q$8+'Heat Demand Model'!$O$22-'Heat Demand Model'!$G$54*'Heat Demand Model'!$G$10)*('Heat Demand Model'!$L$8-'Temperature Data Scotland'!D39)/(24*'Degree days C.F and HWS'!M22*'Heat Demand Model'!$R$14)+'Heat Demand Model'!$F$54*'Heat Demand Model'!$G$10/1000),0)</f>
        <v>0</v>
      </c>
      <c r="J24" s="901">
        <f>IF(E24&gt;0,((E24*'Heat Demand Model'!$Q$8+'Heat Demand Model'!$O$22-'Heat Demand Model'!$G$54*'Heat Demand Model'!$G$10)*('Heat Demand Model'!$L$8-'Temperature Data Scotland'!E39)/(24*'Degree days C.F and HWS'!J22*'Heat Demand Model'!$R$14)+'Heat Demand Model'!$F$54*'Heat Demand Model'!$G$10/1000),0)</f>
        <v>0</v>
      </c>
      <c r="K24" s="902">
        <f>IF(F24&gt;0,((F24*'Heat Demand Model'!$Q$8+'Heat Demand Model'!$O$22-'Heat Demand Model'!$G$54*'Heat Demand Model'!$G$10)*('Heat Demand Model'!$L$8-'Temperature Data Scotland'!F39)/(24*'Degree days C.F and HWS'!I22*'Heat Demand Model'!$R$14)+'Heat Demand Model'!$F$54*'Heat Demand Model'!$G$10/1000),0)</f>
        <v>0</v>
      </c>
      <c r="L24" s="51"/>
      <c r="M24" s="223"/>
    </row>
    <row r="25" spans="2:13">
      <c r="B25" s="88"/>
      <c r="C25" s="51"/>
      <c r="D25" s="51"/>
      <c r="E25" s="51"/>
      <c r="F25" s="51"/>
      <c r="G25" s="51"/>
      <c r="H25" s="51"/>
      <c r="I25" s="51"/>
      <c r="J25" s="51"/>
      <c r="K25" s="51"/>
      <c r="L25" s="51"/>
      <c r="M25" s="223"/>
    </row>
    <row r="26" spans="2:13" ht="15.75" thickBot="1">
      <c r="B26" s="88"/>
      <c r="C26" s="51"/>
      <c r="D26" s="51"/>
      <c r="E26" s="51"/>
      <c r="F26" s="51"/>
      <c r="G26" s="51"/>
      <c r="H26" s="51"/>
      <c r="I26" s="51"/>
      <c r="J26" s="51"/>
      <c r="K26" s="51"/>
      <c r="L26" s="51"/>
      <c r="M26" s="223"/>
    </row>
    <row r="27" spans="2:13" ht="17.25" thickTop="1" thickBot="1">
      <c r="B27" s="88"/>
      <c r="C27" s="834" t="s">
        <v>535</v>
      </c>
      <c r="D27" s="834"/>
      <c r="E27" s="835"/>
      <c r="F27" s="835"/>
      <c r="G27" s="835"/>
      <c r="H27" s="835"/>
      <c r="I27" s="857"/>
      <c r="J27" s="835"/>
      <c r="K27" s="835"/>
      <c r="L27" s="835"/>
      <c r="M27" s="223"/>
    </row>
    <row r="28" spans="2:13" ht="16.5" thickBot="1">
      <c r="B28" s="88"/>
      <c r="C28" s="829"/>
      <c r="D28" s="829"/>
      <c r="E28" s="51"/>
      <c r="F28" s="51"/>
      <c r="G28" s="51"/>
      <c r="H28" s="873" t="s">
        <v>549</v>
      </c>
      <c r="I28" s="936">
        <v>7</v>
      </c>
      <c r="K28" s="51"/>
      <c r="L28" s="51"/>
      <c r="M28" s="223"/>
    </row>
    <row r="29" spans="2:13" ht="16.5" thickBot="1">
      <c r="B29" s="88"/>
      <c r="C29" s="853" t="s">
        <v>550</v>
      </c>
      <c r="D29" s="854"/>
      <c r="E29" s="934">
        <v>21</v>
      </c>
      <c r="F29" s="51"/>
      <c r="G29" s="51"/>
      <c r="H29" s="876" t="s">
        <v>539</v>
      </c>
      <c r="I29" s="936">
        <v>52</v>
      </c>
      <c r="M29" s="223"/>
    </row>
    <row r="30" spans="2:13" ht="30" customHeight="1" thickBot="1">
      <c r="B30" s="88"/>
      <c r="C30" s="855" t="s">
        <v>538</v>
      </c>
      <c r="D30" s="856"/>
      <c r="E30" s="935"/>
      <c r="F30" s="51"/>
      <c r="G30" s="51"/>
      <c r="H30" s="875" t="s">
        <v>540</v>
      </c>
      <c r="I30" s="874">
        <f>E30*I29*I28*24/12</f>
        <v>0</v>
      </c>
      <c r="M30" s="223"/>
    </row>
    <row r="31" spans="2:13" ht="15.75" thickBot="1">
      <c r="B31" s="88"/>
      <c r="C31" s="1029" t="s">
        <v>537</v>
      </c>
      <c r="D31" s="1030"/>
      <c r="E31" s="1030"/>
      <c r="F31" s="1031"/>
      <c r="G31" s="51"/>
      <c r="H31" s="1033" t="s">
        <v>548</v>
      </c>
      <c r="I31" s="1034"/>
      <c r="J31" s="1034"/>
      <c r="K31" s="1035"/>
      <c r="L31" s="51"/>
      <c r="M31" s="223"/>
    </row>
    <row r="32" spans="2:13" ht="15.75" thickBot="1">
      <c r="B32" s="88"/>
      <c r="C32" s="506"/>
      <c r="D32" s="513" t="s">
        <v>129</v>
      </c>
      <c r="E32" s="513" t="s">
        <v>127</v>
      </c>
      <c r="F32" s="447" t="s">
        <v>128</v>
      </c>
      <c r="G32" s="51"/>
      <c r="H32" s="507"/>
      <c r="I32" s="888" t="s">
        <v>129</v>
      </c>
      <c r="J32" s="888" t="s">
        <v>127</v>
      </c>
      <c r="K32" s="889" t="s">
        <v>128</v>
      </c>
      <c r="L32" s="51"/>
      <c r="M32" s="223"/>
    </row>
    <row r="33" spans="2:13">
      <c r="B33" s="88"/>
      <c r="C33" s="247" t="s">
        <v>124</v>
      </c>
      <c r="D33" s="903"/>
      <c r="E33" s="904"/>
      <c r="F33" s="905"/>
      <c r="G33" s="51"/>
      <c r="H33" s="859" t="s">
        <v>124</v>
      </c>
      <c r="I33" s="878">
        <f>D33*24*'Degree days C.F and HWS'!M11/($E$29-'Temperature Data Scotland'!D28)</f>
        <v>0</v>
      </c>
      <c r="J33" s="832">
        <f>E33*24*'Degree days C.F and HWS'!J11/($E$29-'Temperature Data Scotland'!E28)</f>
        <v>0</v>
      </c>
      <c r="K33" s="877">
        <f>F33*24*'Degree days C.F and HWS'!I11/($E$29-'Temperature Data Scotland'!F28)</f>
        <v>0</v>
      </c>
      <c r="L33" s="51"/>
      <c r="M33" s="223"/>
    </row>
    <row r="34" spans="2:13">
      <c r="B34" s="88"/>
      <c r="C34" s="247" t="s">
        <v>123</v>
      </c>
      <c r="D34" s="906"/>
      <c r="E34" s="508"/>
      <c r="F34" s="509"/>
      <c r="G34" s="51"/>
      <c r="H34" s="859" t="s">
        <v>123</v>
      </c>
      <c r="I34" s="878">
        <f>D34*24*'Degree days C.F and HWS'!M12/($E$29-'Temperature Data Scotland'!D29)</f>
        <v>0</v>
      </c>
      <c r="J34" s="832">
        <f>E34*24*'Degree days C.F and HWS'!J12/($E$29-'Temperature Data Scotland'!E29)</f>
        <v>0</v>
      </c>
      <c r="K34" s="877">
        <f>F34*24*'Degree days C.F and HWS'!I12/($E$29-'Temperature Data Scotland'!F29)</f>
        <v>0</v>
      </c>
      <c r="L34" s="51"/>
      <c r="M34" s="223"/>
    </row>
    <row r="35" spans="2:13">
      <c r="B35" s="88"/>
      <c r="C35" s="247" t="s">
        <v>122</v>
      </c>
      <c r="D35" s="906"/>
      <c r="E35" s="508"/>
      <c r="F35" s="509"/>
      <c r="G35" s="51"/>
      <c r="H35" s="859" t="s">
        <v>122</v>
      </c>
      <c r="I35" s="878">
        <f>D35*24*'Degree days C.F and HWS'!M13/($E$29-'Temperature Data Scotland'!D30)</f>
        <v>0</v>
      </c>
      <c r="J35" s="832">
        <f>E35*24*'Degree days C.F and HWS'!J13/($E$29-'Temperature Data Scotland'!E30)</f>
        <v>0</v>
      </c>
      <c r="K35" s="877">
        <f>F35*24*'Degree days C.F and HWS'!I13/($E$29-'Temperature Data Scotland'!F30)</f>
        <v>0</v>
      </c>
      <c r="L35" s="51"/>
      <c r="M35" s="223"/>
    </row>
    <row r="36" spans="2:13">
      <c r="B36" s="88"/>
      <c r="C36" s="247" t="s">
        <v>121</v>
      </c>
      <c r="D36" s="906"/>
      <c r="E36" s="508"/>
      <c r="F36" s="509"/>
      <c r="G36" s="51"/>
      <c r="H36" s="859" t="s">
        <v>121</v>
      </c>
      <c r="I36" s="878">
        <f>D36*24*'Degree days C.F and HWS'!M14/($E$29-'Temperature Data Scotland'!D31)</f>
        <v>0</v>
      </c>
      <c r="J36" s="832">
        <f>E36*24*'Degree days C.F and HWS'!J14/($E$29-'Temperature Data Scotland'!E31)</f>
        <v>0</v>
      </c>
      <c r="K36" s="877">
        <f>F36*24*'Degree days C.F and HWS'!I14/($E$29-'Temperature Data Scotland'!F31)</f>
        <v>0</v>
      </c>
      <c r="L36" s="51"/>
      <c r="M36" s="223"/>
    </row>
    <row r="37" spans="2:13">
      <c r="B37" s="88"/>
      <c r="C37" s="247" t="s">
        <v>105</v>
      </c>
      <c r="D37" s="906"/>
      <c r="E37" s="508"/>
      <c r="F37" s="509"/>
      <c r="G37" s="51"/>
      <c r="H37" s="859" t="s">
        <v>105</v>
      </c>
      <c r="I37" s="878">
        <f>D37*24*'Degree days C.F and HWS'!M15/($E$29-'Temperature Data Scotland'!D32)</f>
        <v>0</v>
      </c>
      <c r="J37" s="832">
        <f>E37*24*'Degree days C.F and HWS'!J15/($E$29-'Temperature Data Scotland'!E32)</f>
        <v>0</v>
      </c>
      <c r="K37" s="877">
        <f>F37*24*'Degree days C.F and HWS'!I15/($E$29-'Temperature Data Scotland'!F32)</f>
        <v>0</v>
      </c>
      <c r="L37" s="51"/>
      <c r="M37" s="223"/>
    </row>
    <row r="38" spans="2:13">
      <c r="B38" s="88"/>
      <c r="C38" s="247" t="s">
        <v>120</v>
      </c>
      <c r="D38" s="906"/>
      <c r="E38" s="508"/>
      <c r="F38" s="509"/>
      <c r="G38" s="51"/>
      <c r="H38" s="859" t="s">
        <v>120</v>
      </c>
      <c r="I38" s="878">
        <f>D38*24*'Degree days C.F and HWS'!M16/($E$29-'Temperature Data Scotland'!D33)</f>
        <v>0</v>
      </c>
      <c r="J38" s="832">
        <f>E38*24*'Degree days C.F and HWS'!J16/($E$29-'Temperature Data Scotland'!E33)</f>
        <v>0</v>
      </c>
      <c r="K38" s="877">
        <f>F38*24*'Degree days C.F and HWS'!I16/($E$29-'Temperature Data Scotland'!F33)</f>
        <v>0</v>
      </c>
      <c r="L38" s="51"/>
      <c r="M38" s="223"/>
    </row>
    <row r="39" spans="2:13">
      <c r="B39" s="88"/>
      <c r="C39" s="247" t="s">
        <v>119</v>
      </c>
      <c r="D39" s="906"/>
      <c r="E39" s="508"/>
      <c r="F39" s="509"/>
      <c r="G39" s="51"/>
      <c r="H39" s="859" t="s">
        <v>119</v>
      </c>
      <c r="I39" s="878">
        <f>D39*24*'Degree days C.F and HWS'!M17/($E$29-'Temperature Data Scotland'!D34)</f>
        <v>0</v>
      </c>
      <c r="J39" s="832">
        <f>E39*24*'Degree days C.F and HWS'!J17/($E$29-'Temperature Data Scotland'!E34)</f>
        <v>0</v>
      </c>
      <c r="K39" s="877">
        <f>F39*24*'Degree days C.F and HWS'!I17/($E$29-'Temperature Data Scotland'!F34)</f>
        <v>0</v>
      </c>
      <c r="L39" s="51"/>
      <c r="M39" s="223"/>
    </row>
    <row r="40" spans="2:13">
      <c r="B40" s="88"/>
      <c r="C40" s="247" t="s">
        <v>118</v>
      </c>
      <c r="D40" s="906"/>
      <c r="E40" s="508"/>
      <c r="F40" s="509"/>
      <c r="G40" s="51"/>
      <c r="H40" s="859" t="s">
        <v>118</v>
      </c>
      <c r="I40" s="878">
        <f>D40*24*'Degree days C.F and HWS'!M18/($E$29-'Temperature Data Scotland'!D35)</f>
        <v>0</v>
      </c>
      <c r="J40" s="832">
        <f>E40*24*'Degree days C.F and HWS'!J18/($E$29-'Temperature Data Scotland'!E35)</f>
        <v>0</v>
      </c>
      <c r="K40" s="877">
        <f>F40*24*'Degree days C.F and HWS'!I18/($E$29-'Temperature Data Scotland'!F35)</f>
        <v>0</v>
      </c>
      <c r="L40" s="51"/>
      <c r="M40" s="223"/>
    </row>
    <row r="41" spans="2:13">
      <c r="B41" s="88"/>
      <c r="C41" s="247" t="s">
        <v>117</v>
      </c>
      <c r="D41" s="906"/>
      <c r="E41" s="508"/>
      <c r="F41" s="509"/>
      <c r="G41" s="51"/>
      <c r="H41" s="859" t="s">
        <v>117</v>
      </c>
      <c r="I41" s="878">
        <f>D41*24*'Degree days C.F and HWS'!M19/($E$29-'Temperature Data Scotland'!D36)</f>
        <v>0</v>
      </c>
      <c r="J41" s="832">
        <f>E41*24*'Degree days C.F and HWS'!J19/($E$29-'Temperature Data Scotland'!E36)</f>
        <v>0</v>
      </c>
      <c r="K41" s="877">
        <f>F41*24*'Degree days C.F and HWS'!I19/($E$29-'Temperature Data Scotland'!F36)</f>
        <v>0</v>
      </c>
      <c r="L41" s="51"/>
      <c r="M41" s="223"/>
    </row>
    <row r="42" spans="2:13">
      <c r="B42" s="88"/>
      <c r="C42" s="247" t="s">
        <v>116</v>
      </c>
      <c r="D42" s="906"/>
      <c r="E42" s="508"/>
      <c r="F42" s="509"/>
      <c r="G42" s="51"/>
      <c r="H42" s="859" t="s">
        <v>116</v>
      </c>
      <c r="I42" s="878">
        <f>D42*24*'Degree days C.F and HWS'!M20/($E$29-'Temperature Data Scotland'!D37)</f>
        <v>0</v>
      </c>
      <c r="J42" s="832">
        <f>E42*24*'Degree days C.F and HWS'!J20/($E$29-'Temperature Data Scotland'!E37)</f>
        <v>0</v>
      </c>
      <c r="K42" s="877">
        <f>F42*24*'Degree days C.F and HWS'!I20/($E$29-'Temperature Data Scotland'!F37)</f>
        <v>0</v>
      </c>
      <c r="L42" s="51"/>
      <c r="M42" s="223"/>
    </row>
    <row r="43" spans="2:13">
      <c r="B43" s="852"/>
      <c r="C43" s="247" t="s">
        <v>115</v>
      </c>
      <c r="D43" s="906"/>
      <c r="E43" s="508"/>
      <c r="F43" s="509"/>
      <c r="G43" s="51"/>
      <c r="H43" s="859" t="s">
        <v>115</v>
      </c>
      <c r="I43" s="878">
        <f>D43*24*'Degree days C.F and HWS'!M21/($E$29-'Temperature Data Scotland'!D38)</f>
        <v>0</v>
      </c>
      <c r="J43" s="832">
        <f>E43*24*'Degree days C.F and HWS'!J21/($E$29-'Temperature Data Scotland'!E38)</f>
        <v>0</v>
      </c>
      <c r="K43" s="877">
        <f>F43*24*'Degree days C.F and HWS'!I21/($E$29-'Temperature Data Scotland'!F38)</f>
        <v>0</v>
      </c>
      <c r="L43" s="51"/>
      <c r="M43" s="223"/>
    </row>
    <row r="44" spans="2:13" s="227" customFormat="1" ht="15.75" thickBot="1">
      <c r="B44" s="852"/>
      <c r="C44" s="249" t="s">
        <v>114</v>
      </c>
      <c r="D44" s="907"/>
      <c r="E44" s="510"/>
      <c r="F44" s="511"/>
      <c r="G44" s="220"/>
      <c r="H44" s="860" t="s">
        <v>114</v>
      </c>
      <c r="I44" s="879">
        <f>D44*24*'Degree days C.F and HWS'!M22/($E$29-'Temperature Data Scotland'!D39)</f>
        <v>0</v>
      </c>
      <c r="J44" s="833">
        <f>E44*24*'Degree days C.F and HWS'!J22/($E$29-'Temperature Data Scotland'!E39)</f>
        <v>0</v>
      </c>
      <c r="K44" s="880">
        <f>F44*24*'Degree days C.F and HWS'!I22/($E$29-'Temperature Data Scotland'!F39)</f>
        <v>0</v>
      </c>
      <c r="L44" s="220"/>
      <c r="M44" s="223"/>
    </row>
    <row r="45" spans="2:13" s="227" customFormat="1">
      <c r="B45" s="852"/>
      <c r="C45" s="220"/>
      <c r="D45" s="220"/>
      <c r="E45" s="220"/>
      <c r="F45" s="220"/>
      <c r="G45" s="220"/>
      <c r="H45" s="220"/>
      <c r="I45" s="220"/>
      <c r="J45" s="220"/>
      <c r="K45" s="220"/>
      <c r="L45" s="220"/>
      <c r="M45" s="223"/>
    </row>
    <row r="46" spans="2:13" s="227" customFormat="1">
      <c r="B46" s="852"/>
      <c r="C46" s="220"/>
      <c r="D46" s="220"/>
      <c r="E46" s="220"/>
      <c r="F46" s="220"/>
      <c r="G46" s="220"/>
      <c r="H46" s="220"/>
      <c r="I46" s="220"/>
      <c r="J46" s="220"/>
      <c r="K46" s="220"/>
      <c r="L46" s="220"/>
      <c r="M46" s="223"/>
    </row>
    <row r="47" spans="2:13" s="227" customFormat="1" ht="15.75" thickBot="1">
      <c r="B47" s="839"/>
      <c r="C47" s="494"/>
      <c r="D47" s="494"/>
      <c r="E47" s="494"/>
      <c r="F47" s="494"/>
      <c r="G47" s="494"/>
      <c r="H47" s="494"/>
      <c r="I47" s="494"/>
      <c r="J47" s="494"/>
      <c r="K47" s="494"/>
      <c r="L47" s="494"/>
      <c r="M47" s="225"/>
    </row>
    <row r="48" spans="2:13" s="227" customFormat="1"/>
    <row r="49" s="227" customFormat="1"/>
    <row r="50" s="227" customFormat="1"/>
    <row r="51" s="227" customFormat="1"/>
    <row r="52" s="227" customFormat="1"/>
    <row r="53" s="227" customFormat="1"/>
    <row r="54" s="227" customFormat="1"/>
    <row r="55" s="227" customFormat="1"/>
    <row r="56" s="227" customFormat="1"/>
    <row r="57" s="227" customFormat="1"/>
    <row r="58" s="227" customFormat="1"/>
    <row r="59" s="227" customFormat="1"/>
    <row r="60" s="227" customFormat="1"/>
    <row r="61" s="227" customFormat="1"/>
    <row r="62" s="227" customFormat="1"/>
    <row r="63" s="227" customFormat="1"/>
    <row r="64" s="227" customFormat="1"/>
    <row r="65" spans="2:13" s="227" customFormat="1">
      <c r="B65" s="836"/>
      <c r="C65" s="836"/>
      <c r="D65" s="836"/>
      <c r="E65" s="836"/>
      <c r="F65" s="836"/>
      <c r="G65" s="836"/>
      <c r="H65" s="836"/>
      <c r="I65" s="836"/>
      <c r="J65" s="836"/>
    </row>
    <row r="66" spans="2:13" s="227" customFormat="1">
      <c r="B66" s="836"/>
      <c r="C66" s="836"/>
      <c r="D66" s="836"/>
      <c r="E66" s="836"/>
      <c r="F66" s="836"/>
      <c r="G66" s="836"/>
      <c r="H66" s="836"/>
      <c r="I66" s="836"/>
      <c r="J66" s="836"/>
    </row>
    <row r="67" spans="2:13" s="227" customFormat="1">
      <c r="B67" s="840"/>
      <c r="C67" s="841" t="s">
        <v>541</v>
      </c>
      <c r="D67" s="841"/>
      <c r="E67" s="841"/>
      <c r="F67" s="841"/>
      <c r="G67" s="841"/>
      <c r="H67" s="841" t="s">
        <v>542</v>
      </c>
      <c r="I67" s="841"/>
      <c r="J67" s="842"/>
    </row>
    <row r="68" spans="2:13" s="227" customFormat="1" ht="15.75" thickBot="1">
      <c r="B68" s="843"/>
      <c r="C68" s="220"/>
      <c r="D68" s="220"/>
      <c r="E68" s="220"/>
      <c r="F68" s="220"/>
      <c r="G68" s="220"/>
      <c r="H68" s="220"/>
      <c r="I68" s="220"/>
      <c r="J68" s="844"/>
    </row>
    <row r="69" spans="2:13" s="227" customFormat="1" ht="30.75" thickBot="1">
      <c r="B69" s="843"/>
      <c r="C69" s="220"/>
      <c r="D69" s="428" t="s">
        <v>407</v>
      </c>
      <c r="E69" s="427" t="s">
        <v>406</v>
      </c>
      <c r="F69" s="220"/>
      <c r="G69" s="220"/>
      <c r="H69" s="428" t="s">
        <v>407</v>
      </c>
      <c r="I69" s="427" t="s">
        <v>406</v>
      </c>
      <c r="J69" s="844"/>
      <c r="K69" s="831"/>
      <c r="L69" s="1025"/>
      <c r="M69" s="1025"/>
    </row>
    <row r="70" spans="2:13" s="227" customFormat="1">
      <c r="B70" s="843"/>
      <c r="C70" s="218" t="s">
        <v>124</v>
      </c>
      <c r="D70" s="222">
        <f>IF('Heat Demand Model'!$K$27='Heat Demand Model'!$AH$5,'User Input'!I13,IF('Heat Demand Model'!$K$27='Heat Demand Model'!$AI$5,'User Input'!J13,IF('Heat Demand Model'!$K$27='Heat Demand Model'!$AJ$5,'User Input'!K13)))</f>
        <v>0</v>
      </c>
      <c r="E70" s="861">
        <f>IF('Heat Demand Model'!$K$27='Heat Demand Model'!$AH$5,'User Input'!D13,IF('Heat Demand Model'!$K$27='Heat Demand Model'!$AI$5,'User Input'!E13,IF('Heat Demand Model'!$K$27='Heat Demand Model'!$AJ$5,'User Input'!F13)))</f>
        <v>0</v>
      </c>
      <c r="F70" s="220"/>
      <c r="G70" s="218" t="s">
        <v>124</v>
      </c>
      <c r="H70" s="864">
        <f>IF('Heat Demand Model'!$K$27='Heat Demand Model'!$AH$5,D33+$E$30,IF('Heat Demand Model'!$K$27='Heat Demand Model'!$AI$5,E33+$E$30,IF('Heat Demand Model'!$K$27='Heat Demand Model'!$AJ$5,F33+$E$30)))</f>
        <v>0</v>
      </c>
      <c r="I70" s="865">
        <f>IF('Heat Demand Model'!$K$27='Heat Demand Model'!$AH$5,I33+$I$30,IF('Heat Demand Model'!$K$27='Heat Demand Model'!$AI$5,J33+$I$30,IF('Heat Demand Model'!$K$27='Heat Demand Model'!$AJ$5,K33+$I$30)))</f>
        <v>0</v>
      </c>
      <c r="J70" s="846"/>
      <c r="K70" s="831"/>
      <c r="L70" s="1025"/>
      <c r="M70" s="1025"/>
    </row>
    <row r="71" spans="2:13" s="227" customFormat="1">
      <c r="B71" s="843"/>
      <c r="C71" s="221" t="s">
        <v>123</v>
      </c>
      <c r="D71" s="220">
        <f>IF('Heat Demand Model'!$K$27='Heat Demand Model'!$AH$5,'User Input'!I14,IF('Heat Demand Model'!$K$27='Heat Demand Model'!$AI$5,'User Input'!J14,IF('Heat Demand Model'!$K$27='Heat Demand Model'!$AJ$5,'User Input'!K14)))</f>
        <v>0</v>
      </c>
      <c r="E71" s="862">
        <f>IF('Heat Demand Model'!$K$27='Heat Demand Model'!$AH$5,'User Input'!D14,IF('Heat Demand Model'!$K$27='Heat Demand Model'!$AI$5,'User Input'!E14,IF('Heat Demand Model'!$K$27='Heat Demand Model'!$AJ$5,'User Input'!F14)))</f>
        <v>0</v>
      </c>
      <c r="F71" s="220"/>
      <c r="G71" s="221" t="s">
        <v>123</v>
      </c>
      <c r="H71" s="845">
        <f>IF('Heat Demand Model'!$K$27='Heat Demand Model'!$AH$5,D34+$E$30,IF('Heat Demand Model'!$K$27='Heat Demand Model'!$AI$5,E34+$E$30,IF('Heat Demand Model'!$K$27='Heat Demand Model'!$AJ$5,F34+$E$30)))</f>
        <v>0</v>
      </c>
      <c r="I71" s="866">
        <f>IF('Heat Demand Model'!$K$27='Heat Demand Model'!$AH$5,I34+$I$30,IF('Heat Demand Model'!$K$27='Heat Demand Model'!$AI$5,J34+$I$30,IF('Heat Demand Model'!$K$27='Heat Demand Model'!$AJ$5,K34+$I$30)))</f>
        <v>0</v>
      </c>
      <c r="J71" s="844"/>
      <c r="K71" s="831"/>
      <c r="L71" s="1025"/>
      <c r="M71" s="1025"/>
    </row>
    <row r="72" spans="2:13" s="227" customFormat="1">
      <c r="B72" s="843"/>
      <c r="C72" s="219" t="s">
        <v>122</v>
      </c>
      <c r="D72" s="220">
        <f>IF('Heat Demand Model'!$K$27='Heat Demand Model'!$AH$5,'User Input'!I15,IF('Heat Demand Model'!$K$27='Heat Demand Model'!$AI$5,'User Input'!J15,IF('Heat Demand Model'!$K$27='Heat Demand Model'!$AJ$5,'User Input'!K15)))</f>
        <v>0</v>
      </c>
      <c r="E72" s="862">
        <f>IF('Heat Demand Model'!$K$27='Heat Demand Model'!$AH$5,'User Input'!D15,IF('Heat Demand Model'!$K$27='Heat Demand Model'!$AI$5,'User Input'!E15,IF('Heat Demand Model'!$K$27='Heat Demand Model'!$AJ$5,'User Input'!F15)))</f>
        <v>0</v>
      </c>
      <c r="F72" s="220"/>
      <c r="G72" s="219" t="s">
        <v>122</v>
      </c>
      <c r="H72" s="845">
        <f>IF('Heat Demand Model'!$K$27='Heat Demand Model'!$AH$5,D35+$E$30,IF('Heat Demand Model'!$K$27='Heat Demand Model'!$AI$5,E35+$E$30,IF('Heat Demand Model'!$K$27='Heat Demand Model'!$AJ$5,F35+$E$30)))</f>
        <v>0</v>
      </c>
      <c r="I72" s="866">
        <f>IF('Heat Demand Model'!$K$27='Heat Demand Model'!$AH$5,I35+$I$30,IF('Heat Demand Model'!$K$27='Heat Demand Model'!$AI$5,J35+$I$30,IF('Heat Demand Model'!$K$27='Heat Demand Model'!$AJ$5,K35+$I$30)))</f>
        <v>0</v>
      </c>
      <c r="J72" s="844"/>
      <c r="K72" s="831"/>
      <c r="L72" s="1025"/>
      <c r="M72" s="1025"/>
    </row>
    <row r="73" spans="2:13" s="227" customFormat="1">
      <c r="B73" s="843"/>
      <c r="C73" s="221" t="s">
        <v>121</v>
      </c>
      <c r="D73" s="220">
        <f>IF('Heat Demand Model'!$K$27='Heat Demand Model'!$AH$5,'User Input'!I16,IF('Heat Demand Model'!$K$27='Heat Demand Model'!$AI$5,'User Input'!J16,IF('Heat Demand Model'!$K$27='Heat Demand Model'!$AJ$5,'User Input'!K16)))</f>
        <v>0</v>
      </c>
      <c r="E73" s="862">
        <f>IF('Heat Demand Model'!$K$27='Heat Demand Model'!$AH$5,'User Input'!D16,IF('Heat Demand Model'!$K$27='Heat Demand Model'!$AI$5,'User Input'!E16,IF('Heat Demand Model'!$K$27='Heat Demand Model'!$AJ$5,'User Input'!F16)))</f>
        <v>0</v>
      </c>
      <c r="F73" s="220"/>
      <c r="G73" s="221" t="s">
        <v>121</v>
      </c>
      <c r="H73" s="845">
        <f>IF('Heat Demand Model'!$K$27='Heat Demand Model'!$AH$5,D36+$E$30,IF('Heat Demand Model'!$K$27='Heat Demand Model'!$AI$5,E36+$E$30,IF('Heat Demand Model'!$K$27='Heat Demand Model'!$AJ$5,F36+$E$30)))</f>
        <v>0</v>
      </c>
      <c r="I73" s="866">
        <f>IF('Heat Demand Model'!$K$27='Heat Demand Model'!$AH$5,I36+$I$30,IF('Heat Demand Model'!$K$27='Heat Demand Model'!$AI$5,J36+$I$30,IF('Heat Demand Model'!$K$27='Heat Demand Model'!$AJ$5,K36+$I$30)))</f>
        <v>0</v>
      </c>
      <c r="J73" s="844"/>
      <c r="K73" s="831"/>
      <c r="L73" s="1025"/>
      <c r="M73" s="1025"/>
    </row>
    <row r="74" spans="2:13" s="227" customFormat="1">
      <c r="B74" s="843"/>
      <c r="C74" s="219" t="s">
        <v>105</v>
      </c>
      <c r="D74" s="220">
        <f>IF('Heat Demand Model'!$K$27='Heat Demand Model'!$AH$5,'User Input'!I17,IF('Heat Demand Model'!$K$27='Heat Demand Model'!$AI$5,'User Input'!J17,IF('Heat Demand Model'!$K$27='Heat Demand Model'!$AJ$5,'User Input'!K17)))</f>
        <v>0</v>
      </c>
      <c r="E74" s="862">
        <f>IF('Heat Demand Model'!$K$27='Heat Demand Model'!$AH$5,'User Input'!D17,IF('Heat Demand Model'!$K$27='Heat Demand Model'!$AI$5,'User Input'!E17,IF('Heat Demand Model'!$K$27='Heat Demand Model'!$AJ$5,'User Input'!F17)))</f>
        <v>0</v>
      </c>
      <c r="F74" s="220"/>
      <c r="G74" s="219" t="s">
        <v>105</v>
      </c>
      <c r="H74" s="845">
        <f>IF('Heat Demand Model'!$K$27='Heat Demand Model'!$AH$5,D37+$E$30,IF('Heat Demand Model'!$K$27='Heat Demand Model'!$AI$5,E37+$E$30,IF('Heat Demand Model'!$K$27='Heat Demand Model'!$AJ$5,F37+$E$30)))</f>
        <v>0</v>
      </c>
      <c r="I74" s="866">
        <f>IF('Heat Demand Model'!$K$27='Heat Demand Model'!$AH$5,I37+$I$30,IF('Heat Demand Model'!$K$27='Heat Demand Model'!$AI$5,J37+$I$30,IF('Heat Demand Model'!$K$27='Heat Demand Model'!$AJ$5,K37+$I$30)))</f>
        <v>0</v>
      </c>
      <c r="J74" s="844"/>
      <c r="K74" s="831"/>
      <c r="L74" s="1025"/>
      <c r="M74" s="1025"/>
    </row>
    <row r="75" spans="2:13" s="227" customFormat="1">
      <c r="B75" s="843"/>
      <c r="C75" s="221" t="s">
        <v>120</v>
      </c>
      <c r="D75" s="220">
        <f>IF('Heat Demand Model'!$K$27='Heat Demand Model'!$AH$5,'User Input'!I18,IF('Heat Demand Model'!$K$27='Heat Demand Model'!$AI$5,'User Input'!J18,IF('Heat Demand Model'!$K$27='Heat Demand Model'!$AJ$5,'User Input'!K18)))</f>
        <v>0</v>
      </c>
      <c r="E75" s="862">
        <f>IF('Heat Demand Model'!$K$27='Heat Demand Model'!$AH$5,'User Input'!D18,IF('Heat Demand Model'!$K$27='Heat Demand Model'!$AI$5,'User Input'!E18,IF('Heat Demand Model'!$K$27='Heat Demand Model'!$AJ$5,'User Input'!F18)))</f>
        <v>0</v>
      </c>
      <c r="F75" s="220"/>
      <c r="G75" s="221" t="s">
        <v>120</v>
      </c>
      <c r="H75" s="845">
        <f>IF('Heat Demand Model'!$K$27='Heat Demand Model'!$AH$5,D38+$E$30,IF('Heat Demand Model'!$K$27='Heat Demand Model'!$AI$5,E38+$E$30,IF('Heat Demand Model'!$K$27='Heat Demand Model'!$AJ$5,F38+$E$30)))</f>
        <v>0</v>
      </c>
      <c r="I75" s="866">
        <f>IF('Heat Demand Model'!$K$27='Heat Demand Model'!$AH$5,I38+$I$30,IF('Heat Demand Model'!$K$27='Heat Demand Model'!$AI$5,J38+$I$30,IF('Heat Demand Model'!$K$27='Heat Demand Model'!$AJ$5,K38+$I$30)))</f>
        <v>0</v>
      </c>
      <c r="J75" s="844"/>
      <c r="K75" s="831"/>
      <c r="L75" s="1025"/>
      <c r="M75" s="1025"/>
    </row>
    <row r="76" spans="2:13" s="227" customFormat="1">
      <c r="B76" s="843"/>
      <c r="C76" s="219" t="s">
        <v>119</v>
      </c>
      <c r="D76" s="220">
        <f>IF('Heat Demand Model'!$K$27='Heat Demand Model'!$AH$5,'User Input'!I19,IF('Heat Demand Model'!$K$27='Heat Demand Model'!$AI$5,'User Input'!J19,IF('Heat Demand Model'!$K$27='Heat Demand Model'!$AJ$5,'User Input'!K19)))</f>
        <v>0</v>
      </c>
      <c r="E76" s="862">
        <f>IF('Heat Demand Model'!$K$27='Heat Demand Model'!$AH$5,'User Input'!D19,IF('Heat Demand Model'!$K$27='Heat Demand Model'!$AI$5,'User Input'!E19,IF('Heat Demand Model'!$K$27='Heat Demand Model'!$AJ$5,'User Input'!F19)))</f>
        <v>0</v>
      </c>
      <c r="F76" s="220"/>
      <c r="G76" s="219" t="s">
        <v>119</v>
      </c>
      <c r="H76" s="845">
        <f>IF('Heat Demand Model'!$K$27='Heat Demand Model'!$AH$5,D39+$E$30,IF('Heat Demand Model'!$K$27='Heat Demand Model'!$AI$5,E39+$E$30,IF('Heat Demand Model'!$K$27='Heat Demand Model'!$AJ$5,F39+$E$30)))</f>
        <v>0</v>
      </c>
      <c r="I76" s="866">
        <f>IF('Heat Demand Model'!$K$27='Heat Demand Model'!$AH$5,I39+$I$30,IF('Heat Demand Model'!$K$27='Heat Demand Model'!$AI$5,J39+$I$30,IF('Heat Demand Model'!$K$27='Heat Demand Model'!$AJ$5,K39+$I$30)))</f>
        <v>0</v>
      </c>
      <c r="J76" s="844"/>
      <c r="K76" s="831"/>
      <c r="L76" s="1025"/>
      <c r="M76" s="1025"/>
    </row>
    <row r="77" spans="2:13" s="227" customFormat="1">
      <c r="B77" s="843"/>
      <c r="C77" s="221" t="s">
        <v>118</v>
      </c>
      <c r="D77" s="220">
        <f>IF('Heat Demand Model'!$K$27='Heat Demand Model'!$AH$5,'User Input'!I20,IF('Heat Demand Model'!$K$27='Heat Demand Model'!$AI$5,'User Input'!J20,IF('Heat Demand Model'!$K$27='Heat Demand Model'!$AJ$5,'User Input'!K20)))</f>
        <v>0</v>
      </c>
      <c r="E77" s="862">
        <f>IF('Heat Demand Model'!$K$27='Heat Demand Model'!$AH$5,'User Input'!D20,IF('Heat Demand Model'!$K$27='Heat Demand Model'!$AI$5,'User Input'!E20,IF('Heat Demand Model'!$K$27='Heat Demand Model'!$AJ$5,'User Input'!F20)))</f>
        <v>0</v>
      </c>
      <c r="F77" s="220"/>
      <c r="G77" s="221" t="s">
        <v>118</v>
      </c>
      <c r="H77" s="845">
        <f>IF('Heat Demand Model'!$K$27='Heat Demand Model'!$AH$5,D40+$E$30,IF('Heat Demand Model'!$K$27='Heat Demand Model'!$AI$5,E40+$E$30,IF('Heat Demand Model'!$K$27='Heat Demand Model'!$AJ$5,F40+$E$30)))</f>
        <v>0</v>
      </c>
      <c r="I77" s="866">
        <f>IF('Heat Demand Model'!$K$27='Heat Demand Model'!$AH$5,I40+$I$30,IF('Heat Demand Model'!$K$27='Heat Demand Model'!$AI$5,J40+$I$30,IF('Heat Demand Model'!$K$27='Heat Demand Model'!$AJ$5,K40+$I$30)))</f>
        <v>0</v>
      </c>
      <c r="J77" s="844"/>
      <c r="K77" s="831"/>
      <c r="L77" s="1025"/>
      <c r="M77" s="1025"/>
    </row>
    <row r="78" spans="2:13" s="227" customFormat="1">
      <c r="B78" s="843"/>
      <c r="C78" s="219" t="s">
        <v>117</v>
      </c>
      <c r="D78" s="220">
        <f>IF('Heat Demand Model'!$K$27='Heat Demand Model'!$AH$5,'User Input'!I21,IF('Heat Demand Model'!$K$27='Heat Demand Model'!$AI$5,'User Input'!J21,IF('Heat Demand Model'!$K$27='Heat Demand Model'!$AJ$5,'User Input'!K21)))</f>
        <v>0</v>
      </c>
      <c r="E78" s="862">
        <f>IF('Heat Demand Model'!$K$27='Heat Demand Model'!$AH$5,'User Input'!D21,IF('Heat Demand Model'!$K$27='Heat Demand Model'!$AI$5,'User Input'!E21,IF('Heat Demand Model'!$K$27='Heat Demand Model'!$AJ$5,'User Input'!F21)))</f>
        <v>0</v>
      </c>
      <c r="F78" s="220"/>
      <c r="G78" s="219" t="s">
        <v>117</v>
      </c>
      <c r="H78" s="845">
        <f>IF('Heat Demand Model'!$K$27='Heat Demand Model'!$AH$5,D41+$E$30,IF('Heat Demand Model'!$K$27='Heat Demand Model'!$AI$5,E41+$E$30,IF('Heat Demand Model'!$K$27='Heat Demand Model'!$AJ$5,F41+$E$30)))</f>
        <v>0</v>
      </c>
      <c r="I78" s="866">
        <f>IF('Heat Demand Model'!$K$27='Heat Demand Model'!$AH$5,I41+$I$30,IF('Heat Demand Model'!$K$27='Heat Demand Model'!$AI$5,J41+$I$30,IF('Heat Demand Model'!$K$27='Heat Demand Model'!$AJ$5,K41+$I$30)))</f>
        <v>0</v>
      </c>
      <c r="J78" s="844"/>
      <c r="K78" s="831"/>
      <c r="L78" s="1025"/>
      <c r="M78" s="1025"/>
    </row>
    <row r="79" spans="2:13" s="227" customFormat="1">
      <c r="B79" s="843"/>
      <c r="C79" s="221" t="s">
        <v>116</v>
      </c>
      <c r="D79" s="220">
        <f>IF('Heat Demand Model'!$K$27='Heat Demand Model'!$AH$5,'User Input'!I22,IF('Heat Demand Model'!$K$27='Heat Demand Model'!$AI$5,'User Input'!J22,IF('Heat Demand Model'!$K$27='Heat Demand Model'!$AJ$5,'User Input'!K22)))</f>
        <v>0</v>
      </c>
      <c r="E79" s="862">
        <f>IF('Heat Demand Model'!$K$27='Heat Demand Model'!$AH$5,'User Input'!D22,IF('Heat Demand Model'!$K$27='Heat Demand Model'!$AI$5,'User Input'!E22,IF('Heat Demand Model'!$K$27='Heat Demand Model'!$AJ$5,'User Input'!F22)))</f>
        <v>0</v>
      </c>
      <c r="F79" s="220"/>
      <c r="G79" s="221" t="s">
        <v>116</v>
      </c>
      <c r="H79" s="845">
        <f>IF('Heat Demand Model'!$K$27='Heat Demand Model'!$AH$5,D42+$E$30,IF('Heat Demand Model'!$K$27='Heat Demand Model'!$AI$5,E42+$E$30,IF('Heat Demand Model'!$K$27='Heat Demand Model'!$AJ$5,F42+$E$30)))</f>
        <v>0</v>
      </c>
      <c r="I79" s="866">
        <f>IF('Heat Demand Model'!$K$27='Heat Demand Model'!$AH$5,I42+$I$30,IF('Heat Demand Model'!$K$27='Heat Demand Model'!$AI$5,J42+$I$30,IF('Heat Demand Model'!$K$27='Heat Demand Model'!$AJ$5,K42+$I$30)))</f>
        <v>0</v>
      </c>
      <c r="J79" s="844"/>
      <c r="K79" s="831"/>
      <c r="L79" s="1025"/>
      <c r="M79" s="1025"/>
    </row>
    <row r="80" spans="2:13" s="227" customFormat="1">
      <c r="B80" s="843"/>
      <c r="C80" s="219" t="s">
        <v>115</v>
      </c>
      <c r="D80" s="220">
        <f>IF('Heat Demand Model'!$K$27='Heat Demand Model'!$AH$5,'User Input'!I23,IF('Heat Demand Model'!$K$27='Heat Demand Model'!$AI$5,'User Input'!J23,IF('Heat Demand Model'!$K$27='Heat Demand Model'!$AJ$5,'User Input'!K23)))</f>
        <v>0</v>
      </c>
      <c r="E80" s="862">
        <f>IF('Heat Demand Model'!$K$27='Heat Demand Model'!$AH$5,'User Input'!D23,IF('Heat Demand Model'!$K$27='Heat Demand Model'!$AI$5,'User Input'!E23,IF('Heat Demand Model'!$K$27='Heat Demand Model'!$AJ$5,'User Input'!F23)))</f>
        <v>0</v>
      </c>
      <c r="F80" s="220"/>
      <c r="G80" s="219" t="s">
        <v>115</v>
      </c>
      <c r="H80" s="845">
        <f>IF('Heat Demand Model'!$K$27='Heat Demand Model'!$AH$5,D43+$E$30,IF('Heat Demand Model'!$K$27='Heat Demand Model'!$AI$5,E43+$E$30,IF('Heat Demand Model'!$K$27='Heat Demand Model'!$AJ$5,F43+$E$30)))</f>
        <v>0</v>
      </c>
      <c r="I80" s="866">
        <f>IF('Heat Demand Model'!$K$27='Heat Demand Model'!$AH$5,I43+$I$30,IF('Heat Demand Model'!$K$27='Heat Demand Model'!$AI$5,J43+$I$30,IF('Heat Demand Model'!$K$27='Heat Demand Model'!$AJ$5,K43+$I$30)))</f>
        <v>0</v>
      </c>
      <c r="J80" s="844"/>
      <c r="K80" s="831"/>
      <c r="L80" s="1025"/>
      <c r="M80" s="1025"/>
    </row>
    <row r="81" spans="2:13" s="227" customFormat="1" ht="15.75" thickBot="1">
      <c r="B81" s="843"/>
      <c r="C81" s="224" t="s">
        <v>114</v>
      </c>
      <c r="D81" s="494">
        <f>IF('Heat Demand Model'!$K$27='Heat Demand Model'!$AH$5,'User Input'!I24,IF('Heat Demand Model'!$K$27='Heat Demand Model'!$AI$5,'User Input'!J24,IF('Heat Demand Model'!$K$27='Heat Demand Model'!$AJ$5,'User Input'!K24)))</f>
        <v>0</v>
      </c>
      <c r="E81" s="863">
        <f>IF('Heat Demand Model'!$K$27='Heat Demand Model'!$AH$5,'User Input'!D24,IF('Heat Demand Model'!$K$27='Heat Demand Model'!$AI$5,'User Input'!E24,IF('Heat Demand Model'!$K$27='Heat Demand Model'!$AJ$5,'User Input'!F24)))</f>
        <v>0</v>
      </c>
      <c r="F81" s="220"/>
      <c r="G81" s="224" t="s">
        <v>114</v>
      </c>
      <c r="H81" s="867">
        <f>IF('Heat Demand Model'!$K$27='Heat Demand Model'!$AH$5,D44+$E$30,IF('Heat Demand Model'!$K$27='Heat Demand Model'!$AI$5,E44+$E$30,IF('Heat Demand Model'!$K$27='Heat Demand Model'!$AJ$5,F44+$E$30)))</f>
        <v>0</v>
      </c>
      <c r="I81" s="868">
        <f>IF('Heat Demand Model'!$K$27='Heat Demand Model'!$AH$5,I44+$I$30,IF('Heat Demand Model'!$K$27='Heat Demand Model'!$AI$5,J44+$I$30,IF('Heat Demand Model'!$K$27='Heat Demand Model'!$AJ$5,K44+$I$30)))</f>
        <v>0</v>
      </c>
      <c r="J81" s="844"/>
      <c r="L81" s="1025"/>
      <c r="M81" s="1025"/>
    </row>
    <row r="82" spans="2:13" s="227" customFormat="1">
      <c r="B82" s="843"/>
      <c r="C82" s="220"/>
      <c r="D82" s="220"/>
      <c r="E82" s="220"/>
      <c r="F82" s="220"/>
      <c r="G82" s="220"/>
      <c r="H82" s="220"/>
      <c r="I82" s="220"/>
      <c r="J82" s="844"/>
      <c r="L82" s="1025"/>
      <c r="M82" s="1025"/>
    </row>
    <row r="83" spans="2:13" s="227" customFormat="1">
      <c r="B83" s="843"/>
      <c r="C83" s="220"/>
      <c r="D83" s="220"/>
      <c r="E83" s="220"/>
      <c r="F83" s="220"/>
      <c r="G83" s="220"/>
      <c r="H83" s="220"/>
      <c r="I83" s="220"/>
      <c r="J83" s="844"/>
    </row>
    <row r="84" spans="2:13" s="227" customFormat="1">
      <c r="B84" s="843"/>
      <c r="C84" s="220"/>
      <c r="D84" s="220"/>
      <c r="E84" s="220"/>
      <c r="F84" s="220"/>
      <c r="G84" s="220"/>
      <c r="H84" s="220"/>
      <c r="I84" s="220"/>
      <c r="J84" s="844"/>
    </row>
    <row r="85" spans="2:13" s="227" customFormat="1">
      <c r="B85" s="843"/>
      <c r="C85" s="220"/>
      <c r="D85" s="220"/>
      <c r="E85" s="220"/>
      <c r="F85" s="220"/>
      <c r="G85" s="220"/>
      <c r="H85" s="220"/>
      <c r="I85" s="220"/>
      <c r="J85" s="844"/>
    </row>
    <row r="86" spans="2:13" s="227" customFormat="1">
      <c r="B86" s="843"/>
      <c r="C86" s="220"/>
      <c r="D86" s="220"/>
      <c r="E86" s="220"/>
      <c r="F86" s="220"/>
      <c r="G86" s="220"/>
      <c r="H86" s="220"/>
      <c r="I86" s="220"/>
      <c r="J86" s="844"/>
    </row>
    <row r="87" spans="2:13" s="227" customFormat="1">
      <c r="B87" s="843"/>
      <c r="C87" s="220"/>
      <c r="D87" s="220"/>
      <c r="E87" s="220"/>
      <c r="F87" s="220"/>
      <c r="G87" s="220"/>
      <c r="H87" s="220"/>
      <c r="I87" s="220"/>
      <c r="J87" s="844"/>
    </row>
    <row r="88" spans="2:13" s="227" customFormat="1">
      <c r="B88" s="843"/>
      <c r="C88" s="220"/>
      <c r="D88" s="220"/>
      <c r="E88" s="220"/>
      <c r="F88" s="220"/>
      <c r="G88" s="220"/>
      <c r="H88" s="220"/>
      <c r="I88" s="220"/>
      <c r="J88" s="844"/>
    </row>
    <row r="89" spans="2:13" s="227" customFormat="1">
      <c r="B89" s="843"/>
      <c r="C89" s="220" t="s">
        <v>543</v>
      </c>
      <c r="D89" s="220"/>
      <c r="E89" s="220"/>
      <c r="F89" s="220"/>
      <c r="G89" s="220"/>
      <c r="H89" s="220"/>
      <c r="I89" s="220"/>
      <c r="J89" s="844"/>
    </row>
    <row r="90" spans="2:13">
      <c r="B90" s="843"/>
      <c r="C90" s="220"/>
      <c r="D90" s="220" t="s">
        <v>408</v>
      </c>
      <c r="E90" s="220"/>
      <c r="F90" s="220"/>
      <c r="G90" s="220"/>
      <c r="H90" s="220"/>
      <c r="I90" s="220"/>
      <c r="J90" s="844"/>
      <c r="K90" s="227"/>
      <c r="L90" s="227"/>
    </row>
    <row r="91" spans="2:13" ht="12.75" customHeight="1" thickBot="1">
      <c r="B91" s="843"/>
      <c r="C91" s="220"/>
      <c r="D91" s="220"/>
      <c r="E91" s="220"/>
      <c r="F91" s="220"/>
      <c r="G91" s="220"/>
      <c r="H91" s="220"/>
      <c r="I91" s="220"/>
      <c r="J91" s="844"/>
      <c r="K91" s="227"/>
      <c r="L91" s="227"/>
    </row>
    <row r="92" spans="2:13" ht="30.75" thickBot="1">
      <c r="B92" s="847"/>
      <c r="C92" s="51"/>
      <c r="D92" s="428" t="s">
        <v>407</v>
      </c>
      <c r="E92" s="427" t="s">
        <v>406</v>
      </c>
      <c r="F92" s="51"/>
      <c r="G92" s="51"/>
      <c r="H92" s="51"/>
      <c r="I92" s="51"/>
      <c r="J92" s="848"/>
      <c r="K92" s="227"/>
      <c r="L92" s="227"/>
    </row>
    <row r="93" spans="2:13" ht="15.75" thickBot="1">
      <c r="B93" s="847"/>
      <c r="C93" s="218" t="s">
        <v>124</v>
      </c>
      <c r="D93" s="837">
        <f>IF(D$7="Energy Consumption",D70,H70)</f>
        <v>0</v>
      </c>
      <c r="E93" s="426">
        <f>IF(D$7="Energy Consumption",E70,I70)</f>
        <v>0</v>
      </c>
      <c r="F93" s="51"/>
      <c r="G93" s="51"/>
      <c r="H93" s="88" t="s">
        <v>304</v>
      </c>
      <c r="I93" s="51"/>
      <c r="J93" s="848"/>
      <c r="K93" s="227"/>
      <c r="L93" s="227"/>
    </row>
    <row r="94" spans="2:13" ht="15.75" thickBot="1">
      <c r="B94" s="847"/>
      <c r="C94" s="221" t="s">
        <v>123</v>
      </c>
      <c r="D94" s="837">
        <f t="shared" ref="D94:D104" si="0">IF(D$7="Energy Consumption",D71,H71)</f>
        <v>0</v>
      </c>
      <c r="E94" s="426">
        <f t="shared" ref="E94:E104" si="1">IF(D$7="Energy Consumption",E71,I71)</f>
        <v>0</v>
      </c>
      <c r="F94" s="51"/>
      <c r="G94" s="51"/>
      <c r="H94" s="71" t="s">
        <v>303</v>
      </c>
      <c r="I94" s="51"/>
      <c r="J94" s="848"/>
      <c r="K94" s="227"/>
      <c r="L94" s="227"/>
    </row>
    <row r="95" spans="2:13" ht="15.75" thickBot="1">
      <c r="B95" s="847"/>
      <c r="C95" s="219" t="s">
        <v>122</v>
      </c>
      <c r="D95" s="837">
        <f t="shared" si="0"/>
        <v>0</v>
      </c>
      <c r="E95" s="426">
        <f t="shared" si="1"/>
        <v>0</v>
      </c>
      <c r="F95" s="51"/>
      <c r="G95" s="51"/>
      <c r="H95" s="88" t="s">
        <v>302</v>
      </c>
      <c r="I95" s="51"/>
      <c r="J95" s="848"/>
      <c r="K95" s="227"/>
      <c r="L95" s="227"/>
    </row>
    <row r="96" spans="2:13" ht="15.75" thickBot="1">
      <c r="B96" s="847"/>
      <c r="C96" s="221" t="s">
        <v>121</v>
      </c>
      <c r="D96" s="837">
        <f t="shared" si="0"/>
        <v>0</v>
      </c>
      <c r="E96" s="426">
        <f t="shared" si="1"/>
        <v>0</v>
      </c>
      <c r="F96" s="51"/>
      <c r="G96" s="51"/>
      <c r="H96" s="74" t="s">
        <v>301</v>
      </c>
      <c r="I96" s="51"/>
      <c r="J96" s="848"/>
      <c r="K96" s="227"/>
      <c r="L96" s="227"/>
    </row>
    <row r="97" spans="2:12" ht="15.75" thickBot="1">
      <c r="B97" s="847"/>
      <c r="C97" s="219" t="s">
        <v>105</v>
      </c>
      <c r="D97" s="837">
        <f t="shared" si="0"/>
        <v>0</v>
      </c>
      <c r="E97" s="426">
        <f t="shared" si="1"/>
        <v>0</v>
      </c>
      <c r="F97" s="51"/>
      <c r="G97" s="51"/>
      <c r="H97" s="71" t="s">
        <v>300</v>
      </c>
      <c r="I97" s="51"/>
      <c r="J97" s="848"/>
      <c r="K97" s="227"/>
      <c r="L97" s="227"/>
    </row>
    <row r="98" spans="2:12" ht="15.75" thickBot="1">
      <c r="B98" s="847"/>
      <c r="C98" s="221" t="s">
        <v>120</v>
      </c>
      <c r="D98" s="837">
        <f t="shared" si="0"/>
        <v>0</v>
      </c>
      <c r="E98" s="426">
        <f t="shared" si="1"/>
        <v>0</v>
      </c>
      <c r="F98" s="51"/>
      <c r="G98" s="51"/>
      <c r="H98" s="88" t="s">
        <v>299</v>
      </c>
      <c r="I98" s="51"/>
      <c r="J98" s="848"/>
      <c r="K98" s="227"/>
      <c r="L98" s="227"/>
    </row>
    <row r="99" spans="2:12" ht="15.75" thickBot="1">
      <c r="B99" s="847"/>
      <c r="C99" s="219" t="s">
        <v>119</v>
      </c>
      <c r="D99" s="837">
        <f t="shared" si="0"/>
        <v>0</v>
      </c>
      <c r="E99" s="426">
        <f t="shared" si="1"/>
        <v>0</v>
      </c>
      <c r="F99" s="51"/>
      <c r="G99" s="51"/>
      <c r="H99" s="71" t="s">
        <v>298</v>
      </c>
      <c r="I99" s="51"/>
      <c r="J99" s="848"/>
      <c r="K99" s="227"/>
      <c r="L99" s="227"/>
    </row>
    <row r="100" spans="2:12" ht="15.75" thickBot="1">
      <c r="B100" s="847"/>
      <c r="C100" s="221" t="s">
        <v>118</v>
      </c>
      <c r="D100" s="837">
        <f t="shared" si="0"/>
        <v>0</v>
      </c>
      <c r="E100" s="426">
        <f t="shared" si="1"/>
        <v>0</v>
      </c>
      <c r="F100" s="51"/>
      <c r="G100" s="51"/>
      <c r="H100" s="88" t="s">
        <v>297</v>
      </c>
      <c r="I100" s="51"/>
      <c r="J100" s="848"/>
      <c r="K100" s="227"/>
      <c r="L100" s="227"/>
    </row>
    <row r="101" spans="2:12" ht="15.75" thickBot="1">
      <c r="B101" s="847"/>
      <c r="C101" s="219" t="s">
        <v>117</v>
      </c>
      <c r="D101" s="837">
        <f t="shared" si="0"/>
        <v>0</v>
      </c>
      <c r="E101" s="426">
        <f t="shared" si="1"/>
        <v>0</v>
      </c>
      <c r="F101" s="51"/>
      <c r="G101" s="51"/>
      <c r="H101" s="71" t="s">
        <v>296</v>
      </c>
      <c r="I101" s="51"/>
      <c r="J101" s="848"/>
      <c r="K101" s="227"/>
      <c r="L101" s="227"/>
    </row>
    <row r="102" spans="2:12" ht="15.75" thickBot="1">
      <c r="B102" s="847"/>
      <c r="C102" s="221" t="s">
        <v>116</v>
      </c>
      <c r="D102" s="837">
        <f t="shared" si="0"/>
        <v>0</v>
      </c>
      <c r="E102" s="426">
        <f t="shared" si="1"/>
        <v>0</v>
      </c>
      <c r="F102" s="51"/>
      <c r="G102" s="51"/>
      <c r="H102" s="30" t="s">
        <v>292</v>
      </c>
      <c r="I102" s="51"/>
      <c r="J102" s="848"/>
      <c r="K102" s="227"/>
      <c r="L102" s="227"/>
    </row>
    <row r="103" spans="2:12" ht="15.75" thickBot="1">
      <c r="B103" s="847"/>
      <c r="C103" s="219" t="s">
        <v>115</v>
      </c>
      <c r="D103" s="837">
        <f t="shared" si="0"/>
        <v>0</v>
      </c>
      <c r="E103" s="426">
        <f t="shared" si="1"/>
        <v>0</v>
      </c>
      <c r="F103" s="51"/>
      <c r="G103" s="51"/>
      <c r="H103" s="51"/>
      <c r="I103" s="51"/>
      <c r="J103" s="848"/>
      <c r="K103" s="227"/>
      <c r="L103" s="227"/>
    </row>
    <row r="104" spans="2:12" ht="15.75" thickBot="1">
      <c r="B104" s="847"/>
      <c r="C104" s="224" t="s">
        <v>114</v>
      </c>
      <c r="D104" s="869">
        <f t="shared" si="0"/>
        <v>0</v>
      </c>
      <c r="E104" s="870">
        <f t="shared" si="1"/>
        <v>0</v>
      </c>
      <c r="F104" s="51"/>
      <c r="G104" s="51"/>
      <c r="H104" s="51"/>
      <c r="I104" s="51"/>
      <c r="J104" s="848"/>
      <c r="K104" s="227"/>
      <c r="L104" s="227"/>
    </row>
    <row r="105" spans="2:12">
      <c r="B105" s="847"/>
      <c r="C105" s="51"/>
      <c r="D105" s="51"/>
      <c r="E105" s="838"/>
      <c r="F105" s="51"/>
      <c r="G105" s="51"/>
      <c r="H105" s="51"/>
      <c r="I105" s="51"/>
      <c r="J105" s="848"/>
      <c r="K105" s="227"/>
      <c r="L105" s="227"/>
    </row>
    <row r="106" spans="2:12">
      <c r="B106" s="847"/>
      <c r="C106" s="51"/>
      <c r="D106" s="51"/>
      <c r="E106" s="838"/>
      <c r="F106" s="51"/>
      <c r="G106" s="51"/>
      <c r="H106" s="51"/>
      <c r="I106" s="51"/>
      <c r="J106" s="848"/>
      <c r="K106" s="227"/>
      <c r="L106" s="227"/>
    </row>
    <row r="107" spans="2:12">
      <c r="B107" s="847"/>
      <c r="C107" s="51"/>
      <c r="D107" s="51"/>
      <c r="E107" s="51"/>
      <c r="F107" s="51"/>
      <c r="G107" s="51"/>
      <c r="H107" s="51"/>
      <c r="I107" s="51"/>
      <c r="J107" s="848"/>
      <c r="K107" s="227"/>
      <c r="L107" s="227"/>
    </row>
    <row r="108" spans="2:12">
      <c r="B108" s="847"/>
      <c r="C108" s="51"/>
      <c r="D108" s="51"/>
      <c r="E108" s="51"/>
      <c r="F108" s="51"/>
      <c r="G108" s="51"/>
      <c r="H108" s="51"/>
      <c r="I108" s="51"/>
      <c r="J108" s="848"/>
      <c r="K108" s="227"/>
      <c r="L108" s="227"/>
    </row>
    <row r="109" spans="2:12">
      <c r="B109" s="849"/>
      <c r="C109" s="850"/>
      <c r="D109" s="850"/>
      <c r="E109" s="850"/>
      <c r="F109" s="850"/>
      <c r="G109" s="850"/>
      <c r="H109" s="850"/>
      <c r="I109" s="850"/>
      <c r="J109" s="851"/>
      <c r="K109" s="227"/>
      <c r="L109" s="227"/>
    </row>
    <row r="110" spans="2:12">
      <c r="K110" s="227"/>
      <c r="L110" s="227"/>
    </row>
  </sheetData>
  <sheetProtection password="B1AA" sheet="1" selectLockedCells="1"/>
  <mergeCells count="20">
    <mergeCell ref="L74:M74"/>
    <mergeCell ref="C11:F11"/>
    <mergeCell ref="H11:K11"/>
    <mergeCell ref="I4:J5"/>
    <mergeCell ref="C31:F31"/>
    <mergeCell ref="H31:K31"/>
    <mergeCell ref="D7:E7"/>
    <mergeCell ref="L69:M69"/>
    <mergeCell ref="L70:M70"/>
    <mergeCell ref="L71:M71"/>
    <mergeCell ref="L72:M72"/>
    <mergeCell ref="L73:M73"/>
    <mergeCell ref="L81:M81"/>
    <mergeCell ref="L82:M82"/>
    <mergeCell ref="L75:M75"/>
    <mergeCell ref="L76:M76"/>
    <mergeCell ref="L77:M77"/>
    <mergeCell ref="L78:M78"/>
    <mergeCell ref="L79:M79"/>
    <mergeCell ref="L80:M80"/>
  </mergeCells>
  <dataValidations count="1">
    <dataValidation type="list" allowBlank="1" showInputMessage="1" showErrorMessage="1" sqref="D7">
      <formula1>"Energy Consumption,Design heat losses + HWS"</formula1>
    </dataValidation>
  </dataValidations>
  <hyperlinks>
    <hyperlink ref="I4:J5" location="'Heat Demand Model'!A1" display="'Heat Demand Model'!A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Plan9"/>
  <dimension ref="A1:BW81"/>
  <sheetViews>
    <sheetView showGridLines="0" zoomScale="85" zoomScaleNormal="85" workbookViewId="0">
      <selection activeCell="N4" sqref="N4"/>
    </sheetView>
  </sheetViews>
  <sheetFormatPr defaultRowHeight="14.25"/>
  <cols>
    <col min="1" max="1" width="3.42578125" style="231" customWidth="1"/>
    <col min="2" max="2" width="4.85546875" style="236" customWidth="1"/>
    <col min="3" max="3" width="14.5703125" style="236" customWidth="1"/>
    <col min="4" max="4" width="16.42578125" style="236" customWidth="1"/>
    <col min="5" max="6" width="14.85546875" style="236" customWidth="1"/>
    <col min="7" max="7" width="9.140625" style="236"/>
    <col min="8" max="8" width="12" style="236" customWidth="1"/>
    <col min="9" max="9" width="15.85546875" style="236" customWidth="1"/>
    <col min="10" max="10" width="12.42578125" style="236" customWidth="1"/>
    <col min="11" max="11" width="14" style="236" customWidth="1"/>
    <col min="12" max="12" width="9.140625" style="236"/>
    <col min="13" max="13" width="13.140625" style="236" customWidth="1"/>
    <col min="14" max="14" width="13.7109375" style="236" customWidth="1"/>
    <col min="15" max="15" width="13.42578125" style="236" customWidth="1"/>
    <col min="16" max="16" width="14.5703125" style="236" customWidth="1"/>
    <col min="17" max="17" width="9.140625" style="236"/>
    <col min="18" max="18" width="13.140625" style="236" customWidth="1"/>
    <col min="19" max="19" width="15.28515625" style="236" customWidth="1"/>
    <col min="20" max="20" width="15.140625" style="236" customWidth="1"/>
    <col min="21" max="21" width="13.42578125" style="236" customWidth="1"/>
    <col min="22" max="22" width="9.140625" style="236"/>
    <col min="23" max="23" width="13.7109375" style="236" customWidth="1"/>
    <col min="24" max="24" width="14.85546875" style="236" customWidth="1"/>
    <col min="25" max="25" width="14.5703125" style="236" customWidth="1"/>
    <col min="26" max="26" width="14.28515625" style="236" customWidth="1"/>
    <col min="27" max="27" width="9.140625" style="236"/>
    <col min="28" max="28" width="13.42578125" style="236" customWidth="1"/>
    <col min="29" max="29" width="15.28515625" style="236" customWidth="1"/>
    <col min="30" max="30" width="13.5703125" style="236" customWidth="1"/>
    <col min="31" max="31" width="13.7109375" style="236" customWidth="1"/>
    <col min="32" max="32" width="9.140625" style="236"/>
    <col min="33" max="33" width="13.5703125" style="236" customWidth="1"/>
    <col min="34" max="34" width="15.42578125" style="236" customWidth="1"/>
    <col min="35" max="35" width="14.85546875" style="236" customWidth="1"/>
    <col min="36" max="36" width="15.7109375" style="236" customWidth="1"/>
    <col min="37" max="37" width="9.140625" style="236"/>
    <col min="38" max="38" width="13.28515625" style="236" customWidth="1"/>
    <col min="39" max="39" width="14.7109375" style="236" customWidth="1"/>
    <col min="40" max="40" width="13" style="236" customWidth="1"/>
    <col min="41" max="41" width="15" style="236" customWidth="1"/>
    <col min="42" max="42" width="9.140625" style="236"/>
    <col min="43" max="43" width="14" style="236" customWidth="1"/>
    <col min="44" max="44" width="16.7109375" style="236" customWidth="1"/>
    <col min="45" max="45" width="15.7109375" style="236" customWidth="1"/>
    <col min="46" max="46" width="15.28515625" style="236" customWidth="1"/>
    <col min="47" max="47" width="9.140625" style="236"/>
    <col min="48" max="48" width="13.28515625" style="236" customWidth="1"/>
    <col min="49" max="49" width="15.42578125" style="236" customWidth="1"/>
    <col min="50" max="50" width="15.7109375" style="236" customWidth="1"/>
    <col min="51" max="51" width="16.28515625" style="236" customWidth="1"/>
    <col min="52" max="52" width="9.140625" style="236"/>
    <col min="53" max="75" width="9.140625" style="231"/>
    <col min="76" max="16384" width="9.140625" style="236"/>
  </cols>
  <sheetData>
    <row r="1" spans="2:52" s="231" customFormat="1" ht="15" thickBot="1"/>
    <row r="2" spans="2:52">
      <c r="B2" s="609"/>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c r="AY2" s="610"/>
      <c r="AZ2" s="611"/>
    </row>
    <row r="3" spans="2:52" ht="15" thickBot="1">
      <c r="B3" s="612"/>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c r="AV3" s="613"/>
      <c r="AW3" s="613"/>
      <c r="AX3" s="613"/>
      <c r="AY3" s="613"/>
      <c r="AZ3" s="614"/>
    </row>
    <row r="4" spans="2:52" ht="26.25" customHeight="1">
      <c r="B4" s="612"/>
      <c r="C4" s="613"/>
      <c r="D4" s="1044" t="s">
        <v>161</v>
      </c>
      <c r="E4" s="1044"/>
      <c r="F4" s="1044"/>
      <c r="G4" s="1044"/>
      <c r="H4" s="1044"/>
      <c r="I4" s="1045"/>
      <c r="J4" s="1046" t="s">
        <v>464</v>
      </c>
      <c r="K4" s="1047"/>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613"/>
      <c r="AM4" s="613"/>
      <c r="AN4" s="613"/>
      <c r="AO4" s="613"/>
      <c r="AP4" s="613"/>
      <c r="AQ4" s="613"/>
      <c r="AR4" s="613"/>
      <c r="AS4" s="613"/>
      <c r="AT4" s="613"/>
      <c r="AU4" s="613"/>
      <c r="AV4" s="613"/>
      <c r="AW4" s="613"/>
      <c r="AX4" s="613"/>
      <c r="AY4" s="613"/>
      <c r="AZ4" s="614"/>
    </row>
    <row r="5" spans="2:52" ht="19.5" thickBot="1">
      <c r="B5" s="612"/>
      <c r="C5" s="613"/>
      <c r="D5" s="615" t="s">
        <v>164</v>
      </c>
      <c r="E5" s="613"/>
      <c r="F5" s="613"/>
      <c r="G5" s="613"/>
      <c r="H5" s="613"/>
      <c r="J5" s="1048"/>
      <c r="K5" s="1049"/>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3"/>
      <c r="AW5" s="613"/>
      <c r="AX5" s="613"/>
      <c r="AY5" s="613"/>
      <c r="AZ5" s="614"/>
    </row>
    <row r="6" spans="2:52" ht="6.75" customHeight="1">
      <c r="B6" s="612"/>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4"/>
    </row>
    <row r="7" spans="2:52" ht="10.5" customHeight="1" thickBot="1">
      <c r="B7" s="612"/>
      <c r="C7" s="613"/>
      <c r="D7" s="613"/>
      <c r="E7" s="613"/>
      <c r="F7" s="613"/>
      <c r="G7" s="613"/>
      <c r="H7" s="613"/>
      <c r="I7" s="613"/>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13"/>
      <c r="AV7" s="613"/>
      <c r="AW7" s="613"/>
      <c r="AX7" s="613"/>
      <c r="AY7" s="613"/>
      <c r="AZ7" s="614"/>
    </row>
    <row r="8" spans="2:52" ht="15" thickBot="1">
      <c r="B8" s="612"/>
      <c r="C8" s="1041" t="s">
        <v>147</v>
      </c>
      <c r="D8" s="1042"/>
      <c r="E8" s="1042"/>
      <c r="F8" s="1043"/>
      <c r="G8" s="613"/>
      <c r="H8" s="1041" t="s">
        <v>146</v>
      </c>
      <c r="I8" s="1042"/>
      <c r="J8" s="1042"/>
      <c r="K8" s="1043"/>
      <c r="L8" s="613"/>
      <c r="M8" s="1041" t="s">
        <v>145</v>
      </c>
      <c r="N8" s="1042"/>
      <c r="O8" s="1042"/>
      <c r="P8" s="1043"/>
      <c r="Q8" s="613"/>
      <c r="R8" s="1041" t="s">
        <v>144</v>
      </c>
      <c r="S8" s="1042"/>
      <c r="T8" s="1042"/>
      <c r="U8" s="1043"/>
      <c r="V8" s="613"/>
      <c r="W8" s="1041" t="s">
        <v>143</v>
      </c>
      <c r="X8" s="1042"/>
      <c r="Y8" s="1042"/>
      <c r="Z8" s="1043"/>
      <c r="AA8" s="613"/>
      <c r="AB8" s="1041" t="s">
        <v>142</v>
      </c>
      <c r="AC8" s="1042"/>
      <c r="AD8" s="1042"/>
      <c r="AE8" s="1043"/>
      <c r="AF8" s="613"/>
      <c r="AG8" s="1041" t="s">
        <v>141</v>
      </c>
      <c r="AH8" s="1042"/>
      <c r="AI8" s="1042"/>
      <c r="AJ8" s="1043"/>
      <c r="AK8" s="613"/>
      <c r="AL8" s="1041" t="s">
        <v>140</v>
      </c>
      <c r="AM8" s="1042"/>
      <c r="AN8" s="1042"/>
      <c r="AO8" s="1043"/>
      <c r="AP8" s="613"/>
      <c r="AQ8" s="1041" t="s">
        <v>139</v>
      </c>
      <c r="AR8" s="1042"/>
      <c r="AS8" s="1042"/>
      <c r="AT8" s="1043"/>
      <c r="AU8" s="613"/>
      <c r="AV8" s="1041" t="s">
        <v>138</v>
      </c>
      <c r="AW8" s="1042"/>
      <c r="AX8" s="1042"/>
      <c r="AY8" s="1043"/>
      <c r="AZ8" s="614"/>
    </row>
    <row r="9" spans="2:52">
      <c r="B9" s="612"/>
      <c r="C9" s="616"/>
      <c r="D9" s="617" t="s">
        <v>129</v>
      </c>
      <c r="E9" s="618" t="s">
        <v>127</v>
      </c>
      <c r="F9" s="619" t="s">
        <v>128</v>
      </c>
      <c r="G9" s="613"/>
      <c r="H9" s="616"/>
      <c r="I9" s="617" t="s">
        <v>129</v>
      </c>
      <c r="J9" s="618" t="s">
        <v>127</v>
      </c>
      <c r="K9" s="619" t="s">
        <v>128</v>
      </c>
      <c r="L9" s="613"/>
      <c r="M9" s="616"/>
      <c r="N9" s="617" t="s">
        <v>129</v>
      </c>
      <c r="O9" s="618" t="s">
        <v>127</v>
      </c>
      <c r="P9" s="619" t="s">
        <v>128</v>
      </c>
      <c r="Q9" s="613"/>
      <c r="R9" s="616"/>
      <c r="S9" s="617" t="s">
        <v>129</v>
      </c>
      <c r="T9" s="618" t="s">
        <v>127</v>
      </c>
      <c r="U9" s="619" t="s">
        <v>128</v>
      </c>
      <c r="V9" s="613"/>
      <c r="W9" s="616"/>
      <c r="X9" s="617" t="s">
        <v>129</v>
      </c>
      <c r="Y9" s="618" t="s">
        <v>127</v>
      </c>
      <c r="Z9" s="619" t="s">
        <v>128</v>
      </c>
      <c r="AA9" s="613"/>
      <c r="AB9" s="616"/>
      <c r="AC9" s="617" t="s">
        <v>129</v>
      </c>
      <c r="AD9" s="618" t="s">
        <v>127</v>
      </c>
      <c r="AE9" s="619" t="s">
        <v>128</v>
      </c>
      <c r="AF9" s="613"/>
      <c r="AG9" s="616"/>
      <c r="AH9" s="617" t="s">
        <v>129</v>
      </c>
      <c r="AI9" s="618" t="s">
        <v>127</v>
      </c>
      <c r="AJ9" s="619" t="s">
        <v>128</v>
      </c>
      <c r="AK9" s="613"/>
      <c r="AL9" s="616"/>
      <c r="AM9" s="617" t="s">
        <v>129</v>
      </c>
      <c r="AN9" s="618" t="s">
        <v>127</v>
      </c>
      <c r="AO9" s="619" t="s">
        <v>128</v>
      </c>
      <c r="AP9" s="613"/>
      <c r="AQ9" s="616"/>
      <c r="AR9" s="617" t="s">
        <v>129</v>
      </c>
      <c r="AS9" s="618" t="s">
        <v>127</v>
      </c>
      <c r="AT9" s="619" t="s">
        <v>128</v>
      </c>
      <c r="AU9" s="613"/>
      <c r="AV9" s="616"/>
      <c r="AW9" s="617" t="s">
        <v>129</v>
      </c>
      <c r="AX9" s="618" t="s">
        <v>127</v>
      </c>
      <c r="AY9" s="619" t="s">
        <v>128</v>
      </c>
      <c r="AZ9" s="614"/>
    </row>
    <row r="10" spans="2:52">
      <c r="B10" s="612"/>
      <c r="C10" s="620" t="s">
        <v>124</v>
      </c>
      <c r="D10" s="621">
        <v>4.4000000000000004</v>
      </c>
      <c r="E10" s="622">
        <v>4.3</v>
      </c>
      <c r="F10" s="588">
        <v>5.4</v>
      </c>
      <c r="G10" s="613"/>
      <c r="H10" s="620" t="s">
        <v>124</v>
      </c>
      <c r="I10" s="621">
        <v>3.5</v>
      </c>
      <c r="J10" s="622">
        <v>2.8</v>
      </c>
      <c r="K10" s="588">
        <v>3.7</v>
      </c>
      <c r="L10" s="613"/>
      <c r="M10" s="620" t="s">
        <v>124</v>
      </c>
      <c r="N10" s="621">
        <v>4.2</v>
      </c>
      <c r="O10" s="622">
        <v>4.0999999999999996</v>
      </c>
      <c r="P10" s="588">
        <v>4.9000000000000004</v>
      </c>
      <c r="Q10" s="613"/>
      <c r="R10" s="620" t="s">
        <v>124</v>
      </c>
      <c r="S10" s="621">
        <v>3.1</v>
      </c>
      <c r="T10" s="622">
        <v>2.9</v>
      </c>
      <c r="U10" s="588">
        <v>4.2</v>
      </c>
      <c r="V10" s="613"/>
      <c r="W10" s="620" t="s">
        <v>124</v>
      </c>
      <c r="X10" s="621">
        <v>2.6</v>
      </c>
      <c r="Y10" s="622">
        <v>2.5</v>
      </c>
      <c r="Z10" s="588">
        <v>3.2</v>
      </c>
      <c r="AA10" s="613"/>
      <c r="AB10" s="620" t="s">
        <v>124</v>
      </c>
      <c r="AC10" s="621">
        <v>4.4000000000000004</v>
      </c>
      <c r="AD10" s="622">
        <v>3.3</v>
      </c>
      <c r="AE10" s="588">
        <v>5</v>
      </c>
      <c r="AF10" s="613"/>
      <c r="AG10" s="620" t="s">
        <v>124</v>
      </c>
      <c r="AH10" s="621">
        <v>1</v>
      </c>
      <c r="AI10" s="622">
        <v>1.1000000000000001</v>
      </c>
      <c r="AJ10" s="588">
        <v>2.1</v>
      </c>
      <c r="AK10" s="613"/>
      <c r="AL10" s="620" t="s">
        <v>124</v>
      </c>
      <c r="AM10" s="621">
        <v>3.9</v>
      </c>
      <c r="AN10" s="622">
        <v>3.4</v>
      </c>
      <c r="AO10" s="588">
        <v>4.0999999999999996</v>
      </c>
      <c r="AP10" s="613"/>
      <c r="AQ10" s="620" t="s">
        <v>124</v>
      </c>
      <c r="AR10" s="621">
        <v>2.8</v>
      </c>
      <c r="AS10" s="622">
        <v>2.6</v>
      </c>
      <c r="AT10" s="588">
        <v>3.6</v>
      </c>
      <c r="AU10" s="613"/>
      <c r="AV10" s="620" t="s">
        <v>124</v>
      </c>
      <c r="AW10" s="621">
        <v>3.1</v>
      </c>
      <c r="AX10" s="622">
        <v>2.8</v>
      </c>
      <c r="AY10" s="588">
        <v>3.8</v>
      </c>
      <c r="AZ10" s="614"/>
    </row>
    <row r="11" spans="2:52">
      <c r="B11" s="612"/>
      <c r="C11" s="620" t="s">
        <v>123</v>
      </c>
      <c r="D11" s="621">
        <v>3.9</v>
      </c>
      <c r="E11" s="622">
        <v>3.7</v>
      </c>
      <c r="F11" s="588">
        <v>4.5999999999999996</v>
      </c>
      <c r="G11" s="613"/>
      <c r="H11" s="620" t="s">
        <v>123</v>
      </c>
      <c r="I11" s="621">
        <v>2.9</v>
      </c>
      <c r="J11" s="622">
        <v>2.5</v>
      </c>
      <c r="K11" s="588">
        <v>3.7</v>
      </c>
      <c r="L11" s="613"/>
      <c r="M11" s="620" t="s">
        <v>123</v>
      </c>
      <c r="N11" s="621">
        <v>2.7</v>
      </c>
      <c r="O11" s="622">
        <v>2.7</v>
      </c>
      <c r="P11" s="588">
        <v>3.7</v>
      </c>
      <c r="Q11" s="613"/>
      <c r="R11" s="620" t="s">
        <v>123</v>
      </c>
      <c r="S11" s="621">
        <v>2.8</v>
      </c>
      <c r="T11" s="622">
        <v>2.9</v>
      </c>
      <c r="U11" s="588">
        <v>3.8</v>
      </c>
      <c r="V11" s="613"/>
      <c r="W11" s="620" t="s">
        <v>123</v>
      </c>
      <c r="X11" s="621">
        <v>2.9</v>
      </c>
      <c r="Y11" s="622">
        <v>1.9</v>
      </c>
      <c r="Z11" s="588">
        <v>3.1</v>
      </c>
      <c r="AA11" s="613"/>
      <c r="AB11" s="620" t="s">
        <v>123</v>
      </c>
      <c r="AC11" s="621">
        <v>3</v>
      </c>
      <c r="AD11" s="622">
        <v>3.3</v>
      </c>
      <c r="AE11" s="588">
        <v>4.5999999999999996</v>
      </c>
      <c r="AF11" s="613"/>
      <c r="AG11" s="620" t="s">
        <v>123</v>
      </c>
      <c r="AH11" s="621">
        <v>1.7</v>
      </c>
      <c r="AI11" s="622">
        <v>1.5</v>
      </c>
      <c r="AJ11" s="588">
        <v>2.8</v>
      </c>
      <c r="AK11" s="613"/>
      <c r="AL11" s="620" t="s">
        <v>123</v>
      </c>
      <c r="AM11" s="621">
        <v>3.2</v>
      </c>
      <c r="AN11" s="622">
        <v>3.3</v>
      </c>
      <c r="AO11" s="588">
        <v>4.3</v>
      </c>
      <c r="AP11" s="613"/>
      <c r="AQ11" s="620" t="s">
        <v>123</v>
      </c>
      <c r="AR11" s="621">
        <v>2.2999999999999998</v>
      </c>
      <c r="AS11" s="622">
        <v>2.5</v>
      </c>
      <c r="AT11" s="588">
        <v>3.7</v>
      </c>
      <c r="AU11" s="613"/>
      <c r="AV11" s="620" t="s">
        <v>123</v>
      </c>
      <c r="AW11" s="621">
        <v>6.1</v>
      </c>
      <c r="AX11" s="622">
        <v>6.3</v>
      </c>
      <c r="AY11" s="588">
        <v>6.7</v>
      </c>
      <c r="AZ11" s="614"/>
    </row>
    <row r="12" spans="2:52">
      <c r="B12" s="612"/>
      <c r="C12" s="620" t="s">
        <v>122</v>
      </c>
      <c r="D12" s="621">
        <v>5</v>
      </c>
      <c r="E12" s="622">
        <v>5</v>
      </c>
      <c r="F12" s="588">
        <v>5.6</v>
      </c>
      <c r="G12" s="613"/>
      <c r="H12" s="620" t="s">
        <v>122</v>
      </c>
      <c r="I12" s="621">
        <v>2.1</v>
      </c>
      <c r="J12" s="622">
        <v>2.1</v>
      </c>
      <c r="K12" s="588">
        <v>3.3</v>
      </c>
      <c r="L12" s="613"/>
      <c r="M12" s="620" t="s">
        <v>122</v>
      </c>
      <c r="N12" s="621">
        <v>5.3</v>
      </c>
      <c r="O12" s="622">
        <v>5.3</v>
      </c>
      <c r="P12" s="588">
        <v>6.1</v>
      </c>
      <c r="Q12" s="613"/>
      <c r="R12" s="620" t="s">
        <v>122</v>
      </c>
      <c r="S12" s="621">
        <v>4.7</v>
      </c>
      <c r="T12" s="622">
        <v>4.4000000000000004</v>
      </c>
      <c r="U12" s="588">
        <v>5.2</v>
      </c>
      <c r="V12" s="613"/>
      <c r="W12" s="620" t="s">
        <v>122</v>
      </c>
      <c r="X12" s="621">
        <v>5.7</v>
      </c>
      <c r="Y12" s="622">
        <v>5.4</v>
      </c>
      <c r="Z12" s="588">
        <v>5.9</v>
      </c>
      <c r="AA12" s="613"/>
      <c r="AB12" s="620" t="s">
        <v>122</v>
      </c>
      <c r="AC12" s="621">
        <v>4.7</v>
      </c>
      <c r="AD12" s="622">
        <v>4.7</v>
      </c>
      <c r="AE12" s="588">
        <v>5.7</v>
      </c>
      <c r="AF12" s="613"/>
      <c r="AG12" s="620" t="s">
        <v>122</v>
      </c>
      <c r="AH12" s="621">
        <v>2.2999999999999998</v>
      </c>
      <c r="AI12" s="622">
        <v>2</v>
      </c>
      <c r="AJ12" s="588">
        <v>3.2</v>
      </c>
      <c r="AK12" s="613"/>
      <c r="AL12" s="620" t="s">
        <v>122</v>
      </c>
      <c r="AM12" s="621">
        <v>5.0999999999999996</v>
      </c>
      <c r="AN12" s="622">
        <v>5.5</v>
      </c>
      <c r="AO12" s="588">
        <v>6.1</v>
      </c>
      <c r="AP12" s="613"/>
      <c r="AQ12" s="620" t="s">
        <v>122</v>
      </c>
      <c r="AR12" s="621">
        <v>4.3</v>
      </c>
      <c r="AS12" s="622">
        <v>4.5999999999999996</v>
      </c>
      <c r="AT12" s="588">
        <v>5.2</v>
      </c>
      <c r="AU12" s="613"/>
      <c r="AV12" s="620" t="s">
        <v>122</v>
      </c>
      <c r="AW12" s="621">
        <v>4.2</v>
      </c>
      <c r="AX12" s="622">
        <v>4.8</v>
      </c>
      <c r="AY12" s="588">
        <v>5.9</v>
      </c>
      <c r="AZ12" s="614"/>
    </row>
    <row r="13" spans="2:52">
      <c r="B13" s="612"/>
      <c r="C13" s="620" t="s">
        <v>121</v>
      </c>
      <c r="D13" s="621">
        <v>8.6</v>
      </c>
      <c r="E13" s="622">
        <v>8.9</v>
      </c>
      <c r="F13" s="588">
        <v>9.3000000000000007</v>
      </c>
      <c r="G13" s="613"/>
      <c r="H13" s="620" t="s">
        <v>121</v>
      </c>
      <c r="I13" s="621">
        <v>5.3</v>
      </c>
      <c r="J13" s="622">
        <v>5.7</v>
      </c>
      <c r="K13" s="588">
        <v>6.3</v>
      </c>
      <c r="L13" s="613"/>
      <c r="M13" s="620" t="s">
        <v>121</v>
      </c>
      <c r="N13" s="621">
        <v>6.4</v>
      </c>
      <c r="O13" s="622">
        <v>6.4</v>
      </c>
      <c r="P13" s="588">
        <v>7.2</v>
      </c>
      <c r="Q13" s="613"/>
      <c r="R13" s="620" t="s">
        <v>121</v>
      </c>
      <c r="S13" s="621">
        <v>7.2</v>
      </c>
      <c r="T13" s="622">
        <v>7.3</v>
      </c>
      <c r="U13" s="588">
        <v>7.9</v>
      </c>
      <c r="V13" s="613"/>
      <c r="W13" s="620" t="s">
        <v>121</v>
      </c>
      <c r="X13" s="621">
        <v>8.1</v>
      </c>
      <c r="Y13" s="622">
        <v>7.5</v>
      </c>
      <c r="Z13" s="588">
        <v>8.6</v>
      </c>
      <c r="AA13" s="613"/>
      <c r="AB13" s="620" t="s">
        <v>121</v>
      </c>
      <c r="AC13" s="621">
        <v>7</v>
      </c>
      <c r="AD13" s="622">
        <v>6.8</v>
      </c>
      <c r="AE13" s="588">
        <v>7.4</v>
      </c>
      <c r="AF13" s="613"/>
      <c r="AG13" s="620" t="s">
        <v>121</v>
      </c>
      <c r="AH13" s="621">
        <v>5.2</v>
      </c>
      <c r="AI13" s="622">
        <v>5.3</v>
      </c>
      <c r="AJ13" s="588">
        <v>5.9</v>
      </c>
      <c r="AK13" s="613"/>
      <c r="AL13" s="620" t="s">
        <v>121</v>
      </c>
      <c r="AM13" s="621">
        <v>4.9000000000000004</v>
      </c>
      <c r="AN13" s="622">
        <v>5.3</v>
      </c>
      <c r="AO13" s="588">
        <v>6</v>
      </c>
      <c r="AP13" s="613"/>
      <c r="AQ13" s="620" t="s">
        <v>121</v>
      </c>
      <c r="AR13" s="621">
        <v>6.6</v>
      </c>
      <c r="AS13" s="622">
        <v>6.9</v>
      </c>
      <c r="AT13" s="588">
        <v>7.5</v>
      </c>
      <c r="AU13" s="613"/>
      <c r="AV13" s="620" t="s">
        <v>121</v>
      </c>
      <c r="AW13" s="621">
        <v>4.4000000000000004</v>
      </c>
      <c r="AX13" s="622">
        <v>4.7</v>
      </c>
      <c r="AY13" s="588">
        <v>5.7</v>
      </c>
      <c r="AZ13" s="614"/>
    </row>
    <row r="14" spans="2:52">
      <c r="B14" s="612"/>
      <c r="C14" s="620" t="s">
        <v>105</v>
      </c>
      <c r="D14" s="621">
        <v>8.1999999999999993</v>
      </c>
      <c r="E14" s="622">
        <v>8.8000000000000007</v>
      </c>
      <c r="F14" s="588">
        <v>9.6999999999999993</v>
      </c>
      <c r="G14" s="613"/>
      <c r="H14" s="620" t="s">
        <v>105</v>
      </c>
      <c r="I14" s="621">
        <v>8.3000000000000007</v>
      </c>
      <c r="J14" s="622">
        <v>8.6999999999999993</v>
      </c>
      <c r="K14" s="588">
        <v>9.6999999999999993</v>
      </c>
      <c r="L14" s="613"/>
      <c r="M14" s="620" t="s">
        <v>105</v>
      </c>
      <c r="N14" s="621">
        <v>7.7</v>
      </c>
      <c r="O14" s="622">
        <v>8.4</v>
      </c>
      <c r="P14" s="588">
        <v>8.9</v>
      </c>
      <c r="Q14" s="613"/>
      <c r="R14" s="620" t="s">
        <v>105</v>
      </c>
      <c r="S14" s="621">
        <v>9.3000000000000007</v>
      </c>
      <c r="T14" s="622">
        <v>10</v>
      </c>
      <c r="U14" s="588">
        <v>10.4</v>
      </c>
      <c r="V14" s="613"/>
      <c r="W14" s="620" t="s">
        <v>105</v>
      </c>
      <c r="X14" s="621">
        <v>8.6999999999999993</v>
      </c>
      <c r="Y14" s="622">
        <v>9.4</v>
      </c>
      <c r="Z14" s="588">
        <v>9.6</v>
      </c>
      <c r="AA14" s="613"/>
      <c r="AB14" s="620" t="s">
        <v>105</v>
      </c>
      <c r="AC14" s="621">
        <v>9.3000000000000007</v>
      </c>
      <c r="AD14" s="622">
        <v>9.5</v>
      </c>
      <c r="AE14" s="588">
        <v>10</v>
      </c>
      <c r="AF14" s="613"/>
      <c r="AG14" s="620" t="s">
        <v>105</v>
      </c>
      <c r="AH14" s="621">
        <v>9.8000000000000007</v>
      </c>
      <c r="AI14" s="622">
        <v>10.1</v>
      </c>
      <c r="AJ14" s="588">
        <v>10.9</v>
      </c>
      <c r="AK14" s="613"/>
      <c r="AL14" s="620" t="s">
        <v>105</v>
      </c>
      <c r="AM14" s="621">
        <v>9</v>
      </c>
      <c r="AN14" s="622">
        <v>9.1</v>
      </c>
      <c r="AO14" s="588">
        <v>10.199999999999999</v>
      </c>
      <c r="AP14" s="613"/>
      <c r="AQ14" s="620" t="s">
        <v>105</v>
      </c>
      <c r="AR14" s="621">
        <v>8.9</v>
      </c>
      <c r="AS14" s="622">
        <v>9.4</v>
      </c>
      <c r="AT14" s="588">
        <v>10.4</v>
      </c>
      <c r="AU14" s="613"/>
      <c r="AV14" s="620" t="s">
        <v>105</v>
      </c>
      <c r="AW14" s="621">
        <v>9</v>
      </c>
      <c r="AX14" s="622">
        <v>9.6</v>
      </c>
      <c r="AY14" s="588">
        <v>10.5</v>
      </c>
      <c r="AZ14" s="614"/>
    </row>
    <row r="15" spans="2:52">
      <c r="B15" s="612"/>
      <c r="C15" s="620" t="s">
        <v>120</v>
      </c>
      <c r="D15" s="621">
        <v>11.3</v>
      </c>
      <c r="E15" s="622">
        <v>11.7</v>
      </c>
      <c r="F15" s="588">
        <v>13</v>
      </c>
      <c r="G15" s="613"/>
      <c r="H15" s="620" t="s">
        <v>120</v>
      </c>
      <c r="I15" s="621">
        <v>12.2</v>
      </c>
      <c r="J15" s="622">
        <v>12.9</v>
      </c>
      <c r="K15" s="588">
        <v>13.1</v>
      </c>
      <c r="L15" s="613"/>
      <c r="M15" s="620" t="s">
        <v>120</v>
      </c>
      <c r="N15" s="621">
        <v>11.7</v>
      </c>
      <c r="O15" s="622">
        <v>12.7</v>
      </c>
      <c r="P15" s="588">
        <v>13</v>
      </c>
      <c r="Q15" s="613"/>
      <c r="R15" s="620" t="s">
        <v>120</v>
      </c>
      <c r="S15" s="621">
        <v>11.4</v>
      </c>
      <c r="T15" s="622">
        <v>12.4</v>
      </c>
      <c r="U15" s="588">
        <v>12.6</v>
      </c>
      <c r="V15" s="613"/>
      <c r="W15" s="620" t="s">
        <v>120</v>
      </c>
      <c r="X15" s="621">
        <v>12.7</v>
      </c>
      <c r="Y15" s="622">
        <v>13.1</v>
      </c>
      <c r="Z15" s="588">
        <v>13.3</v>
      </c>
      <c r="AA15" s="613"/>
      <c r="AB15" s="620" t="s">
        <v>120</v>
      </c>
      <c r="AC15" s="621">
        <v>11.8</v>
      </c>
      <c r="AD15" s="622">
        <v>11.9</v>
      </c>
      <c r="AE15" s="588">
        <v>12.2</v>
      </c>
      <c r="AF15" s="613"/>
      <c r="AG15" s="620" t="s">
        <v>120</v>
      </c>
      <c r="AH15" s="621">
        <v>10.199999999999999</v>
      </c>
      <c r="AI15" s="622">
        <v>10.9</v>
      </c>
      <c r="AJ15" s="588">
        <v>11.3</v>
      </c>
      <c r="AK15" s="613"/>
      <c r="AL15" s="620" t="s">
        <v>120</v>
      </c>
      <c r="AM15" s="621">
        <v>10.1</v>
      </c>
      <c r="AN15" s="622">
        <v>10.7</v>
      </c>
      <c r="AO15" s="588">
        <v>11.6</v>
      </c>
      <c r="AP15" s="613"/>
      <c r="AQ15" s="620" t="s">
        <v>120</v>
      </c>
      <c r="AR15" s="621">
        <v>10.1</v>
      </c>
      <c r="AS15" s="622">
        <v>10.9</v>
      </c>
      <c r="AT15" s="588">
        <v>11.3</v>
      </c>
      <c r="AU15" s="613"/>
      <c r="AV15" s="620" t="s">
        <v>120</v>
      </c>
      <c r="AW15" s="621">
        <v>9.6999999999999993</v>
      </c>
      <c r="AX15" s="622">
        <v>10.7</v>
      </c>
      <c r="AY15" s="588">
        <v>11.3</v>
      </c>
      <c r="AZ15" s="614"/>
    </row>
    <row r="16" spans="2:52">
      <c r="B16" s="612"/>
      <c r="C16" s="620" t="s">
        <v>119</v>
      </c>
      <c r="D16" s="621">
        <v>12.3</v>
      </c>
      <c r="E16" s="622">
        <v>12.9</v>
      </c>
      <c r="F16" s="588">
        <v>13.3</v>
      </c>
      <c r="G16" s="613"/>
      <c r="H16" s="620" t="s">
        <v>119</v>
      </c>
      <c r="I16" s="621">
        <v>15.1</v>
      </c>
      <c r="J16" s="622">
        <v>16</v>
      </c>
      <c r="K16" s="588">
        <v>16</v>
      </c>
      <c r="L16" s="613"/>
      <c r="M16" s="620" t="s">
        <v>119</v>
      </c>
      <c r="N16" s="621">
        <v>12.8</v>
      </c>
      <c r="O16" s="622">
        <v>13.8</v>
      </c>
      <c r="P16" s="588">
        <v>14</v>
      </c>
      <c r="Q16" s="613"/>
      <c r="R16" s="620" t="s">
        <v>119</v>
      </c>
      <c r="S16" s="621">
        <v>12.4</v>
      </c>
      <c r="T16" s="622">
        <v>12.8</v>
      </c>
      <c r="U16" s="588">
        <v>13.3</v>
      </c>
      <c r="V16" s="613"/>
      <c r="W16" s="620" t="s">
        <v>119</v>
      </c>
      <c r="X16" s="621">
        <v>14.5</v>
      </c>
      <c r="Y16" s="622">
        <v>15</v>
      </c>
      <c r="Z16" s="588">
        <v>15.1</v>
      </c>
      <c r="AA16" s="613"/>
      <c r="AB16" s="620" t="s">
        <v>119</v>
      </c>
      <c r="AC16" s="621">
        <v>12.2</v>
      </c>
      <c r="AD16" s="622">
        <v>12.8</v>
      </c>
      <c r="AE16" s="588">
        <v>12.9</v>
      </c>
      <c r="AF16" s="613"/>
      <c r="AG16" s="620" t="s">
        <v>119</v>
      </c>
      <c r="AH16" s="621">
        <v>12.4</v>
      </c>
      <c r="AI16" s="622">
        <v>13.4</v>
      </c>
      <c r="AJ16" s="588">
        <v>13.7</v>
      </c>
      <c r="AK16" s="613"/>
      <c r="AL16" s="620" t="s">
        <v>119</v>
      </c>
      <c r="AM16" s="621">
        <v>12</v>
      </c>
      <c r="AN16" s="622">
        <v>12.5</v>
      </c>
      <c r="AO16" s="588">
        <v>13.4</v>
      </c>
      <c r="AP16" s="613"/>
      <c r="AQ16" s="620" t="s">
        <v>119</v>
      </c>
      <c r="AR16" s="621">
        <v>13.1</v>
      </c>
      <c r="AS16" s="622">
        <v>14.1</v>
      </c>
      <c r="AT16" s="588">
        <v>14.5</v>
      </c>
      <c r="AU16" s="613"/>
      <c r="AV16" s="620" t="s">
        <v>119</v>
      </c>
      <c r="AW16" s="621">
        <v>11.5</v>
      </c>
      <c r="AX16" s="622">
        <v>12.4</v>
      </c>
      <c r="AY16" s="588">
        <v>12.8</v>
      </c>
      <c r="AZ16" s="614"/>
    </row>
    <row r="17" spans="2:52">
      <c r="B17" s="612"/>
      <c r="C17" s="620" t="s">
        <v>118</v>
      </c>
      <c r="D17" s="621">
        <v>12</v>
      </c>
      <c r="E17" s="622">
        <v>12.7</v>
      </c>
      <c r="F17" s="588">
        <v>13.2</v>
      </c>
      <c r="G17" s="613"/>
      <c r="H17" s="620" t="s">
        <v>118</v>
      </c>
      <c r="I17" s="621">
        <v>12</v>
      </c>
      <c r="J17" s="622">
        <v>13.6</v>
      </c>
      <c r="K17" s="588">
        <v>13.7</v>
      </c>
      <c r="L17" s="613"/>
      <c r="M17" s="620" t="s">
        <v>118</v>
      </c>
      <c r="N17" s="621">
        <v>12.7</v>
      </c>
      <c r="O17" s="622">
        <v>13.3</v>
      </c>
      <c r="P17" s="588">
        <v>13.6</v>
      </c>
      <c r="Q17" s="613"/>
      <c r="R17" s="620" t="s">
        <v>118</v>
      </c>
      <c r="S17" s="621">
        <v>14</v>
      </c>
      <c r="T17" s="622">
        <v>14.3</v>
      </c>
      <c r="U17" s="588">
        <v>15.2</v>
      </c>
      <c r="V17" s="613"/>
      <c r="W17" s="620" t="s">
        <v>118</v>
      </c>
      <c r="X17" s="621">
        <v>14</v>
      </c>
      <c r="Y17" s="622">
        <v>14.5</v>
      </c>
      <c r="Z17" s="588">
        <v>14.8</v>
      </c>
      <c r="AA17" s="613"/>
      <c r="AB17" s="620" t="s">
        <v>118</v>
      </c>
      <c r="AC17" s="621">
        <v>13.5</v>
      </c>
      <c r="AD17" s="622">
        <v>14.3</v>
      </c>
      <c r="AE17" s="588">
        <v>14.5</v>
      </c>
      <c r="AF17" s="613"/>
      <c r="AG17" s="620" t="s">
        <v>118</v>
      </c>
      <c r="AH17" s="621">
        <v>12.7</v>
      </c>
      <c r="AI17" s="622">
        <v>13.2</v>
      </c>
      <c r="AJ17" s="588">
        <v>13.5</v>
      </c>
      <c r="AK17" s="613"/>
      <c r="AL17" s="620" t="s">
        <v>118</v>
      </c>
      <c r="AM17" s="621">
        <v>12.8</v>
      </c>
      <c r="AN17" s="622">
        <v>13.5</v>
      </c>
      <c r="AO17" s="588">
        <v>13.9</v>
      </c>
      <c r="AP17" s="613"/>
      <c r="AQ17" s="620" t="s">
        <v>118</v>
      </c>
      <c r="AR17" s="621">
        <v>12.4</v>
      </c>
      <c r="AS17" s="622">
        <v>12.6</v>
      </c>
      <c r="AT17" s="588">
        <v>13.5</v>
      </c>
      <c r="AU17" s="613"/>
      <c r="AV17" s="620" t="s">
        <v>118</v>
      </c>
      <c r="AW17" s="621">
        <v>12</v>
      </c>
      <c r="AX17" s="622">
        <v>12.7</v>
      </c>
      <c r="AY17" s="588">
        <v>13.1</v>
      </c>
      <c r="AZ17" s="614"/>
    </row>
    <row r="18" spans="2:52">
      <c r="B18" s="612"/>
      <c r="C18" s="620" t="s">
        <v>117</v>
      </c>
      <c r="D18" s="621">
        <v>10.1</v>
      </c>
      <c r="E18" s="622">
        <v>10.8</v>
      </c>
      <c r="F18" s="588">
        <v>11.3</v>
      </c>
      <c r="G18" s="613"/>
      <c r="H18" s="620" t="s">
        <v>117</v>
      </c>
      <c r="I18" s="621">
        <v>13</v>
      </c>
      <c r="J18" s="622">
        <v>13.3</v>
      </c>
      <c r="K18" s="588">
        <v>13.6</v>
      </c>
      <c r="L18" s="613"/>
      <c r="M18" s="620" t="s">
        <v>117</v>
      </c>
      <c r="N18" s="621">
        <v>11.5</v>
      </c>
      <c r="O18" s="622">
        <v>12.1</v>
      </c>
      <c r="P18" s="588">
        <v>12.6</v>
      </c>
      <c r="Q18" s="613"/>
      <c r="R18" s="620" t="s">
        <v>117</v>
      </c>
      <c r="S18" s="621">
        <v>11.2</v>
      </c>
      <c r="T18" s="622">
        <v>11.7</v>
      </c>
      <c r="U18" s="588">
        <v>12.3</v>
      </c>
      <c r="V18" s="613"/>
      <c r="W18" s="620" t="s">
        <v>117</v>
      </c>
      <c r="X18" s="621">
        <v>11.2</v>
      </c>
      <c r="Y18" s="622">
        <v>11.4</v>
      </c>
      <c r="Z18" s="588">
        <v>11.9</v>
      </c>
      <c r="AA18" s="613"/>
      <c r="AB18" s="620" t="s">
        <v>117</v>
      </c>
      <c r="AC18" s="621">
        <v>11.6</v>
      </c>
      <c r="AD18" s="622">
        <v>11.6</v>
      </c>
      <c r="AE18" s="588">
        <v>12.2</v>
      </c>
      <c r="AF18" s="613"/>
      <c r="AG18" s="620" t="s">
        <v>117</v>
      </c>
      <c r="AH18" s="621">
        <v>10.3</v>
      </c>
      <c r="AI18" s="622">
        <v>10.7</v>
      </c>
      <c r="AJ18" s="588">
        <v>11.5</v>
      </c>
      <c r="AK18" s="613"/>
      <c r="AL18" s="620" t="s">
        <v>117</v>
      </c>
      <c r="AM18" s="621">
        <v>11.3</v>
      </c>
      <c r="AN18" s="622">
        <v>11.5</v>
      </c>
      <c r="AO18" s="588">
        <v>12.3</v>
      </c>
      <c r="AP18" s="613"/>
      <c r="AQ18" s="620" t="s">
        <v>117</v>
      </c>
      <c r="AR18" s="621">
        <v>11.8</v>
      </c>
      <c r="AS18" s="622">
        <v>12.6</v>
      </c>
      <c r="AT18" s="588">
        <v>13</v>
      </c>
      <c r="AU18" s="613"/>
      <c r="AV18" s="620" t="s">
        <v>117</v>
      </c>
      <c r="AW18" s="621">
        <v>11.5</v>
      </c>
      <c r="AX18" s="622">
        <v>11.8</v>
      </c>
      <c r="AY18" s="588">
        <v>12.4</v>
      </c>
      <c r="AZ18" s="614"/>
    </row>
    <row r="19" spans="2:52">
      <c r="B19" s="612"/>
      <c r="C19" s="620" t="s">
        <v>116</v>
      </c>
      <c r="D19" s="621">
        <v>9.3000000000000007</v>
      </c>
      <c r="E19" s="622">
        <v>8.9</v>
      </c>
      <c r="F19" s="588">
        <v>9.8000000000000007</v>
      </c>
      <c r="G19" s="613"/>
      <c r="H19" s="620" t="s">
        <v>116</v>
      </c>
      <c r="I19" s="621">
        <v>9.4</v>
      </c>
      <c r="J19" s="622">
        <v>9.8000000000000007</v>
      </c>
      <c r="K19" s="588">
        <v>10.7</v>
      </c>
      <c r="L19" s="613"/>
      <c r="M19" s="620" t="s">
        <v>116</v>
      </c>
      <c r="N19" s="621">
        <v>9.5</v>
      </c>
      <c r="O19" s="622">
        <v>9.5</v>
      </c>
      <c r="P19" s="588">
        <v>10.4</v>
      </c>
      <c r="Q19" s="613"/>
      <c r="R19" s="620" t="s">
        <v>116</v>
      </c>
      <c r="S19" s="621">
        <v>7.4</v>
      </c>
      <c r="T19" s="622">
        <v>7.7</v>
      </c>
      <c r="U19" s="588">
        <v>8.1999999999999993</v>
      </c>
      <c r="V19" s="613"/>
      <c r="W19" s="620" t="s">
        <v>116</v>
      </c>
      <c r="X19" s="621">
        <v>6.4</v>
      </c>
      <c r="Y19" s="622">
        <v>6.8</v>
      </c>
      <c r="Z19" s="588">
        <v>7.4</v>
      </c>
      <c r="AA19" s="613"/>
      <c r="AB19" s="620" t="s">
        <v>116</v>
      </c>
      <c r="AC19" s="621">
        <v>6.7</v>
      </c>
      <c r="AD19" s="622">
        <v>6.5</v>
      </c>
      <c r="AE19" s="588">
        <v>7.4</v>
      </c>
      <c r="AF19" s="613"/>
      <c r="AG19" s="620" t="s">
        <v>116</v>
      </c>
      <c r="AH19" s="621">
        <v>10.3</v>
      </c>
      <c r="AI19" s="622">
        <v>10.7</v>
      </c>
      <c r="AJ19" s="588">
        <v>11.3</v>
      </c>
      <c r="AK19" s="613"/>
      <c r="AL19" s="620" t="s">
        <v>116</v>
      </c>
      <c r="AM19" s="621">
        <v>8</v>
      </c>
      <c r="AN19" s="622">
        <v>7.6</v>
      </c>
      <c r="AO19" s="588">
        <v>8.3000000000000007</v>
      </c>
      <c r="AP19" s="613"/>
      <c r="AQ19" s="620" t="s">
        <v>116</v>
      </c>
      <c r="AR19" s="621">
        <v>8.3000000000000007</v>
      </c>
      <c r="AS19" s="622">
        <v>8.3000000000000007</v>
      </c>
      <c r="AT19" s="588">
        <v>9.1</v>
      </c>
      <c r="AU19" s="613"/>
      <c r="AV19" s="620" t="s">
        <v>116</v>
      </c>
      <c r="AW19" s="621">
        <v>6.3</v>
      </c>
      <c r="AX19" s="622">
        <v>6.7</v>
      </c>
      <c r="AY19" s="588">
        <v>7.8</v>
      </c>
      <c r="AZ19" s="614"/>
    </row>
    <row r="20" spans="2:52">
      <c r="B20" s="612"/>
      <c r="C20" s="620" t="s">
        <v>115</v>
      </c>
      <c r="D20" s="621">
        <v>5.7</v>
      </c>
      <c r="E20" s="622">
        <v>5.7</v>
      </c>
      <c r="F20" s="588">
        <v>6.7</v>
      </c>
      <c r="G20" s="613"/>
      <c r="H20" s="620" t="s">
        <v>115</v>
      </c>
      <c r="I20" s="621">
        <v>5.9</v>
      </c>
      <c r="J20" s="622">
        <v>5.8</v>
      </c>
      <c r="K20" s="588">
        <v>6.8</v>
      </c>
      <c r="L20" s="613"/>
      <c r="M20" s="620" t="s">
        <v>115</v>
      </c>
      <c r="N20" s="621">
        <v>4.8</v>
      </c>
      <c r="O20" s="622">
        <v>4.2</v>
      </c>
      <c r="P20" s="588">
        <v>5.2</v>
      </c>
      <c r="Q20" s="613"/>
      <c r="R20" s="620" t="s">
        <v>115</v>
      </c>
      <c r="S20" s="621">
        <v>5.8</v>
      </c>
      <c r="T20" s="622">
        <v>5.6</v>
      </c>
      <c r="U20" s="588">
        <v>6.8</v>
      </c>
      <c r="V20" s="613"/>
      <c r="W20" s="620" t="s">
        <v>115</v>
      </c>
      <c r="X20" s="621">
        <v>6.1</v>
      </c>
      <c r="Y20" s="622">
        <v>6</v>
      </c>
      <c r="Z20" s="588">
        <v>7.1</v>
      </c>
      <c r="AA20" s="613"/>
      <c r="AB20" s="620" t="s">
        <v>115</v>
      </c>
      <c r="AC20" s="621">
        <v>6.1</v>
      </c>
      <c r="AD20" s="622">
        <v>5.7</v>
      </c>
      <c r="AE20" s="588">
        <v>6.8</v>
      </c>
      <c r="AF20" s="613"/>
      <c r="AG20" s="620" t="s">
        <v>115</v>
      </c>
      <c r="AH20" s="621">
        <v>5.7</v>
      </c>
      <c r="AI20" s="622">
        <v>5.6</v>
      </c>
      <c r="AJ20" s="588">
        <v>6.7</v>
      </c>
      <c r="AK20" s="613"/>
      <c r="AL20" s="620" t="s">
        <v>115</v>
      </c>
      <c r="AM20" s="621">
        <v>4.0999999999999996</v>
      </c>
      <c r="AN20" s="622">
        <v>4.0999999999999996</v>
      </c>
      <c r="AO20" s="588">
        <v>5</v>
      </c>
      <c r="AP20" s="613"/>
      <c r="AQ20" s="620" t="s">
        <v>115</v>
      </c>
      <c r="AR20" s="621">
        <v>5.6</v>
      </c>
      <c r="AS20" s="622">
        <v>5.5</v>
      </c>
      <c r="AT20" s="588">
        <v>6.2</v>
      </c>
      <c r="AU20" s="613"/>
      <c r="AV20" s="620" t="s">
        <v>115</v>
      </c>
      <c r="AW20" s="621">
        <v>4.0999999999999996</v>
      </c>
      <c r="AX20" s="622">
        <v>3.7</v>
      </c>
      <c r="AY20" s="588">
        <v>5.0999999999999996</v>
      </c>
      <c r="AZ20" s="614"/>
    </row>
    <row r="21" spans="2:52" ht="15" thickBot="1">
      <c r="B21" s="612"/>
      <c r="C21" s="623" t="s">
        <v>114</v>
      </c>
      <c r="D21" s="624">
        <v>3.3</v>
      </c>
      <c r="E21" s="625">
        <v>2.2999999999999998</v>
      </c>
      <c r="F21" s="590">
        <v>4.0999999999999996</v>
      </c>
      <c r="G21" s="613"/>
      <c r="H21" s="623" t="s">
        <v>114</v>
      </c>
      <c r="I21" s="624">
        <v>4.4000000000000004</v>
      </c>
      <c r="J21" s="625">
        <v>3.5</v>
      </c>
      <c r="K21" s="590">
        <v>5.2</v>
      </c>
      <c r="L21" s="613"/>
      <c r="M21" s="623" t="s">
        <v>114</v>
      </c>
      <c r="N21" s="624">
        <v>3.1</v>
      </c>
      <c r="O21" s="625">
        <v>4.0999999999999996</v>
      </c>
      <c r="P21" s="590">
        <v>3.8</v>
      </c>
      <c r="Q21" s="613"/>
      <c r="R21" s="623" t="s">
        <v>114</v>
      </c>
      <c r="S21" s="624">
        <v>3.7</v>
      </c>
      <c r="T21" s="625">
        <v>5</v>
      </c>
      <c r="U21" s="590">
        <v>4.5999999999999996</v>
      </c>
      <c r="V21" s="613"/>
      <c r="W21" s="623" t="s">
        <v>114</v>
      </c>
      <c r="X21" s="624">
        <v>3.1</v>
      </c>
      <c r="Y21" s="625">
        <v>2.8</v>
      </c>
      <c r="Z21" s="590">
        <v>3.9</v>
      </c>
      <c r="AA21" s="613"/>
      <c r="AB21" s="623" t="s">
        <v>114</v>
      </c>
      <c r="AC21" s="624">
        <v>3.3</v>
      </c>
      <c r="AD21" s="625">
        <v>3.5</v>
      </c>
      <c r="AE21" s="590">
        <v>3.9</v>
      </c>
      <c r="AF21" s="613"/>
      <c r="AG21" s="623" t="s">
        <v>114</v>
      </c>
      <c r="AH21" s="624">
        <v>2.5</v>
      </c>
      <c r="AI21" s="625">
        <v>1.8</v>
      </c>
      <c r="AJ21" s="590">
        <v>3.1</v>
      </c>
      <c r="AK21" s="613"/>
      <c r="AL21" s="623" t="s">
        <v>114</v>
      </c>
      <c r="AM21" s="624">
        <v>3</v>
      </c>
      <c r="AN21" s="625">
        <v>2.9</v>
      </c>
      <c r="AO21" s="590">
        <v>3.8</v>
      </c>
      <c r="AP21" s="613"/>
      <c r="AQ21" s="623" t="s">
        <v>114</v>
      </c>
      <c r="AR21" s="624">
        <v>1.7</v>
      </c>
      <c r="AS21" s="625">
        <v>1.4</v>
      </c>
      <c r="AT21" s="590">
        <v>2.8</v>
      </c>
      <c r="AU21" s="613"/>
      <c r="AV21" s="623" t="s">
        <v>114</v>
      </c>
      <c r="AW21" s="624">
        <v>4.0999999999999996</v>
      </c>
      <c r="AX21" s="625">
        <v>3.4</v>
      </c>
      <c r="AY21" s="590">
        <v>4.7</v>
      </c>
      <c r="AZ21" s="614"/>
    </row>
    <row r="22" spans="2:52">
      <c r="B22" s="612"/>
      <c r="C22" s="613"/>
      <c r="D22" s="613"/>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613"/>
      <c r="AM22" s="613"/>
      <c r="AN22" s="613"/>
      <c r="AO22" s="613"/>
      <c r="AP22" s="613"/>
      <c r="AQ22" s="613"/>
      <c r="AR22" s="613"/>
      <c r="AS22" s="613"/>
      <c r="AT22" s="613"/>
      <c r="AU22" s="613"/>
      <c r="AV22" s="613"/>
      <c r="AW22" s="613"/>
      <c r="AX22" s="613"/>
      <c r="AY22" s="613"/>
      <c r="AZ22" s="614"/>
    </row>
    <row r="23" spans="2:52">
      <c r="B23" s="612"/>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3"/>
      <c r="AO23" s="613"/>
      <c r="AP23" s="613"/>
      <c r="AQ23" s="613"/>
      <c r="AR23" s="613"/>
      <c r="AS23" s="613"/>
      <c r="AT23" s="613"/>
      <c r="AU23" s="613"/>
      <c r="AV23" s="613"/>
      <c r="AW23" s="613"/>
      <c r="AX23" s="613"/>
      <c r="AY23" s="613"/>
      <c r="AZ23" s="614"/>
    </row>
    <row r="24" spans="2:52">
      <c r="B24" s="612"/>
      <c r="C24" s="613"/>
      <c r="D24" s="613"/>
      <c r="E24" s="613"/>
      <c r="F24" s="613"/>
      <c r="G24" s="613"/>
      <c r="H24" s="613"/>
      <c r="I24" s="613"/>
      <c r="J24" s="613"/>
      <c r="K24" s="613"/>
      <c r="L24" s="613"/>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4"/>
    </row>
    <row r="25" spans="2:52" ht="15" thickBot="1">
      <c r="B25" s="612"/>
      <c r="C25" s="613"/>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613"/>
      <c r="AV25" s="613"/>
      <c r="AW25" s="613"/>
      <c r="AX25" s="613"/>
      <c r="AY25" s="613"/>
      <c r="AZ25" s="614"/>
    </row>
    <row r="26" spans="2:52" ht="15" thickBot="1">
      <c r="B26" s="612"/>
      <c r="C26" s="1038" t="s">
        <v>137</v>
      </c>
      <c r="D26" s="1039"/>
      <c r="E26" s="1039"/>
      <c r="F26" s="1040"/>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13"/>
      <c r="AX26" s="613"/>
      <c r="AY26" s="613"/>
      <c r="AZ26" s="614"/>
    </row>
    <row r="27" spans="2:52">
      <c r="B27" s="612"/>
      <c r="C27" s="618"/>
      <c r="D27" s="618" t="s">
        <v>129</v>
      </c>
      <c r="E27" s="618" t="s">
        <v>127</v>
      </c>
      <c r="F27" s="618" t="s">
        <v>128</v>
      </c>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613"/>
      <c r="AS27" s="613"/>
      <c r="AT27" s="613"/>
      <c r="AU27" s="613"/>
      <c r="AV27" s="613"/>
      <c r="AW27" s="613"/>
      <c r="AX27" s="613"/>
      <c r="AY27" s="613"/>
      <c r="AZ27" s="614"/>
    </row>
    <row r="28" spans="2:52">
      <c r="B28" s="612"/>
      <c r="C28" s="315" t="s">
        <v>124</v>
      </c>
      <c r="D28" s="621">
        <f t="shared" ref="D28:D39" si="0">(D10+I10+N10+S10+X10+AC10+AH10+AM10+AR10+AW10)/10</f>
        <v>3.3</v>
      </c>
      <c r="E28" s="621">
        <f t="shared" ref="E28:E39" si="1">(E10+J10+O10+T10+Y10+AD10+AI10+AN10+AS10+AX10)/10</f>
        <v>2.9800000000000004</v>
      </c>
      <c r="F28" s="621">
        <f t="shared" ref="F28:F39" si="2">(F10+K10+P10+U10+Z10+AE10+AJ10+AO10+AT10+AY10)/10</f>
        <v>4</v>
      </c>
      <c r="G28" s="613"/>
      <c r="H28" s="613"/>
      <c r="I28" s="613"/>
      <c r="J28" s="613"/>
      <c r="K28" s="613"/>
      <c r="L28" s="613"/>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3"/>
      <c r="AM28" s="613"/>
      <c r="AN28" s="613"/>
      <c r="AO28" s="613"/>
      <c r="AP28" s="613"/>
      <c r="AQ28" s="613"/>
      <c r="AR28" s="613"/>
      <c r="AS28" s="613"/>
      <c r="AT28" s="613"/>
      <c r="AU28" s="613"/>
      <c r="AV28" s="613"/>
      <c r="AW28" s="613"/>
      <c r="AX28" s="613"/>
      <c r="AY28" s="613"/>
      <c r="AZ28" s="614"/>
    </row>
    <row r="29" spans="2:52">
      <c r="B29" s="612"/>
      <c r="C29" s="626" t="s">
        <v>123</v>
      </c>
      <c r="D29" s="622">
        <f t="shared" si="0"/>
        <v>3.15</v>
      </c>
      <c r="E29" s="622">
        <f t="shared" si="1"/>
        <v>3.06</v>
      </c>
      <c r="F29" s="622">
        <f t="shared" si="2"/>
        <v>4.1000000000000005</v>
      </c>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13"/>
      <c r="AI29" s="613"/>
      <c r="AJ29" s="613"/>
      <c r="AK29" s="613"/>
      <c r="AL29" s="613"/>
      <c r="AM29" s="613"/>
      <c r="AN29" s="613"/>
      <c r="AO29" s="613"/>
      <c r="AP29" s="613"/>
      <c r="AQ29" s="613"/>
      <c r="AR29" s="613"/>
      <c r="AS29" s="613"/>
      <c r="AT29" s="613"/>
      <c r="AU29" s="613"/>
      <c r="AV29" s="613"/>
      <c r="AW29" s="613"/>
      <c r="AX29" s="613"/>
      <c r="AY29" s="613"/>
      <c r="AZ29" s="614"/>
    </row>
    <row r="30" spans="2:52">
      <c r="B30" s="612"/>
      <c r="C30" s="315" t="s">
        <v>122</v>
      </c>
      <c r="D30" s="621">
        <f t="shared" si="0"/>
        <v>4.34</v>
      </c>
      <c r="E30" s="621">
        <f t="shared" si="1"/>
        <v>4.379999999999999</v>
      </c>
      <c r="F30" s="621">
        <f t="shared" si="2"/>
        <v>5.2200000000000006</v>
      </c>
      <c r="G30" s="613"/>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613"/>
      <c r="AS30" s="613"/>
      <c r="AT30" s="613"/>
      <c r="AU30" s="613"/>
      <c r="AV30" s="613"/>
      <c r="AW30" s="613"/>
      <c r="AX30" s="613"/>
      <c r="AY30" s="613"/>
      <c r="AZ30" s="614"/>
    </row>
    <row r="31" spans="2:52">
      <c r="B31" s="612"/>
      <c r="C31" s="626" t="s">
        <v>121</v>
      </c>
      <c r="D31" s="622">
        <f t="shared" si="0"/>
        <v>6.3699999999999992</v>
      </c>
      <c r="E31" s="622">
        <f t="shared" si="1"/>
        <v>6.4799999999999986</v>
      </c>
      <c r="F31" s="622">
        <f t="shared" si="2"/>
        <v>7.18</v>
      </c>
      <c r="G31" s="613"/>
      <c r="H31" s="613"/>
      <c r="I31" s="613"/>
      <c r="J31" s="613"/>
      <c r="K31" s="613"/>
      <c r="L31" s="613"/>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4"/>
    </row>
    <row r="32" spans="2:52">
      <c r="B32" s="612"/>
      <c r="C32" s="315" t="s">
        <v>105</v>
      </c>
      <c r="D32" s="621">
        <f t="shared" si="0"/>
        <v>8.82</v>
      </c>
      <c r="E32" s="621">
        <f t="shared" si="1"/>
        <v>9.2999999999999989</v>
      </c>
      <c r="F32" s="621">
        <f t="shared" si="2"/>
        <v>10.030000000000001</v>
      </c>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613"/>
      <c r="AS32" s="613"/>
      <c r="AT32" s="613"/>
      <c r="AU32" s="613"/>
      <c r="AV32" s="613"/>
      <c r="AW32" s="613"/>
      <c r="AX32" s="613"/>
      <c r="AY32" s="613"/>
      <c r="AZ32" s="614"/>
    </row>
    <row r="33" spans="2:52">
      <c r="B33" s="612"/>
      <c r="C33" s="626" t="s">
        <v>120</v>
      </c>
      <c r="D33" s="622">
        <f t="shared" si="0"/>
        <v>11.12</v>
      </c>
      <c r="E33" s="622">
        <f t="shared" si="1"/>
        <v>11.790000000000003</v>
      </c>
      <c r="F33" s="622">
        <f t="shared" si="2"/>
        <v>12.27</v>
      </c>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3"/>
      <c r="AQ33" s="613"/>
      <c r="AR33" s="613"/>
      <c r="AS33" s="613"/>
      <c r="AT33" s="613"/>
      <c r="AU33" s="613"/>
      <c r="AV33" s="613"/>
      <c r="AW33" s="613"/>
      <c r="AX33" s="613"/>
      <c r="AY33" s="613"/>
      <c r="AZ33" s="614"/>
    </row>
    <row r="34" spans="2:52">
      <c r="B34" s="612"/>
      <c r="C34" s="315" t="s">
        <v>119</v>
      </c>
      <c r="D34" s="621">
        <f t="shared" si="0"/>
        <v>12.830000000000002</v>
      </c>
      <c r="E34" s="621">
        <f t="shared" si="1"/>
        <v>13.569999999999999</v>
      </c>
      <c r="F34" s="621">
        <f t="shared" si="2"/>
        <v>13.9</v>
      </c>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3"/>
      <c r="AQ34" s="613"/>
      <c r="AR34" s="613"/>
      <c r="AS34" s="613"/>
      <c r="AT34" s="613"/>
      <c r="AU34" s="613"/>
      <c r="AV34" s="613"/>
      <c r="AW34" s="613"/>
      <c r="AX34" s="613"/>
      <c r="AY34" s="613"/>
      <c r="AZ34" s="614"/>
    </row>
    <row r="35" spans="2:52">
      <c r="B35" s="612"/>
      <c r="C35" s="626" t="s">
        <v>118</v>
      </c>
      <c r="D35" s="622">
        <f t="shared" si="0"/>
        <v>12.810000000000002</v>
      </c>
      <c r="E35" s="622">
        <f t="shared" si="1"/>
        <v>13.469999999999999</v>
      </c>
      <c r="F35" s="622">
        <f t="shared" si="2"/>
        <v>13.9</v>
      </c>
      <c r="G35" s="613"/>
      <c r="H35" s="613"/>
      <c r="I35" s="613"/>
      <c r="J35" s="613"/>
      <c r="K35" s="613"/>
      <c r="L35" s="613"/>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c r="AL35" s="613"/>
      <c r="AM35" s="613"/>
      <c r="AN35" s="613"/>
      <c r="AO35" s="613"/>
      <c r="AP35" s="613"/>
      <c r="AQ35" s="613"/>
      <c r="AR35" s="613"/>
      <c r="AS35" s="613"/>
      <c r="AT35" s="613"/>
      <c r="AU35" s="613"/>
      <c r="AV35" s="613"/>
      <c r="AW35" s="613"/>
      <c r="AX35" s="613"/>
      <c r="AY35" s="613"/>
      <c r="AZ35" s="614"/>
    </row>
    <row r="36" spans="2:52">
      <c r="B36" s="612"/>
      <c r="C36" s="315" t="s">
        <v>117</v>
      </c>
      <c r="D36" s="621">
        <f t="shared" si="0"/>
        <v>11.349999999999998</v>
      </c>
      <c r="E36" s="621">
        <f t="shared" si="1"/>
        <v>11.75</v>
      </c>
      <c r="F36" s="621">
        <f t="shared" si="2"/>
        <v>12.309999999999999</v>
      </c>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13"/>
      <c r="AW36" s="613"/>
      <c r="AX36" s="613"/>
      <c r="AY36" s="613"/>
      <c r="AZ36" s="614"/>
    </row>
    <row r="37" spans="2:52">
      <c r="B37" s="612"/>
      <c r="C37" s="626" t="s">
        <v>116</v>
      </c>
      <c r="D37" s="622">
        <f t="shared" si="0"/>
        <v>8.16</v>
      </c>
      <c r="E37" s="622">
        <f t="shared" si="1"/>
        <v>8.25</v>
      </c>
      <c r="F37" s="622">
        <f t="shared" si="2"/>
        <v>9.0399999999999974</v>
      </c>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613"/>
      <c r="AN37" s="613"/>
      <c r="AO37" s="613"/>
      <c r="AP37" s="613"/>
      <c r="AQ37" s="613"/>
      <c r="AR37" s="613"/>
      <c r="AS37" s="613"/>
      <c r="AT37" s="613"/>
      <c r="AU37" s="613"/>
      <c r="AV37" s="613"/>
      <c r="AW37" s="613"/>
      <c r="AX37" s="613"/>
      <c r="AY37" s="613"/>
      <c r="AZ37" s="614"/>
    </row>
    <row r="38" spans="2:52">
      <c r="B38" s="612"/>
      <c r="C38" s="315" t="s">
        <v>115</v>
      </c>
      <c r="D38" s="621">
        <f t="shared" si="0"/>
        <v>5.3900000000000015</v>
      </c>
      <c r="E38" s="621">
        <f t="shared" si="1"/>
        <v>5.19</v>
      </c>
      <c r="F38" s="621">
        <f t="shared" si="2"/>
        <v>6.24</v>
      </c>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3"/>
      <c r="AW38" s="613"/>
      <c r="AX38" s="613"/>
      <c r="AY38" s="613"/>
      <c r="AZ38" s="614"/>
    </row>
    <row r="39" spans="2:52" ht="15" thickBot="1">
      <c r="B39" s="612"/>
      <c r="C39" s="627" t="s">
        <v>114</v>
      </c>
      <c r="D39" s="625">
        <f t="shared" si="0"/>
        <v>3.22</v>
      </c>
      <c r="E39" s="625">
        <f t="shared" si="1"/>
        <v>3.0699999999999994</v>
      </c>
      <c r="F39" s="625">
        <f t="shared" si="2"/>
        <v>3.9899999999999998</v>
      </c>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613"/>
      <c r="AV39" s="613"/>
      <c r="AW39" s="613"/>
      <c r="AX39" s="613"/>
      <c r="AY39" s="613"/>
      <c r="AZ39" s="614"/>
    </row>
    <row r="40" spans="2:52" ht="15" thickBot="1">
      <c r="B40" s="612"/>
      <c r="C40" s="628" t="s">
        <v>136</v>
      </c>
      <c r="D40" s="882">
        <f>SUM(D28:D39)/12</f>
        <v>7.5716666666666654</v>
      </c>
      <c r="E40" s="882">
        <f>SUM(E28:E39)/12</f>
        <v>7.774166666666666</v>
      </c>
      <c r="F40" s="883">
        <f>SUM(F28:F39)/12</f>
        <v>8.5149999999999988</v>
      </c>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3"/>
      <c r="AW40" s="613"/>
      <c r="AX40" s="613"/>
      <c r="AY40" s="613"/>
      <c r="AZ40" s="614"/>
    </row>
    <row r="41" spans="2:52">
      <c r="B41" s="612"/>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13"/>
      <c r="AW41" s="613"/>
      <c r="AX41" s="613"/>
      <c r="AY41" s="613"/>
      <c r="AZ41" s="614"/>
    </row>
    <row r="42" spans="2:52">
      <c r="B42" s="612"/>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c r="AO42" s="613"/>
      <c r="AP42" s="613"/>
      <c r="AQ42" s="613"/>
      <c r="AR42" s="613"/>
      <c r="AS42" s="613"/>
      <c r="AT42" s="613"/>
      <c r="AU42" s="613"/>
      <c r="AV42" s="613"/>
      <c r="AW42" s="613"/>
      <c r="AX42" s="613"/>
      <c r="AY42" s="613"/>
      <c r="AZ42" s="614"/>
    </row>
    <row r="43" spans="2:52" ht="15" thickBot="1">
      <c r="B43" s="629"/>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c r="AI43" s="630"/>
      <c r="AJ43" s="630"/>
      <c r="AK43" s="630"/>
      <c r="AL43" s="630"/>
      <c r="AM43" s="630"/>
      <c r="AN43" s="630"/>
      <c r="AO43" s="630"/>
      <c r="AP43" s="630"/>
      <c r="AQ43" s="630"/>
      <c r="AR43" s="630"/>
      <c r="AS43" s="630"/>
      <c r="AT43" s="630"/>
      <c r="AU43" s="630"/>
      <c r="AV43" s="630"/>
      <c r="AW43" s="630"/>
      <c r="AX43" s="630"/>
      <c r="AY43" s="630"/>
      <c r="AZ43" s="631"/>
    </row>
    <row r="44" spans="2:52" s="231" customFormat="1"/>
    <row r="45" spans="2:52" s="231" customFormat="1"/>
    <row r="46" spans="2:52" s="231" customFormat="1"/>
    <row r="47" spans="2:52" s="231" customFormat="1"/>
    <row r="48" spans="2:52" s="231" customFormat="1"/>
    <row r="49" s="231" customFormat="1"/>
    <row r="50" s="231" customFormat="1"/>
    <row r="51" s="231" customFormat="1"/>
    <row r="52" s="231" customFormat="1"/>
    <row r="53" s="231" customFormat="1"/>
    <row r="54" s="231" customFormat="1"/>
    <row r="55" s="231" customFormat="1"/>
    <row r="56" s="231" customFormat="1"/>
    <row r="57" s="231" customFormat="1"/>
    <row r="58" s="231" customFormat="1"/>
    <row r="59" s="231" customFormat="1"/>
    <row r="60" s="231" customFormat="1"/>
    <row r="61" s="231" customFormat="1"/>
    <row r="62" s="231" customFormat="1"/>
    <row r="63" s="231" customFormat="1"/>
    <row r="64" s="231" customFormat="1"/>
    <row r="65" s="231" customFormat="1"/>
    <row r="66" s="231" customFormat="1"/>
    <row r="67" s="231" customFormat="1"/>
    <row r="68" s="231" customFormat="1"/>
    <row r="69" s="231" customFormat="1"/>
    <row r="70" s="231" customFormat="1"/>
    <row r="71" s="231" customFormat="1"/>
    <row r="72" s="231" customFormat="1"/>
    <row r="73" s="231" customFormat="1"/>
    <row r="74" s="231" customFormat="1"/>
    <row r="75" s="231" customFormat="1"/>
    <row r="76" s="231" customFormat="1"/>
    <row r="77" s="231" customFormat="1"/>
    <row r="78" s="231" customFormat="1"/>
    <row r="79" s="231" customFormat="1"/>
    <row r="80" s="231" customFormat="1"/>
    <row r="81" s="231" customFormat="1"/>
  </sheetData>
  <mergeCells count="13">
    <mergeCell ref="D4:I4"/>
    <mergeCell ref="J4:K5"/>
    <mergeCell ref="AL8:AO8"/>
    <mergeCell ref="AQ8:AT8"/>
    <mergeCell ref="AV8:AY8"/>
    <mergeCell ref="R8:U8"/>
    <mergeCell ref="W8:Z8"/>
    <mergeCell ref="AB8:AE8"/>
    <mergeCell ref="C26:F26"/>
    <mergeCell ref="C8:F8"/>
    <mergeCell ref="H8:K8"/>
    <mergeCell ref="M8:P8"/>
    <mergeCell ref="AG8:AJ8"/>
  </mergeCells>
  <hyperlinks>
    <hyperlink ref="J4:K5" location="'Heat Demand Model'!A1" display="RETURN TO HEAT DEMAND CALCULATO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sheetPr codeName="Plan2"/>
  <dimension ref="A1:V73"/>
  <sheetViews>
    <sheetView showGridLines="0" zoomScale="85" zoomScaleNormal="85" workbookViewId="0">
      <selection activeCell="D5" sqref="D5"/>
    </sheetView>
  </sheetViews>
  <sheetFormatPr defaultRowHeight="15"/>
  <cols>
    <col min="1" max="1" width="2.42578125" style="227" customWidth="1"/>
    <col min="2" max="2" width="4" customWidth="1"/>
    <col min="3" max="3" width="2.7109375" customWidth="1"/>
    <col min="4" max="4" width="28.140625" customWidth="1"/>
    <col min="5" max="5" width="17.28515625" customWidth="1"/>
    <col min="7" max="7" width="23" customWidth="1"/>
    <col min="8" max="8" width="18" customWidth="1"/>
    <col min="9" max="9" width="14.140625" customWidth="1"/>
    <col min="10" max="10" width="18.7109375" customWidth="1"/>
    <col min="11" max="11" width="18.42578125" customWidth="1"/>
    <col min="12" max="12" width="14.85546875" customWidth="1"/>
    <col min="13" max="13" width="15.28515625" customWidth="1"/>
    <col min="16" max="22" width="9.140625" style="227"/>
  </cols>
  <sheetData>
    <row r="1" spans="2:15" s="227" customFormat="1" ht="15.75" thickBot="1"/>
    <row r="2" spans="2:15">
      <c r="B2" s="27"/>
      <c r="C2" s="55"/>
      <c r="D2" s="55"/>
      <c r="E2" s="55"/>
      <c r="F2" s="55"/>
      <c r="G2" s="55"/>
      <c r="H2" s="55"/>
      <c r="I2" s="55"/>
      <c r="J2" s="55"/>
      <c r="K2" s="55"/>
      <c r="L2" s="55"/>
      <c r="M2" s="55"/>
      <c r="N2" s="55"/>
      <c r="O2" s="56"/>
    </row>
    <row r="3" spans="2:15" ht="26.25">
      <c r="B3" s="88"/>
      <c r="C3" s="51"/>
      <c r="D3" s="51"/>
      <c r="E3" s="514" t="s">
        <v>361</v>
      </c>
      <c r="F3" s="51"/>
      <c r="G3" s="51"/>
      <c r="H3" s="51"/>
      <c r="I3" s="51"/>
      <c r="J3" s="51"/>
      <c r="K3" s="51"/>
      <c r="L3" s="51"/>
      <c r="M3" s="51"/>
      <c r="N3" s="51"/>
      <c r="O3" s="52"/>
    </row>
    <row r="4" spans="2:15" ht="19.5" thickBot="1">
      <c r="B4" s="88"/>
      <c r="C4" s="51"/>
      <c r="D4" s="51"/>
      <c r="E4" s="515"/>
      <c r="F4" s="51"/>
      <c r="G4" s="51"/>
      <c r="H4" s="51"/>
      <c r="I4" s="51"/>
      <c r="J4" s="51"/>
      <c r="K4" s="51"/>
      <c r="L4" s="51"/>
      <c r="M4" s="51"/>
      <c r="N4" s="51"/>
      <c r="O4" s="52"/>
    </row>
    <row r="5" spans="2:15" ht="18.75">
      <c r="B5" s="88"/>
      <c r="C5" s="51"/>
      <c r="D5" s="51"/>
      <c r="E5" s="515"/>
      <c r="F5" s="51"/>
      <c r="G5" s="51"/>
      <c r="H5" s="51"/>
      <c r="I5" s="51"/>
      <c r="J5" s="51"/>
      <c r="K5" s="51"/>
      <c r="L5" s="51"/>
      <c r="M5" s="1055" t="s">
        <v>462</v>
      </c>
      <c r="N5" s="1056"/>
      <c r="O5" s="52"/>
    </row>
    <row r="6" spans="2:15" ht="19.5" thickBot="1">
      <c r="B6" s="88"/>
      <c r="C6" s="516" t="s">
        <v>413</v>
      </c>
      <c r="D6" s="51"/>
      <c r="E6" s="515"/>
      <c r="F6" s="51"/>
      <c r="G6" s="51"/>
      <c r="H6" s="51"/>
      <c r="I6" s="51"/>
      <c r="J6" s="51"/>
      <c r="K6" s="51"/>
      <c r="L6" s="51"/>
      <c r="M6" s="1057"/>
      <c r="N6" s="1058"/>
      <c r="O6" s="52"/>
    </row>
    <row r="7" spans="2:15" ht="15.75" thickBot="1">
      <c r="B7" s="88"/>
      <c r="C7" s="27"/>
      <c r="D7" s="55"/>
      <c r="E7" s="55"/>
      <c r="F7" s="55"/>
      <c r="G7" s="55"/>
      <c r="H7" s="55"/>
      <c r="I7" s="55"/>
      <c r="J7" s="55"/>
      <c r="K7" s="55"/>
      <c r="L7" s="55"/>
      <c r="M7" s="55"/>
      <c r="N7" s="56"/>
      <c r="O7" s="52"/>
    </row>
    <row r="8" spans="2:15" ht="15.75" thickBot="1">
      <c r="B8" s="88"/>
      <c r="C8" s="88"/>
      <c r="D8" s="1052" t="s">
        <v>157</v>
      </c>
      <c r="E8" s="1053"/>
      <c r="F8" s="1054"/>
      <c r="G8" s="51"/>
      <c r="H8" s="1052" t="s">
        <v>156</v>
      </c>
      <c r="I8" s="1053"/>
      <c r="J8" s="1053"/>
      <c r="K8" s="1053"/>
      <c r="L8" s="1053"/>
      <c r="M8" s="443"/>
      <c r="N8" s="52"/>
      <c r="O8" s="52"/>
    </row>
    <row r="9" spans="2:15" ht="15.75" thickBot="1">
      <c r="B9" s="88"/>
      <c r="C9" s="88"/>
      <c r="D9" s="247" t="s">
        <v>155</v>
      </c>
      <c r="E9" s="512" t="s">
        <v>154</v>
      </c>
      <c r="F9" s="512" t="s">
        <v>160</v>
      </c>
      <c r="G9" s="51"/>
      <c r="H9" s="1050" t="s">
        <v>153</v>
      </c>
      <c r="I9" s="1051"/>
      <c r="J9" s="1051"/>
      <c r="K9" s="1051"/>
      <c r="L9" s="1051"/>
      <c r="M9" s="248"/>
      <c r="N9" s="52"/>
      <c r="O9" s="52"/>
    </row>
    <row r="10" spans="2:15">
      <c r="B10" s="88"/>
      <c r="C10" s="88"/>
      <c r="D10" s="247" t="s">
        <v>152</v>
      </c>
      <c r="E10" s="24">
        <v>29</v>
      </c>
      <c r="F10" s="24">
        <v>28.5</v>
      </c>
      <c r="G10" s="51"/>
      <c r="H10" s="247"/>
      <c r="I10" s="513" t="s">
        <v>128</v>
      </c>
      <c r="J10" s="513" t="s">
        <v>127</v>
      </c>
      <c r="K10" s="513" t="s">
        <v>126</v>
      </c>
      <c r="L10" s="513" t="s">
        <v>125</v>
      </c>
      <c r="M10" s="447" t="s">
        <v>129</v>
      </c>
      <c r="N10" s="52"/>
      <c r="O10" s="52"/>
    </row>
    <row r="11" spans="2:15">
      <c r="B11" s="88"/>
      <c r="C11" s="88"/>
      <c r="D11" s="247" t="s">
        <v>151</v>
      </c>
      <c r="E11" s="25">
        <v>26.5</v>
      </c>
      <c r="F11" s="25"/>
      <c r="G11" s="51"/>
      <c r="H11" s="247" t="s">
        <v>124</v>
      </c>
      <c r="I11" s="226">
        <v>339</v>
      </c>
      <c r="J11" s="226">
        <v>352</v>
      </c>
      <c r="K11" s="226">
        <v>318</v>
      </c>
      <c r="L11" s="226">
        <v>350</v>
      </c>
      <c r="M11" s="226">
        <f t="shared" ref="M11:M22" si="0">(K11+L11)/2</f>
        <v>334</v>
      </c>
      <c r="N11" s="52"/>
      <c r="O11" s="52"/>
    </row>
    <row r="12" spans="2:15">
      <c r="B12" s="88"/>
      <c r="C12" s="88"/>
      <c r="D12" s="247" t="s">
        <v>150</v>
      </c>
      <c r="E12" s="25">
        <v>28.5</v>
      </c>
      <c r="F12" s="25"/>
      <c r="G12" s="51"/>
      <c r="H12" s="247" t="s">
        <v>123</v>
      </c>
      <c r="I12" s="226">
        <v>303</v>
      </c>
      <c r="J12" s="226">
        <v>310</v>
      </c>
      <c r="K12" s="226">
        <v>295</v>
      </c>
      <c r="L12" s="226">
        <v>316</v>
      </c>
      <c r="M12" s="226">
        <f t="shared" si="0"/>
        <v>305.5</v>
      </c>
      <c r="N12" s="52"/>
      <c r="O12" s="52"/>
    </row>
    <row r="13" spans="2:15">
      <c r="B13" s="88"/>
      <c r="C13" s="88"/>
      <c r="D13" s="247" t="s">
        <v>149</v>
      </c>
      <c r="E13" s="25">
        <v>27</v>
      </c>
      <c r="F13" s="25"/>
      <c r="G13" s="51"/>
      <c r="H13" s="247" t="s">
        <v>122</v>
      </c>
      <c r="I13" s="226">
        <v>293</v>
      </c>
      <c r="J13" s="226">
        <v>297</v>
      </c>
      <c r="K13" s="226">
        <v>301</v>
      </c>
      <c r="L13" s="226">
        <v>306</v>
      </c>
      <c r="M13" s="226">
        <f t="shared" si="0"/>
        <v>303.5</v>
      </c>
      <c r="N13" s="52"/>
      <c r="O13" s="52"/>
    </row>
    <row r="14" spans="2:15" ht="15.75" thickBot="1">
      <c r="B14" s="88"/>
      <c r="C14" s="88"/>
      <c r="D14" s="249" t="s">
        <v>148</v>
      </c>
      <c r="E14" s="26">
        <v>25</v>
      </c>
      <c r="F14" s="26"/>
      <c r="G14" s="51"/>
      <c r="H14" s="247" t="s">
        <v>121</v>
      </c>
      <c r="I14" s="226">
        <v>227</v>
      </c>
      <c r="J14" s="226">
        <v>238</v>
      </c>
      <c r="K14" s="226">
        <v>242</v>
      </c>
      <c r="L14" s="226">
        <v>248</v>
      </c>
      <c r="M14" s="226">
        <f t="shared" si="0"/>
        <v>245</v>
      </c>
      <c r="N14" s="52"/>
      <c r="O14" s="52"/>
    </row>
    <row r="15" spans="2:15">
      <c r="B15" s="88"/>
      <c r="C15" s="88"/>
      <c r="D15" s="969" t="s">
        <v>578</v>
      </c>
      <c r="E15" s="51"/>
      <c r="F15" s="51"/>
      <c r="G15" s="51"/>
      <c r="H15" s="247" t="s">
        <v>105</v>
      </c>
      <c r="I15" s="226">
        <v>154</v>
      </c>
      <c r="J15" s="226">
        <v>174</v>
      </c>
      <c r="K15" s="226">
        <v>195</v>
      </c>
      <c r="L15" s="226">
        <v>183</v>
      </c>
      <c r="M15" s="226">
        <f t="shared" si="0"/>
        <v>189</v>
      </c>
      <c r="N15" s="52"/>
      <c r="O15" s="52"/>
    </row>
    <row r="16" spans="2:15">
      <c r="B16" s="88"/>
      <c r="C16" s="88"/>
      <c r="D16" s="51"/>
      <c r="E16" s="51"/>
      <c r="F16" s="51"/>
      <c r="G16" s="51"/>
      <c r="H16" s="247" t="s">
        <v>120</v>
      </c>
      <c r="I16" s="226">
        <v>85</v>
      </c>
      <c r="J16" s="226">
        <v>93</v>
      </c>
      <c r="K16" s="226">
        <v>120</v>
      </c>
      <c r="L16" s="226">
        <v>104</v>
      </c>
      <c r="M16" s="226">
        <f t="shared" si="0"/>
        <v>112</v>
      </c>
      <c r="N16" s="52"/>
      <c r="O16" s="52"/>
    </row>
    <row r="17" spans="2:15">
      <c r="B17" s="88"/>
      <c r="C17" s="88"/>
      <c r="D17" s="51"/>
      <c r="E17" s="51"/>
      <c r="F17" s="51"/>
      <c r="G17" s="51"/>
      <c r="H17" s="247" t="s">
        <v>119</v>
      </c>
      <c r="I17" s="226">
        <v>51</v>
      </c>
      <c r="J17" s="226">
        <v>56</v>
      </c>
      <c r="K17" s="226">
        <v>79</v>
      </c>
      <c r="L17" s="226">
        <v>60</v>
      </c>
      <c r="M17" s="226">
        <f t="shared" si="0"/>
        <v>69.5</v>
      </c>
      <c r="N17" s="52"/>
      <c r="O17" s="52"/>
    </row>
    <row r="18" spans="2:15">
      <c r="B18" s="88"/>
      <c r="C18" s="88"/>
      <c r="D18" s="51"/>
      <c r="E18" s="51"/>
      <c r="F18" s="51"/>
      <c r="G18" s="51"/>
      <c r="H18" s="247" t="s">
        <v>118</v>
      </c>
      <c r="I18" s="226">
        <v>54</v>
      </c>
      <c r="J18" s="226">
        <v>56</v>
      </c>
      <c r="K18" s="226">
        <v>69</v>
      </c>
      <c r="L18" s="226">
        <v>61</v>
      </c>
      <c r="M18" s="226">
        <f t="shared" si="0"/>
        <v>65</v>
      </c>
      <c r="N18" s="52"/>
      <c r="O18" s="52"/>
    </row>
    <row r="19" spans="2:15">
      <c r="B19" s="88"/>
      <c r="C19" s="88"/>
      <c r="D19" s="51"/>
      <c r="E19" s="51"/>
      <c r="F19" s="51"/>
      <c r="G19" s="51"/>
      <c r="H19" s="247" t="s">
        <v>117</v>
      </c>
      <c r="I19" s="226">
        <v>96</v>
      </c>
      <c r="J19" s="226">
        <v>97</v>
      </c>
      <c r="K19" s="226">
        <v>104</v>
      </c>
      <c r="L19" s="226">
        <v>105</v>
      </c>
      <c r="M19" s="226">
        <f t="shared" si="0"/>
        <v>104.5</v>
      </c>
      <c r="N19" s="52"/>
      <c r="O19" s="52"/>
    </row>
    <row r="20" spans="2:15">
      <c r="B20" s="88"/>
      <c r="C20" s="88"/>
      <c r="D20" s="51"/>
      <c r="E20" s="51"/>
      <c r="F20" s="51"/>
      <c r="G20" s="51"/>
      <c r="H20" s="247" t="s">
        <v>116</v>
      </c>
      <c r="I20" s="226">
        <v>183</v>
      </c>
      <c r="J20" s="226">
        <v>181</v>
      </c>
      <c r="K20" s="226">
        <v>184</v>
      </c>
      <c r="L20" s="226">
        <v>191</v>
      </c>
      <c r="M20" s="226">
        <f t="shared" si="0"/>
        <v>187.5</v>
      </c>
      <c r="N20" s="52"/>
      <c r="O20" s="52"/>
    </row>
    <row r="21" spans="2:15">
      <c r="B21" s="88"/>
      <c r="C21" s="88"/>
      <c r="D21" s="51"/>
      <c r="E21" s="51"/>
      <c r="F21" s="51"/>
      <c r="G21" s="51"/>
      <c r="H21" s="247" t="s">
        <v>115</v>
      </c>
      <c r="I21" s="226">
        <v>268</v>
      </c>
      <c r="J21" s="226">
        <v>274</v>
      </c>
      <c r="K21" s="226">
        <v>248</v>
      </c>
      <c r="L21" s="226">
        <v>276</v>
      </c>
      <c r="M21" s="226">
        <f t="shared" si="0"/>
        <v>262</v>
      </c>
      <c r="N21" s="52"/>
      <c r="O21" s="52"/>
    </row>
    <row r="22" spans="2:15" ht="15.75" thickBot="1">
      <c r="B22" s="88"/>
      <c r="C22" s="88"/>
      <c r="D22" s="51"/>
      <c r="E22" s="51"/>
      <c r="F22" s="51"/>
      <c r="G22" s="51"/>
      <c r="H22" s="249" t="s">
        <v>114</v>
      </c>
      <c r="I22" s="226">
        <v>347</v>
      </c>
      <c r="J22" s="226">
        <v>357</v>
      </c>
      <c r="K22" s="226">
        <v>314</v>
      </c>
      <c r="L22" s="226">
        <v>356</v>
      </c>
      <c r="M22" s="226">
        <f t="shared" si="0"/>
        <v>335</v>
      </c>
      <c r="N22" s="52"/>
      <c r="O22" s="52"/>
    </row>
    <row r="23" spans="2:15" ht="15.75" thickBot="1">
      <c r="B23" s="88"/>
      <c r="C23" s="30"/>
      <c r="D23" s="10"/>
      <c r="E23" s="10"/>
      <c r="F23" s="10"/>
      <c r="G23" s="10"/>
      <c r="H23" s="970" t="s">
        <v>579</v>
      </c>
      <c r="I23" s="10"/>
      <c r="J23" s="10"/>
      <c r="K23" s="10"/>
      <c r="L23" s="10"/>
      <c r="M23" s="10"/>
      <c r="N23" s="50"/>
      <c r="O23" s="52"/>
    </row>
    <row r="24" spans="2:15">
      <c r="B24" s="88"/>
      <c r="C24" s="51"/>
      <c r="D24" s="51"/>
      <c r="E24" s="51"/>
      <c r="F24" s="51"/>
      <c r="G24" s="51"/>
      <c r="H24" s="51"/>
      <c r="I24" s="51"/>
      <c r="J24" s="51"/>
      <c r="K24" s="51"/>
      <c r="L24" s="51"/>
      <c r="M24" s="51"/>
      <c r="N24" s="51"/>
      <c r="O24" s="52"/>
    </row>
    <row r="25" spans="2:15" ht="15.75" thickBot="1">
      <c r="B25" s="88"/>
      <c r="C25" s="516" t="s">
        <v>580</v>
      </c>
      <c r="D25" s="51"/>
      <c r="E25" s="51"/>
      <c r="F25" s="51"/>
      <c r="G25" s="51"/>
      <c r="H25" s="51"/>
      <c r="I25" s="51"/>
      <c r="J25" s="51"/>
      <c r="K25" s="51"/>
      <c r="L25" s="51"/>
      <c r="M25" s="51"/>
      <c r="N25" s="51"/>
      <c r="O25" s="52"/>
    </row>
    <row r="26" spans="2:15" ht="15.75" thickBot="1">
      <c r="B26" s="88"/>
      <c r="C26" s="27"/>
      <c r="D26" s="55"/>
      <c r="E26" s="55"/>
      <c r="F26" s="55"/>
      <c r="G26" s="55"/>
      <c r="H26" s="55"/>
      <c r="I26" s="55"/>
      <c r="J26" s="55"/>
      <c r="K26" s="55"/>
      <c r="L26" s="55"/>
      <c r="M26" s="55"/>
      <c r="N26" s="56"/>
      <c r="O26" s="52"/>
    </row>
    <row r="27" spans="2:15" ht="15.75" thickBot="1">
      <c r="B27" s="88"/>
      <c r="C27" s="88"/>
      <c r="D27" s="444" t="s">
        <v>311</v>
      </c>
      <c r="E27" s="442" t="s">
        <v>279</v>
      </c>
      <c r="F27" s="51"/>
      <c r="G27" s="441" t="s">
        <v>310</v>
      </c>
      <c r="H27" s="444" t="s">
        <v>279</v>
      </c>
      <c r="I27" s="51"/>
      <c r="J27" s="444" t="s">
        <v>280</v>
      </c>
      <c r="K27" s="444" t="s">
        <v>279</v>
      </c>
      <c r="L27" s="51"/>
      <c r="M27" s="51"/>
      <c r="N27" s="52"/>
      <c r="O27" s="52"/>
    </row>
    <row r="28" spans="2:15">
      <c r="B28" s="88"/>
      <c r="C28" s="88"/>
      <c r="D28" s="85">
        <v>5</v>
      </c>
      <c r="E28" s="84">
        <v>0.8</v>
      </c>
      <c r="F28" s="51"/>
      <c r="G28" s="87">
        <v>4</v>
      </c>
      <c r="H28" s="86">
        <v>0.8</v>
      </c>
      <c r="I28" s="51"/>
      <c r="J28" s="85" t="s">
        <v>309</v>
      </c>
      <c r="K28" s="84">
        <v>1</v>
      </c>
      <c r="L28" s="51"/>
      <c r="M28" s="51"/>
      <c r="N28" s="52"/>
      <c r="O28" s="52"/>
    </row>
    <row r="29" spans="2:15" ht="15.75" thickBot="1">
      <c r="B29" s="88"/>
      <c r="C29" s="88"/>
      <c r="D29" s="83">
        <v>7</v>
      </c>
      <c r="E29" s="50">
        <v>1</v>
      </c>
      <c r="F29" s="51"/>
      <c r="G29" s="71">
        <v>8</v>
      </c>
      <c r="H29" s="80">
        <v>1</v>
      </c>
      <c r="I29" s="51"/>
      <c r="J29" s="82" t="s">
        <v>282</v>
      </c>
      <c r="K29" s="81">
        <v>0.7</v>
      </c>
      <c r="L29" s="51"/>
      <c r="M29" s="51"/>
      <c r="N29" s="52"/>
      <c r="O29" s="52"/>
    </row>
    <row r="30" spans="2:15" ht="15.75" thickBot="1">
      <c r="B30" s="88"/>
      <c r="C30" s="88"/>
      <c r="D30" s="51"/>
      <c r="E30" s="51"/>
      <c r="F30" s="51"/>
      <c r="G30" s="71">
        <v>12</v>
      </c>
      <c r="H30" s="80">
        <v>1.1200000000000001</v>
      </c>
      <c r="I30" s="51"/>
      <c r="J30" s="79" t="s">
        <v>308</v>
      </c>
      <c r="K30" s="78">
        <v>0.85</v>
      </c>
      <c r="L30" s="51"/>
      <c r="M30" s="51"/>
      <c r="N30" s="52"/>
      <c r="O30" s="52"/>
    </row>
    <row r="31" spans="2:15" ht="15.75" thickBot="1">
      <c r="B31" s="88"/>
      <c r="C31" s="88"/>
      <c r="D31" s="51"/>
      <c r="E31" s="51"/>
      <c r="F31" s="51"/>
      <c r="G31" s="77">
        <v>16</v>
      </c>
      <c r="H31" s="76">
        <v>1.22</v>
      </c>
      <c r="I31" s="51"/>
      <c r="J31" s="51"/>
      <c r="K31" s="51"/>
      <c r="L31" s="51"/>
      <c r="M31" s="51"/>
      <c r="N31" s="52"/>
      <c r="O31" s="52"/>
    </row>
    <row r="32" spans="2:15">
      <c r="B32" s="88"/>
      <c r="C32" s="88"/>
      <c r="D32" s="51"/>
      <c r="E32" s="51"/>
      <c r="F32" s="51"/>
      <c r="G32" s="51"/>
      <c r="H32" s="51"/>
      <c r="I32" s="51"/>
      <c r="J32" s="51"/>
      <c r="K32" s="51"/>
      <c r="L32" s="51"/>
      <c r="M32" s="51"/>
      <c r="N32" s="52"/>
      <c r="O32" s="52"/>
    </row>
    <row r="33" spans="2:15" ht="15.75" thickBot="1">
      <c r="B33" s="88"/>
      <c r="C33" s="30"/>
      <c r="D33" s="10"/>
      <c r="E33" s="10"/>
      <c r="F33" s="10"/>
      <c r="G33" s="10"/>
      <c r="H33" s="10"/>
      <c r="I33" s="10"/>
      <c r="J33" s="10"/>
      <c r="K33" s="10"/>
      <c r="L33" s="10"/>
      <c r="M33" s="10"/>
      <c r="N33" s="50"/>
      <c r="O33" s="52"/>
    </row>
    <row r="34" spans="2:15">
      <c r="B34" s="88"/>
      <c r="C34" s="51"/>
      <c r="D34" s="51"/>
      <c r="E34" s="51"/>
      <c r="F34" s="51"/>
      <c r="G34" s="51"/>
      <c r="H34" s="51"/>
      <c r="I34" s="51"/>
      <c r="J34" s="51"/>
      <c r="K34" s="51"/>
      <c r="L34" s="51"/>
      <c r="M34" s="51"/>
      <c r="N34" s="51"/>
      <c r="O34" s="52"/>
    </row>
    <row r="35" spans="2:15" ht="15.75" thickBot="1">
      <c r="B35" s="88"/>
      <c r="C35" s="516" t="s">
        <v>581</v>
      </c>
      <c r="D35" s="51"/>
      <c r="E35" s="51"/>
      <c r="F35" s="51"/>
      <c r="G35" s="51"/>
      <c r="H35" s="51"/>
      <c r="I35" s="51"/>
      <c r="J35" s="51"/>
      <c r="K35" s="51"/>
      <c r="L35" s="51"/>
      <c r="M35" s="51"/>
      <c r="N35" s="51"/>
      <c r="O35" s="52"/>
    </row>
    <row r="36" spans="2:15">
      <c r="B36" s="88"/>
      <c r="C36" s="27"/>
      <c r="D36" s="55"/>
      <c r="E36" s="55"/>
      <c r="F36" s="55"/>
      <c r="G36" s="55"/>
      <c r="H36" s="55"/>
      <c r="I36" s="55"/>
      <c r="J36" s="55"/>
      <c r="K36" s="55"/>
      <c r="L36" s="55"/>
      <c r="M36" s="55"/>
      <c r="N36" s="56"/>
      <c r="O36" s="52"/>
    </row>
    <row r="37" spans="2:15" ht="15.75" thickBot="1">
      <c r="B37" s="88"/>
      <c r="C37" s="88"/>
      <c r="D37" s="51" t="s">
        <v>307</v>
      </c>
      <c r="E37" s="51"/>
      <c r="F37" s="51"/>
      <c r="G37" s="51"/>
      <c r="H37" s="51"/>
      <c r="I37" s="51"/>
      <c r="J37" s="51"/>
      <c r="K37" s="51"/>
      <c r="L37" s="51"/>
      <c r="M37" s="51"/>
      <c r="N37" s="52"/>
      <c r="O37" s="52"/>
    </row>
    <row r="38" spans="2:15" ht="15.75" thickBot="1">
      <c r="B38" s="88"/>
      <c r="C38" s="88"/>
      <c r="D38" s="441" t="s">
        <v>306</v>
      </c>
      <c r="E38" s="517" t="s">
        <v>305</v>
      </c>
      <c r="F38" s="51"/>
      <c r="G38" s="51"/>
      <c r="H38" s="51"/>
      <c r="I38" s="51"/>
      <c r="J38" s="51"/>
      <c r="K38" s="51"/>
      <c r="L38" s="51"/>
      <c r="M38" s="51"/>
      <c r="N38" s="52"/>
      <c r="O38" s="52"/>
    </row>
    <row r="39" spans="2:15">
      <c r="B39" s="88"/>
      <c r="C39" s="88"/>
      <c r="D39" s="88" t="s">
        <v>304</v>
      </c>
      <c r="E39" s="75">
        <v>2</v>
      </c>
      <c r="F39" s="51"/>
      <c r="G39" s="51"/>
      <c r="H39" s="51"/>
      <c r="I39" s="51"/>
      <c r="J39" s="51"/>
      <c r="K39" s="51"/>
      <c r="L39" s="51"/>
      <c r="M39" s="51"/>
      <c r="N39" s="52"/>
      <c r="O39" s="52"/>
    </row>
    <row r="40" spans="2:15">
      <c r="B40" s="88"/>
      <c r="C40" s="88"/>
      <c r="D40" s="71" t="s">
        <v>303</v>
      </c>
      <c r="E40" s="70">
        <v>1</v>
      </c>
      <c r="F40" s="51"/>
      <c r="G40" s="51"/>
      <c r="H40" s="51"/>
      <c r="I40" s="51"/>
      <c r="J40" s="51"/>
      <c r="K40" s="51"/>
      <c r="L40" s="51"/>
      <c r="M40" s="51"/>
      <c r="N40" s="52"/>
      <c r="O40" s="52"/>
    </row>
    <row r="41" spans="2:15">
      <c r="B41" s="88"/>
      <c r="C41" s="88"/>
      <c r="D41" s="88" t="s">
        <v>302</v>
      </c>
      <c r="E41" s="72">
        <v>9</v>
      </c>
      <c r="F41" s="51"/>
      <c r="G41" s="51"/>
      <c r="H41" s="51"/>
      <c r="I41" s="51"/>
      <c r="J41" s="51"/>
      <c r="K41" s="51"/>
      <c r="L41" s="51"/>
      <c r="M41" s="51"/>
      <c r="N41" s="52"/>
      <c r="O41" s="52"/>
    </row>
    <row r="42" spans="2:15">
      <c r="B42" s="88"/>
      <c r="C42" s="88"/>
      <c r="D42" s="74" t="s">
        <v>301</v>
      </c>
      <c r="E42" s="73">
        <v>11</v>
      </c>
      <c r="F42" s="51"/>
      <c r="G42" s="51"/>
      <c r="H42" s="51"/>
      <c r="I42" s="51"/>
      <c r="J42" s="51"/>
      <c r="K42" s="51"/>
      <c r="L42" s="51"/>
      <c r="M42" s="51"/>
      <c r="N42" s="52"/>
      <c r="O42" s="52"/>
    </row>
    <row r="43" spans="2:15">
      <c r="B43" s="88"/>
      <c r="C43" s="88"/>
      <c r="D43" s="71" t="s">
        <v>300</v>
      </c>
      <c r="E43" s="70">
        <v>12</v>
      </c>
      <c r="F43" s="51"/>
      <c r="G43" s="51"/>
      <c r="H43" s="51"/>
      <c r="I43" s="51"/>
      <c r="J43" s="51"/>
      <c r="K43" s="51"/>
      <c r="L43" s="51"/>
      <c r="M43" s="51"/>
      <c r="N43" s="52"/>
      <c r="O43" s="52"/>
    </row>
    <row r="44" spans="2:15">
      <c r="B44" s="88"/>
      <c r="C44" s="88"/>
      <c r="D44" s="88" t="s">
        <v>299</v>
      </c>
      <c r="E44" s="72">
        <v>1</v>
      </c>
      <c r="F44" s="51"/>
      <c r="G44" s="51"/>
      <c r="H44" s="51"/>
      <c r="I44" s="51"/>
      <c r="J44" s="51"/>
      <c r="K44" s="51"/>
      <c r="L44" s="51"/>
      <c r="M44" s="51"/>
      <c r="N44" s="52"/>
      <c r="O44" s="52"/>
    </row>
    <row r="45" spans="2:15">
      <c r="B45" s="88"/>
      <c r="C45" s="88"/>
      <c r="D45" s="71" t="s">
        <v>298</v>
      </c>
      <c r="E45" s="70">
        <v>17.5</v>
      </c>
      <c r="F45" s="51"/>
      <c r="G45" s="51"/>
      <c r="H45" s="51"/>
      <c r="I45" s="51"/>
      <c r="J45" s="51"/>
      <c r="K45" s="51"/>
      <c r="L45" s="51"/>
      <c r="M45" s="51"/>
      <c r="N45" s="52"/>
      <c r="O45" s="52"/>
    </row>
    <row r="46" spans="2:15">
      <c r="B46" s="88"/>
      <c r="C46" s="88"/>
      <c r="D46" s="88" t="s">
        <v>297</v>
      </c>
      <c r="E46" s="72">
        <v>8</v>
      </c>
      <c r="F46" s="51"/>
      <c r="G46" s="51"/>
      <c r="H46" s="51"/>
      <c r="I46" s="51"/>
      <c r="J46" s="51"/>
      <c r="K46" s="51"/>
      <c r="L46" s="51"/>
      <c r="M46" s="51"/>
      <c r="N46" s="52"/>
      <c r="O46" s="52"/>
    </row>
    <row r="47" spans="2:15">
      <c r="B47" s="88"/>
      <c r="C47" s="88"/>
      <c r="D47" s="71" t="s">
        <v>296</v>
      </c>
      <c r="E47" s="70">
        <v>29</v>
      </c>
      <c r="F47" s="51"/>
      <c r="G47" s="51"/>
      <c r="H47" s="51"/>
      <c r="I47" s="51"/>
      <c r="J47" s="51"/>
      <c r="K47" s="51"/>
      <c r="L47" s="51"/>
      <c r="M47" s="51"/>
      <c r="N47" s="52"/>
      <c r="O47" s="52"/>
    </row>
    <row r="48" spans="2:15" ht="15.75" thickBot="1">
      <c r="B48" s="88"/>
      <c r="C48" s="88"/>
      <c r="D48" s="30" t="s">
        <v>292</v>
      </c>
      <c r="E48" s="69">
        <v>2</v>
      </c>
      <c r="F48" s="51"/>
      <c r="G48" s="51"/>
      <c r="H48" s="51"/>
      <c r="I48" s="51"/>
      <c r="J48" s="51"/>
      <c r="K48" s="51"/>
      <c r="L48" s="51"/>
      <c r="M48" s="51"/>
      <c r="N48" s="52"/>
      <c r="O48" s="52"/>
    </row>
    <row r="49" spans="2:15">
      <c r="B49" s="88"/>
      <c r="C49" s="88"/>
      <c r="D49" s="51"/>
      <c r="E49" s="51"/>
      <c r="F49" s="51"/>
      <c r="G49" s="51"/>
      <c r="H49" s="51"/>
      <c r="I49" s="51"/>
      <c r="J49" s="51"/>
      <c r="K49" s="51"/>
      <c r="L49" s="51"/>
      <c r="M49" s="51"/>
      <c r="N49" s="52"/>
      <c r="O49" s="52"/>
    </row>
    <row r="50" spans="2:15" s="227" customFormat="1" ht="15.75" thickBot="1">
      <c r="B50" s="445"/>
      <c r="C50" s="446"/>
      <c r="D50" s="57"/>
      <c r="E50" s="57"/>
      <c r="F50" s="57"/>
      <c r="G50" s="57"/>
      <c r="H50" s="57"/>
      <c r="I50" s="57"/>
      <c r="J50" s="57"/>
      <c r="K50" s="57"/>
      <c r="L50" s="57"/>
      <c r="M50" s="57"/>
      <c r="N50" s="54"/>
      <c r="O50" s="53"/>
    </row>
    <row r="51" spans="2:15" s="227" customFormat="1" ht="15.75" thickBot="1">
      <c r="B51" s="446"/>
      <c r="C51" s="57"/>
      <c r="D51" s="57"/>
      <c r="E51" s="57"/>
      <c r="F51" s="57"/>
      <c r="G51" s="57"/>
      <c r="H51" s="57"/>
      <c r="I51" s="57"/>
      <c r="J51" s="57"/>
      <c r="K51" s="57"/>
      <c r="L51" s="57"/>
      <c r="M51" s="57"/>
      <c r="N51" s="57"/>
      <c r="O51" s="54"/>
    </row>
    <row r="52" spans="2:15" s="227" customFormat="1"/>
    <row r="53" spans="2:15" s="227" customFormat="1"/>
    <row r="54" spans="2:15" s="227" customFormat="1"/>
    <row r="55" spans="2:15" s="227" customFormat="1"/>
    <row r="56" spans="2:15" s="227" customFormat="1"/>
    <row r="57" spans="2:15" s="227" customFormat="1"/>
    <row r="58" spans="2:15" s="227" customFormat="1"/>
    <row r="59" spans="2:15" s="227" customFormat="1"/>
    <row r="60" spans="2:15" s="227" customFormat="1"/>
    <row r="61" spans="2:15" s="227" customFormat="1"/>
    <row r="62" spans="2:15" s="227" customFormat="1"/>
    <row r="63" spans="2:15" s="227" customFormat="1"/>
    <row r="64" spans="2:15" s="227" customFormat="1"/>
    <row r="65" s="227" customFormat="1"/>
    <row r="66" s="227" customFormat="1"/>
    <row r="67" s="227" customFormat="1"/>
    <row r="68" s="227" customFormat="1"/>
    <row r="69" s="227" customFormat="1"/>
    <row r="70" s="227" customFormat="1"/>
    <row r="71" s="227" customFormat="1"/>
    <row r="72" s="227" customFormat="1"/>
    <row r="73" s="227" customFormat="1"/>
  </sheetData>
  <mergeCells count="4">
    <mergeCell ref="H9:L9"/>
    <mergeCell ref="D8:F8"/>
    <mergeCell ref="H8:L8"/>
    <mergeCell ref="M5:N6"/>
  </mergeCells>
  <hyperlinks>
    <hyperlink ref="M5:N6" location="'Heat Demand Model'!A1" display="RETURN TO HEAT DEMAND CALCULATION"/>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codeName="Plan3"/>
  <dimension ref="A1:AN215"/>
  <sheetViews>
    <sheetView showGridLines="0" zoomScale="85" zoomScaleNormal="85" workbookViewId="0">
      <selection activeCell="S14" sqref="S14:T15"/>
    </sheetView>
  </sheetViews>
  <sheetFormatPr defaultRowHeight="15"/>
  <cols>
    <col min="1" max="1" width="1.7109375" style="227" customWidth="1"/>
    <col min="2" max="2" width="5.85546875" style="1" customWidth="1"/>
    <col min="3" max="3" width="12.42578125" style="1" bestFit="1" customWidth="1"/>
    <col min="4" max="4" width="12.28515625" style="1" customWidth="1"/>
    <col min="5" max="5" width="13.28515625" style="1" customWidth="1"/>
    <col min="6" max="6" width="7.28515625" style="1" customWidth="1"/>
    <col min="7" max="7" width="2.5703125" style="1" customWidth="1"/>
    <col min="8" max="8" width="11.42578125" style="1" customWidth="1"/>
    <col min="9" max="9" width="9.85546875" style="1" customWidth="1"/>
    <col min="10" max="10" width="8.85546875" style="1" customWidth="1"/>
    <col min="11" max="11" width="5" style="1" customWidth="1"/>
    <col min="12" max="12" width="4.85546875" style="1" customWidth="1"/>
    <col min="13" max="13" width="10.28515625" style="1" customWidth="1"/>
    <col min="14" max="14" width="12.85546875" style="1" customWidth="1"/>
    <col min="15" max="15" width="11.5703125" style="1" customWidth="1"/>
    <col min="16" max="16" width="4.7109375" style="1" customWidth="1"/>
    <col min="17" max="17" width="8.140625" style="1" customWidth="1"/>
    <col min="18" max="18" width="4.140625" style="1" customWidth="1"/>
    <col min="19" max="19" width="6.5703125" style="1" customWidth="1"/>
    <col min="20" max="20" width="7.28515625" style="1" customWidth="1"/>
    <col min="21" max="21" width="4.7109375" style="1" customWidth="1"/>
    <col min="22" max="22" width="7" style="1" customWidth="1"/>
    <col min="23" max="24" width="9.140625" style="1" customWidth="1"/>
    <col min="25" max="25" width="9.7109375" style="1" customWidth="1"/>
    <col min="26" max="27" width="2.28515625" style="1" customWidth="1"/>
    <col min="28" max="33" width="9.140625" style="227" customWidth="1"/>
    <col min="34" max="38" width="9.140625" style="227"/>
    <col min="39" max="16384" width="9.140625" style="1"/>
  </cols>
  <sheetData>
    <row r="1" spans="1:40" s="227" customFormat="1" ht="15.75" thickBot="1"/>
    <row r="2" spans="1:40" ht="15.75" thickBot="1">
      <c r="B2" s="33"/>
      <c r="C2" s="28"/>
      <c r="D2" s="28"/>
      <c r="E2" s="28"/>
      <c r="F2" s="28"/>
      <c r="G2" s="28"/>
      <c r="H2" s="28"/>
      <c r="I2" s="28"/>
      <c r="J2" s="28"/>
      <c r="K2" s="28"/>
      <c r="L2" s="28"/>
      <c r="M2" s="28"/>
      <c r="N2" s="28"/>
      <c r="O2" s="28"/>
      <c r="P2" s="28"/>
      <c r="Q2" s="28"/>
      <c r="R2" s="28"/>
      <c r="S2" s="28"/>
      <c r="T2" s="28"/>
      <c r="U2" s="28"/>
      <c r="V2" s="28"/>
      <c r="W2" s="28"/>
      <c r="X2" s="28"/>
      <c r="Y2" s="28"/>
      <c r="Z2" s="68"/>
      <c r="AA2" s="35"/>
      <c r="AM2" s="2"/>
      <c r="AN2" s="2"/>
    </row>
    <row r="3" spans="1:40" ht="26.25">
      <c r="B3" s="11"/>
      <c r="C3" s="4"/>
      <c r="D3" s="61" t="s">
        <v>566</v>
      </c>
      <c r="E3" s="4"/>
      <c r="F3" s="4"/>
      <c r="G3" s="4"/>
      <c r="H3" s="4"/>
      <c r="I3" s="4"/>
      <c r="J3" s="4"/>
      <c r="K3" s="4"/>
      <c r="L3" s="4"/>
      <c r="M3" s="4"/>
      <c r="N3" s="4"/>
      <c r="O3" s="929" t="s">
        <v>158</v>
      </c>
      <c r="P3" s="233"/>
      <c r="Q3" s="233"/>
      <c r="R3" s="233"/>
      <c r="S3" s="233"/>
      <c r="T3" s="233"/>
      <c r="U3" s="926"/>
      <c r="V3" s="931"/>
      <c r="W3" s="931"/>
      <c r="X3" s="931"/>
      <c r="Y3" s="931"/>
      <c r="Z3" s="67"/>
      <c r="AA3" s="29"/>
      <c r="AM3" s="2"/>
      <c r="AN3" s="2"/>
    </row>
    <row r="4" spans="1:40" ht="16.5" thickBot="1">
      <c r="B4" s="11"/>
      <c r="C4" s="4"/>
      <c r="D4" s="4"/>
      <c r="E4" s="4"/>
      <c r="F4" s="4"/>
      <c r="G4" s="4"/>
      <c r="H4" s="4"/>
      <c r="I4" s="4"/>
      <c r="J4" s="4"/>
      <c r="K4" s="4"/>
      <c r="L4" s="62"/>
      <c r="M4" s="4"/>
      <c r="N4" s="4"/>
      <c r="O4" s="930" t="s">
        <v>40</v>
      </c>
      <c r="P4" s="241"/>
      <c r="Q4" s="241"/>
      <c r="R4" s="241"/>
      <c r="S4" s="241"/>
      <c r="T4" s="241"/>
      <c r="U4" s="54"/>
      <c r="V4" s="931"/>
      <c r="W4" s="931"/>
      <c r="X4" s="931"/>
      <c r="Y4" s="931"/>
      <c r="Z4" s="4"/>
      <c r="AA4" s="29"/>
      <c r="AM4" s="2"/>
      <c r="AN4" s="2"/>
    </row>
    <row r="5" spans="1:40" ht="16.5" thickBot="1">
      <c r="B5" s="261"/>
      <c r="C5" s="262"/>
      <c r="D5" s="262"/>
      <c r="E5" s="262"/>
      <c r="F5" s="262"/>
      <c r="G5" s="262"/>
      <c r="H5" s="262"/>
      <c r="I5" s="262"/>
      <c r="J5" s="262"/>
      <c r="K5" s="262"/>
      <c r="L5" s="262"/>
      <c r="M5" s="262"/>
      <c r="N5" s="278" t="s">
        <v>197</v>
      </c>
      <c r="O5" s="262"/>
      <c r="P5" s="262"/>
      <c r="Q5" s="262"/>
      <c r="R5" s="262"/>
      <c r="S5" s="262"/>
      <c r="T5" s="262"/>
      <c r="U5" s="4"/>
      <c r="V5" s="4"/>
      <c r="W5" s="4"/>
      <c r="X5" s="4"/>
      <c r="Y5" s="4"/>
      <c r="Z5" s="4"/>
      <c r="AA5" s="29"/>
      <c r="AM5" s="2"/>
      <c r="AN5" s="2"/>
    </row>
    <row r="6" spans="1:40" ht="15" customHeight="1">
      <c r="B6" s="261"/>
      <c r="C6" s="262"/>
      <c r="D6" s="1090" t="s">
        <v>527</v>
      </c>
      <c r="E6" s="1136" t="s">
        <v>530</v>
      </c>
      <c r="F6" s="1092" t="s">
        <v>104</v>
      </c>
      <c r="G6" s="1093"/>
      <c r="H6" s="1094"/>
      <c r="I6" s="1092" t="s">
        <v>341</v>
      </c>
      <c r="J6" s="1094"/>
      <c r="K6" s="1104" t="s">
        <v>528</v>
      </c>
      <c r="L6" s="1105"/>
      <c r="M6" s="1106"/>
      <c r="N6" s="1111" t="s">
        <v>526</v>
      </c>
      <c r="O6" s="1092" t="str">
        <f>IF(N6="Price per tonne (GBP)","Transport cost per tonne per mile (GBP)","Not taken into account")</f>
        <v>Transport cost per tonne per mile (GBP)</v>
      </c>
      <c r="P6" s="1094"/>
      <c r="Q6" s="1092" t="str">
        <f>IF(N6="Price per tonne (GBP)","Distance        (Miles)","Not taken into account")</f>
        <v>Distance        (Miles)</v>
      </c>
      <c r="R6" s="1094"/>
      <c r="S6" s="1092" t="s">
        <v>529</v>
      </c>
      <c r="T6" s="1130"/>
      <c r="U6" s="4"/>
      <c r="V6" s="4"/>
      <c r="W6" s="4"/>
      <c r="X6" s="4"/>
      <c r="Y6" s="4"/>
      <c r="Z6" s="4"/>
      <c r="AA6" s="29"/>
      <c r="AM6" s="2"/>
      <c r="AN6" s="2"/>
    </row>
    <row r="7" spans="1:40" ht="46.5" customHeight="1" thickBot="1">
      <c r="A7" s="228"/>
      <c r="B7" s="279"/>
      <c r="C7" s="262"/>
      <c r="D7" s="1091"/>
      <c r="E7" s="1137"/>
      <c r="F7" s="1107" t="s">
        <v>102</v>
      </c>
      <c r="G7" s="1108"/>
      <c r="H7" s="927" t="s">
        <v>103</v>
      </c>
      <c r="I7" s="280" t="s">
        <v>74</v>
      </c>
      <c r="J7" s="280" t="s">
        <v>75</v>
      </c>
      <c r="K7" s="1107" t="s">
        <v>1</v>
      </c>
      <c r="L7" s="1108"/>
      <c r="M7" s="280" t="s">
        <v>2</v>
      </c>
      <c r="N7" s="1112"/>
      <c r="O7" s="1109"/>
      <c r="P7" s="1110"/>
      <c r="Q7" s="1128"/>
      <c r="R7" s="1129"/>
      <c r="S7" s="1128" t="s">
        <v>112</v>
      </c>
      <c r="T7" s="1131"/>
      <c r="U7" s="4"/>
      <c r="V7" s="4"/>
      <c r="W7" s="63"/>
      <c r="X7" s="4"/>
      <c r="Y7" s="4"/>
      <c r="Z7" s="4"/>
      <c r="AA7" s="29"/>
      <c r="AM7" s="2"/>
      <c r="AN7" s="2"/>
    </row>
    <row r="8" spans="1:40" ht="14.25" customHeight="1">
      <c r="B8" s="281" t="str">
        <f>IF(D9&gt;39,"*"," ")</f>
        <v xml:space="preserve"> </v>
      </c>
      <c r="C8" s="339" t="s">
        <v>174</v>
      </c>
      <c r="D8" s="340" t="s">
        <v>76</v>
      </c>
      <c r="E8" s="341" t="s">
        <v>554</v>
      </c>
      <c r="F8" s="1084" t="s">
        <v>89</v>
      </c>
      <c r="G8" s="1085"/>
      <c r="H8" s="282">
        <f>F9*(100-D9)/100</f>
        <v>0.56000000000000005</v>
      </c>
      <c r="I8" s="779">
        <f>IF(E8="Soft Wood",195/((100-D9)/100),IF(E8="Hard Wood",260/((100-D9)/100), K22/((100-D9)/100)))</f>
        <v>325</v>
      </c>
      <c r="J8" s="816">
        <f>I8*M8</f>
        <v>1364.2416666666666</v>
      </c>
      <c r="K8" s="1061">
        <f>IF(E8="Soft Wood",(18.5*(100-D9)-2.442*D9)/100,IF(E8="Hard Wood",(19.5*(100-D9)-2.442*D9)/100,(D22*(100-D9)-2.442*D9)/100))</f>
        <v>15.111600000000001</v>
      </c>
      <c r="L8" s="1062"/>
      <c r="M8" s="576">
        <f>K8/3.6</f>
        <v>4.1976666666666667</v>
      </c>
      <c r="N8" s="346">
        <v>45</v>
      </c>
      <c r="O8" s="1102">
        <v>0.4</v>
      </c>
      <c r="P8" s="1103"/>
      <c r="Q8" s="1138">
        <v>25</v>
      </c>
      <c r="R8" s="1138"/>
      <c r="S8" s="1124">
        <f>IF(N6="Price per tonne (GBP)",(N8+O8*Q8)/(M8*1000),N8/(M8*1000))</f>
        <v>1.3102517271500039E-2</v>
      </c>
      <c r="T8" s="1125"/>
      <c r="U8" s="4"/>
      <c r="V8" s="4"/>
      <c r="W8" s="64"/>
      <c r="X8" s="4"/>
      <c r="Y8" s="4"/>
      <c r="Z8" s="4"/>
      <c r="AA8" s="29"/>
      <c r="AM8" s="2"/>
      <c r="AN8" s="2"/>
    </row>
    <row r="9" spans="1:40">
      <c r="B9" s="261"/>
      <c r="C9" s="892"/>
      <c r="D9" s="893">
        <f>IF(D8=$C$29,20,IF(D8=$C$30,30,IF(D8=$C$31,40,IF(D8=$C$32,55,IF(D8=$C$33,65,0)))))</f>
        <v>20</v>
      </c>
      <c r="E9" s="894"/>
      <c r="F9" s="1088">
        <f>IF(F8=$J$29,0.7,IF(F8=$J$30,1.5,IF(F8=$J$31,3,IF(F8=$J$32,6,IF(F8=$J$33,10)))))</f>
        <v>0.7</v>
      </c>
      <c r="G9" s="1089"/>
      <c r="H9" s="283"/>
      <c r="I9" s="780"/>
      <c r="J9" s="817"/>
      <c r="K9" s="1059"/>
      <c r="L9" s="1060"/>
      <c r="M9" s="577"/>
      <c r="N9" s="284"/>
      <c r="O9" s="1100"/>
      <c r="P9" s="1101"/>
      <c r="Q9" s="1100"/>
      <c r="R9" s="1101"/>
      <c r="S9" s="285"/>
      <c r="T9" s="286"/>
      <c r="U9" s="1117"/>
      <c r="V9" s="1117"/>
      <c r="W9" s="64"/>
      <c r="X9" s="4"/>
      <c r="Y9" s="4"/>
      <c r="Z9" s="4"/>
      <c r="AA9" s="29"/>
      <c r="AM9" s="2"/>
      <c r="AN9" s="2"/>
    </row>
    <row r="10" spans="1:40" ht="13.5" customHeight="1">
      <c r="B10" s="281" t="str">
        <f>IF(D11&gt;39,"*"," ")</f>
        <v xml:space="preserve"> </v>
      </c>
      <c r="C10" s="342" t="s">
        <v>111</v>
      </c>
      <c r="D10" s="343" t="s">
        <v>76</v>
      </c>
      <c r="E10" s="344" t="s">
        <v>554</v>
      </c>
      <c r="F10" s="1086" t="s">
        <v>89</v>
      </c>
      <c r="G10" s="1087"/>
      <c r="H10" s="287">
        <f>F11*(100-D11)/100</f>
        <v>0.56000000000000005</v>
      </c>
      <c r="I10" s="781">
        <f>IF(E10="Soft Wood",195/((100-D11)/100),IF(E10="Hard Wood",260/((100-D11)/100), M22/((100-D11)/100)))</f>
        <v>325</v>
      </c>
      <c r="J10" s="818">
        <f>I10*M10</f>
        <v>1364.2416666666666</v>
      </c>
      <c r="K10" s="1141">
        <f>IF(E10="Soft Wood",(18.5*(100-D11)-2.442*D11)/100,IF(E10="Hard Wood",(19.5*(100-D11)-2.442*D11)/100,(E22*(100-D11)-2.442*D11)/100))</f>
        <v>15.111600000000001</v>
      </c>
      <c r="L10" s="1142"/>
      <c r="M10" s="578">
        <f>K10/3.6</f>
        <v>4.1976666666666667</v>
      </c>
      <c r="N10" s="347">
        <v>45</v>
      </c>
      <c r="O10" s="1115">
        <v>0.4</v>
      </c>
      <c r="P10" s="1116"/>
      <c r="Q10" s="1115">
        <v>25</v>
      </c>
      <c r="R10" s="1116"/>
      <c r="S10" s="1126">
        <f>IF(N6="Price per tonne (GBP)",(N10+O10*Q10)/(M10*1000),N10/(M10*1000))</f>
        <v>1.3102517271500039E-2</v>
      </c>
      <c r="T10" s="1127"/>
      <c r="U10" s="1117"/>
      <c r="V10" s="1117"/>
      <c r="W10" s="64"/>
      <c r="X10" s="4"/>
      <c r="Y10" s="4"/>
      <c r="Z10" s="4"/>
      <c r="AA10" s="29"/>
      <c r="AM10" s="2"/>
      <c r="AN10" s="2"/>
    </row>
    <row r="11" spans="1:40">
      <c r="B11" s="261"/>
      <c r="C11" s="892"/>
      <c r="D11" s="893">
        <f>IF(D10=$C$29,20,IF(D10=$C$30,30,IF(D10=$C$31,40,IF(D10=$C$32,55,IF(D10=$C$33,65,0)))))</f>
        <v>20</v>
      </c>
      <c r="E11" s="894"/>
      <c r="F11" s="1088">
        <f>IF(F10=$J$29,0.7,IF(F10=$J$30,1.5,IF(F10=$J$31,3,IF(F10=$J$32,6,IF(F10=$J$33,10)))))</f>
        <v>0.7</v>
      </c>
      <c r="G11" s="1089"/>
      <c r="H11" s="283"/>
      <c r="I11" s="782"/>
      <c r="J11" s="817"/>
      <c r="K11" s="1059"/>
      <c r="L11" s="1060"/>
      <c r="M11" s="577"/>
      <c r="N11" s="284"/>
      <c r="O11" s="1100"/>
      <c r="P11" s="1101"/>
      <c r="Q11" s="1100"/>
      <c r="R11" s="1101"/>
      <c r="S11" s="285"/>
      <c r="T11" s="286"/>
      <c r="U11" s="1117"/>
      <c r="V11" s="1117"/>
      <c r="W11" s="64"/>
      <c r="X11" s="4"/>
      <c r="Y11" s="4"/>
      <c r="Z11" s="4"/>
      <c r="AA11" s="29"/>
      <c r="AM11" s="2"/>
      <c r="AN11" s="2"/>
    </row>
    <row r="12" spans="1:40" ht="14.25" customHeight="1" thickBot="1">
      <c r="B12" s="281" t="str">
        <f>IF(D13&gt;39,"*"," ")</f>
        <v xml:space="preserve"> </v>
      </c>
      <c r="C12" s="345" t="s">
        <v>28</v>
      </c>
      <c r="D12" s="343" t="s">
        <v>76</v>
      </c>
      <c r="E12" s="344" t="s">
        <v>554</v>
      </c>
      <c r="F12" s="1086" t="s">
        <v>89</v>
      </c>
      <c r="G12" s="1087"/>
      <c r="H12" s="288">
        <f>F13*(100-D13)/100</f>
        <v>0.56000000000000005</v>
      </c>
      <c r="I12" s="783">
        <f>IF(E12="Soft Wood",195/((100-D13)/100),IF(E12="Hard Wood",260/((100-D13)/100), N22/((100-D13)/100)))</f>
        <v>325</v>
      </c>
      <c r="J12" s="819">
        <f>I12*M12</f>
        <v>1364.2416666666666</v>
      </c>
      <c r="K12" s="1122">
        <f>IF(E12="Soft Wood",(18.5*(100-D13)-2.442*D13)/100,IF(E12="Hard Wood",(19.5*(100-D13)-2.442*D13)/100,(F22*(100-D13)-2.442*D13)/100))</f>
        <v>15.111600000000001</v>
      </c>
      <c r="L12" s="1123"/>
      <c r="M12" s="579">
        <f>K12/3.6</f>
        <v>4.1976666666666667</v>
      </c>
      <c r="N12" s="348">
        <v>45</v>
      </c>
      <c r="O12" s="1115">
        <v>0.4</v>
      </c>
      <c r="P12" s="1116"/>
      <c r="Q12" s="1121">
        <v>25</v>
      </c>
      <c r="R12" s="1121"/>
      <c r="S12" s="1139">
        <f>IF(N6="Price per tonne (GBP)",(N12+O12*Q12)/(M12*1000),N12/(M12*1000))</f>
        <v>1.3102517271500039E-2</v>
      </c>
      <c r="T12" s="1140"/>
      <c r="U12" s="1117"/>
      <c r="V12" s="1117"/>
      <c r="W12" s="64"/>
      <c r="X12" s="4"/>
      <c r="Y12" s="4"/>
      <c r="Z12" s="4"/>
      <c r="AA12" s="29"/>
      <c r="AM12" s="2"/>
      <c r="AN12" s="2"/>
    </row>
    <row r="13" spans="1:40" ht="15.75" thickBot="1">
      <c r="B13" s="261"/>
      <c r="C13" s="262"/>
      <c r="D13" s="895">
        <f>IF(D12=$C$29,20,IF(D12=$C$30,30,IF(D12=$C$31,40,IF(D12=$C$32,55,IF(D12=$C$33,65,0)))))</f>
        <v>20</v>
      </c>
      <c r="E13" s="896"/>
      <c r="F13" s="1097">
        <f>IF(F12=$J$29,0.7,IF(F12=$J$30,1.5,IF(F12=$J$31,3,IF(F12=$J$32,6,IF(F12=$J$33,10)))))</f>
        <v>0.7</v>
      </c>
      <c r="G13" s="1098"/>
      <c r="H13" s="289"/>
      <c r="I13" s="290"/>
      <c r="J13" s="291"/>
      <c r="K13" s="1095"/>
      <c r="L13" s="1099"/>
      <c r="M13" s="292"/>
      <c r="N13" s="293"/>
      <c r="O13" s="1095"/>
      <c r="P13" s="1096"/>
      <c r="Q13" s="1095"/>
      <c r="R13" s="1096"/>
      <c r="S13" s="294"/>
      <c r="T13" s="295"/>
      <c r="U13" s="4"/>
      <c r="V13" s="4"/>
      <c r="W13" s="4"/>
      <c r="X13" s="4"/>
      <c r="Y13" s="4"/>
      <c r="Z13" s="4"/>
      <c r="AA13" s="29"/>
      <c r="AM13" s="2"/>
      <c r="AN13" s="2"/>
    </row>
    <row r="14" spans="1:40">
      <c r="B14" s="261"/>
      <c r="C14" s="262"/>
      <c r="D14" s="296" t="str">
        <f>IF( AND(OR(D9=20,D9=30,D9=40,D9=55,D9=65),OR(D10=20,D10=30,D10=40,D10=55,D10=65),OR(D12=20,D12=30,D12=40,D12=55,D12=65),OR(F8=0.7,F8=1.5,F8=3,F8=6,F8=10),OR(F10=0.7,F10=1.5,F10=3,F10=6,F10=10),OR(F12=0.7,F12=1.5,F12=3,F12=6,F12=10))," ","*For better performance, try to use the limits values defined by CEN/TS 14961:2005")</f>
        <v>*For better performance, try to use the limits values defined by CEN/TS 14961:2005</v>
      </c>
      <c r="E14" s="297"/>
      <c r="F14" s="297"/>
      <c r="G14" s="297"/>
      <c r="H14" s="297"/>
      <c r="I14" s="298"/>
      <c r="J14" s="298"/>
      <c r="K14" s="298"/>
      <c r="L14" s="262"/>
      <c r="M14" s="299"/>
      <c r="N14" s="300"/>
      <c r="O14" s="300"/>
      <c r="P14" s="300"/>
      <c r="Q14" s="300"/>
      <c r="R14" s="300"/>
      <c r="S14" s="1132" t="s">
        <v>453</v>
      </c>
      <c r="T14" s="1133"/>
      <c r="U14" s="4"/>
      <c r="V14" s="4"/>
      <c r="W14" s="4"/>
      <c r="X14" s="4"/>
      <c r="Y14" s="4"/>
      <c r="Z14" s="4"/>
      <c r="AA14" s="29"/>
      <c r="AM14" s="2"/>
      <c r="AN14" s="2"/>
    </row>
    <row r="15" spans="1:40" ht="15.75" thickBot="1">
      <c r="B15" s="261"/>
      <c r="C15" s="262"/>
      <c r="D15" s="301" t="str">
        <f>IF(OR(D9&gt;39,D11&gt;39,D13&gt;39),"*The elevated moisture content may cause storage problems - decomposition"," ")</f>
        <v xml:space="preserve"> </v>
      </c>
      <c r="E15" s="262"/>
      <c r="F15" s="262"/>
      <c r="G15" s="262"/>
      <c r="H15" s="262"/>
      <c r="I15" s="262"/>
      <c r="J15" s="262"/>
      <c r="K15" s="262"/>
      <c r="L15" s="262"/>
      <c r="M15" s="262"/>
      <c r="N15" s="262"/>
      <c r="O15" s="299"/>
      <c r="P15" s="299"/>
      <c r="Q15" s="262"/>
      <c r="R15" s="262"/>
      <c r="S15" s="1134"/>
      <c r="T15" s="1135"/>
      <c r="U15" s="4"/>
      <c r="V15" s="4"/>
      <c r="W15" s="4"/>
      <c r="X15" s="4"/>
      <c r="Y15" s="4"/>
      <c r="Z15" s="4"/>
      <c r="AA15" s="29"/>
      <c r="AM15" s="2"/>
      <c r="AN15" s="2"/>
    </row>
    <row r="16" spans="1:40" ht="15.75" customHeight="1" thickBot="1">
      <c r="A16" s="229"/>
      <c r="B16" s="1066"/>
      <c r="C16" s="1067"/>
      <c r="D16" s="1067"/>
      <c r="E16" s="1067"/>
      <c r="F16" s="1067"/>
      <c r="G16" s="1067"/>
      <c r="H16" s="1067"/>
      <c r="I16" s="1067"/>
      <c r="J16" s="1067"/>
      <c r="K16" s="302"/>
      <c r="L16" s="302"/>
      <c r="M16" s="262"/>
      <c r="N16" s="262"/>
      <c r="O16" s="262"/>
      <c r="P16" s="262"/>
      <c r="Q16" s="262"/>
      <c r="R16" s="262"/>
      <c r="S16" s="262"/>
      <c r="T16" s="262"/>
      <c r="U16" s="4"/>
      <c r="V16" s="4"/>
      <c r="W16" s="4"/>
      <c r="X16" s="4"/>
      <c r="Y16" s="4"/>
      <c r="Z16" s="4"/>
      <c r="AA16" s="29"/>
      <c r="AM16" s="2"/>
      <c r="AN16" s="2"/>
    </row>
    <row r="17" spans="1:40">
      <c r="B17" s="261"/>
      <c r="C17" s="1081" t="s">
        <v>524</v>
      </c>
      <c r="D17" s="1082"/>
      <c r="E17" s="1082"/>
      <c r="F17" s="1082"/>
      <c r="G17" s="1082"/>
      <c r="H17" s="1083"/>
      <c r="I17" s="303"/>
      <c r="J17" s="1081" t="s">
        <v>525</v>
      </c>
      <c r="K17" s="1082"/>
      <c r="L17" s="1082"/>
      <c r="M17" s="1082"/>
      <c r="N17" s="1082"/>
      <c r="O17" s="1083"/>
      <c r="P17" s="262"/>
      <c r="Q17" s="262"/>
      <c r="R17" s="262"/>
      <c r="S17" s="262"/>
      <c r="T17" s="262"/>
      <c r="U17" s="4"/>
      <c r="V17" s="4"/>
      <c r="W17" s="4"/>
      <c r="X17" s="4"/>
      <c r="Y17" s="4"/>
      <c r="Z17" s="4"/>
      <c r="AA17" s="29"/>
      <c r="AM17" s="2"/>
      <c r="AN17" s="2"/>
    </row>
    <row r="18" spans="1:40" ht="8.25" customHeight="1">
      <c r="B18" s="11"/>
      <c r="C18" s="243"/>
      <c r="D18" s="244"/>
      <c r="E18" s="244"/>
      <c r="F18" s="244"/>
      <c r="G18" s="244"/>
      <c r="H18" s="245"/>
      <c r="I18" s="12"/>
      <c r="J18" s="243"/>
      <c r="K18" s="244"/>
      <c r="L18" s="244"/>
      <c r="M18" s="244"/>
      <c r="N18" s="244"/>
      <c r="O18" s="245"/>
      <c r="P18" s="4"/>
      <c r="Q18" s="4"/>
      <c r="R18" s="4"/>
      <c r="S18" s="4"/>
      <c r="T18" s="4"/>
      <c r="U18" s="4"/>
      <c r="V18" s="4"/>
      <c r="W18" s="4"/>
      <c r="X18" s="4"/>
      <c r="Y18" s="4"/>
      <c r="Z18" s="4"/>
      <c r="AA18" s="29"/>
      <c r="AM18" s="2"/>
      <c r="AN18" s="2"/>
    </row>
    <row r="19" spans="1:40" ht="12.75" customHeight="1">
      <c r="B19" s="11"/>
      <c r="C19" s="243"/>
      <c r="D19" s="246" t="s">
        <v>441</v>
      </c>
      <c r="E19" s="244"/>
      <c r="F19" s="246" t="s">
        <v>196</v>
      </c>
      <c r="G19" s="244"/>
      <c r="H19" s="245"/>
      <c r="I19" s="12"/>
      <c r="J19" s="243"/>
      <c r="K19" s="246"/>
      <c r="L19" s="246" t="s">
        <v>438</v>
      </c>
      <c r="M19" s="244"/>
      <c r="N19" s="246" t="s">
        <v>439</v>
      </c>
      <c r="O19" s="245"/>
      <c r="P19" s="4"/>
      <c r="Q19" s="4"/>
      <c r="R19" s="4"/>
      <c r="S19" s="4"/>
      <c r="T19" s="4"/>
      <c r="U19" s="4"/>
      <c r="V19" s="4"/>
      <c r="W19" s="4"/>
      <c r="X19" s="4"/>
      <c r="Y19" s="4"/>
      <c r="Z19" s="4"/>
      <c r="AA19" s="29"/>
      <c r="AM19" s="2"/>
      <c r="AN19" s="2"/>
    </row>
    <row r="20" spans="1:40" ht="17.25" customHeight="1">
      <c r="B20" s="11"/>
      <c r="C20" s="1068" t="s">
        <v>195</v>
      </c>
      <c r="D20" s="1069"/>
      <c r="E20" s="244"/>
      <c r="F20" s="244"/>
      <c r="G20" s="244"/>
      <c r="H20" s="245"/>
      <c r="I20" s="12"/>
      <c r="J20" s="1068" t="s">
        <v>195</v>
      </c>
      <c r="K20" s="1069"/>
      <c r="L20" s="256"/>
      <c r="M20" s="256"/>
      <c r="N20" s="256"/>
      <c r="O20" s="245"/>
      <c r="P20" s="4"/>
      <c r="Q20" s="4"/>
      <c r="R20" s="4"/>
      <c r="S20" s="4"/>
      <c r="T20" s="4"/>
      <c r="U20" s="4"/>
      <c r="V20" s="4"/>
      <c r="W20" s="4"/>
      <c r="X20" s="4"/>
      <c r="Y20" s="4"/>
      <c r="Z20" s="4"/>
      <c r="AA20" s="29"/>
      <c r="AM20" s="2"/>
      <c r="AN20" s="2"/>
    </row>
    <row r="21" spans="1:40" ht="12.75" customHeight="1" thickBot="1">
      <c r="B21" s="11"/>
      <c r="C21" s="247"/>
      <c r="D21" s="244" t="str">
        <f>C8</f>
        <v>Woodchip1</v>
      </c>
      <c r="E21" s="244" t="str">
        <f>C10</f>
        <v>Woodchip2</v>
      </c>
      <c r="F21" s="1118" t="str">
        <f>C12</f>
        <v>WoodChip3</v>
      </c>
      <c r="G21" s="1118"/>
      <c r="H21" s="248"/>
      <c r="I21" s="11"/>
      <c r="J21" s="247"/>
      <c r="K21" s="1118" t="str">
        <f>C8</f>
        <v>Woodchip1</v>
      </c>
      <c r="L21" s="1118"/>
      <c r="M21" s="252" t="str">
        <f>C10</f>
        <v>Woodchip2</v>
      </c>
      <c r="N21" s="252" t="str">
        <f>C12</f>
        <v>WoodChip3</v>
      </c>
      <c r="O21" s="248"/>
      <c r="P21" s="4"/>
      <c r="Q21" s="4"/>
      <c r="R21" s="4"/>
      <c r="S21" s="4"/>
      <c r="T21" s="4"/>
      <c r="U21" s="4"/>
      <c r="V21" s="4"/>
      <c r="W21" s="4"/>
      <c r="X21" s="4"/>
      <c r="Y21" s="4"/>
      <c r="Z21" s="4"/>
      <c r="AA21" s="29"/>
      <c r="AM21" s="2"/>
      <c r="AN21" s="2"/>
    </row>
    <row r="22" spans="1:40" ht="17.25" customHeight="1" thickTop="1" thickBot="1">
      <c r="B22" s="11"/>
      <c r="C22" s="247"/>
      <c r="D22" s="349" t="s">
        <v>73</v>
      </c>
      <c r="E22" s="349" t="s">
        <v>73</v>
      </c>
      <c r="F22" s="1119" t="s">
        <v>73</v>
      </c>
      <c r="G22" s="1120"/>
      <c r="H22" s="248"/>
      <c r="I22" s="11"/>
      <c r="J22" s="247"/>
      <c r="K22" s="1119" t="s">
        <v>73</v>
      </c>
      <c r="L22" s="1120"/>
      <c r="M22" s="349" t="s">
        <v>73</v>
      </c>
      <c r="N22" s="349" t="s">
        <v>73</v>
      </c>
      <c r="O22" s="248"/>
      <c r="P22" s="49"/>
      <c r="Q22" s="4"/>
      <c r="R22" s="4"/>
      <c r="S22" s="4"/>
      <c r="T22" s="4"/>
      <c r="U22" s="4"/>
      <c r="V22" s="4"/>
      <c r="W22" s="4"/>
      <c r="X22" s="4"/>
      <c r="Y22" s="4"/>
      <c r="Z22" s="4"/>
      <c r="AA22" s="29"/>
      <c r="AM22" s="2"/>
      <c r="AN22" s="2"/>
    </row>
    <row r="23" spans="1:40" ht="12" customHeight="1" thickTop="1" thickBot="1">
      <c r="B23" s="11"/>
      <c r="C23" s="249"/>
      <c r="D23" s="250"/>
      <c r="E23" s="250"/>
      <c r="F23" s="250"/>
      <c r="G23" s="250"/>
      <c r="H23" s="251"/>
      <c r="I23" s="11"/>
      <c r="J23" s="249"/>
      <c r="K23" s="250"/>
      <c r="L23" s="250"/>
      <c r="M23" s="250"/>
      <c r="N23" s="250"/>
      <c r="O23" s="574"/>
      <c r="P23" s="49"/>
      <c r="Q23" s="4"/>
      <c r="R23" s="4"/>
      <c r="S23" s="4"/>
      <c r="T23" s="4"/>
      <c r="U23" s="4"/>
      <c r="V23" s="4"/>
      <c r="W23" s="4"/>
      <c r="X23" s="4"/>
      <c r="Y23" s="4"/>
      <c r="Z23" s="4"/>
      <c r="AA23" s="29"/>
      <c r="AM23" s="2"/>
      <c r="AN23" s="2"/>
    </row>
    <row r="24" spans="1:40" ht="15" customHeight="1">
      <c r="B24" s="575"/>
      <c r="C24" s="1113" t="s">
        <v>29</v>
      </c>
      <c r="D24" s="1113"/>
      <c r="E24" s="1113"/>
      <c r="F24" s="1113"/>
      <c r="G24" s="1113"/>
      <c r="H24" s="1113"/>
      <c r="I24" s="4"/>
      <c r="J24" s="1113" t="s">
        <v>440</v>
      </c>
      <c r="K24" s="1113"/>
      <c r="L24" s="1113"/>
      <c r="M24" s="1113"/>
      <c r="N24" s="1113"/>
      <c r="O24" s="1113"/>
      <c r="P24" s="4"/>
      <c r="Q24" s="4"/>
      <c r="R24" s="4"/>
      <c r="S24" s="4"/>
      <c r="T24" s="4"/>
      <c r="U24" s="4"/>
      <c r="V24" s="4"/>
      <c r="W24" s="4"/>
      <c r="X24" s="4"/>
      <c r="Y24" s="4"/>
      <c r="Z24" s="4"/>
      <c r="AA24" s="29"/>
      <c r="AM24" s="2"/>
      <c r="AN24" s="2"/>
    </row>
    <row r="25" spans="1:40">
      <c r="A25" s="230"/>
      <c r="B25" s="12"/>
      <c r="C25" s="1114"/>
      <c r="D25" s="1114"/>
      <c r="E25" s="1114"/>
      <c r="F25" s="1114"/>
      <c r="G25" s="1114"/>
      <c r="H25" s="1114"/>
      <c r="I25" s="3"/>
      <c r="J25" s="1114"/>
      <c r="K25" s="1114"/>
      <c r="L25" s="1114"/>
      <c r="M25" s="1114"/>
      <c r="N25" s="1114"/>
      <c r="O25" s="1114"/>
      <c r="P25" s="4"/>
      <c r="Q25" s="4"/>
      <c r="R25" s="4"/>
      <c r="S25" s="4"/>
      <c r="T25" s="4"/>
      <c r="U25" s="4"/>
      <c r="V25" s="4"/>
      <c r="W25" s="4"/>
      <c r="X25" s="4"/>
      <c r="Y25" s="4"/>
      <c r="Z25" s="4"/>
      <c r="AA25" s="29"/>
      <c r="AM25" s="2"/>
      <c r="AN25" s="2"/>
    </row>
    <row r="26" spans="1:40">
      <c r="B26" s="11"/>
      <c r="C26" s="4"/>
      <c r="D26" s="4"/>
      <c r="E26" s="4"/>
      <c r="F26" s="4"/>
      <c r="G26" s="4"/>
      <c r="H26" s="4"/>
      <c r="I26" s="4"/>
      <c r="J26" s="4"/>
      <c r="K26" s="4"/>
      <c r="L26" s="4"/>
      <c r="M26" s="5"/>
      <c r="N26" s="4"/>
      <c r="O26" s="4"/>
      <c r="P26" s="4"/>
      <c r="Q26" s="4"/>
      <c r="R26" s="4"/>
      <c r="S26" s="4"/>
      <c r="T26" s="4"/>
      <c r="U26" s="4"/>
      <c r="V26" s="4"/>
      <c r="W26" s="4"/>
      <c r="X26" s="4"/>
      <c r="Y26" s="4"/>
      <c r="Z26" s="4"/>
      <c r="AA26" s="29"/>
      <c r="AM26" s="2"/>
      <c r="AN26" s="2"/>
    </row>
    <row r="27" spans="1:40">
      <c r="B27" s="11"/>
      <c r="C27" s="38" t="s">
        <v>88</v>
      </c>
      <c r="D27" s="4"/>
      <c r="E27" s="4"/>
      <c r="F27" s="4"/>
      <c r="G27" s="4"/>
      <c r="H27" s="4"/>
      <c r="I27" s="4"/>
      <c r="J27" s="4"/>
      <c r="K27" s="4"/>
      <c r="L27" s="4"/>
      <c r="M27" s="4"/>
      <c r="N27" s="4"/>
      <c r="O27" s="4"/>
      <c r="P27" s="4"/>
      <c r="Q27" s="4"/>
      <c r="R27" s="4"/>
      <c r="S27" s="4"/>
      <c r="T27" s="4"/>
      <c r="U27" s="4"/>
      <c r="V27" s="4"/>
      <c r="W27" s="4"/>
      <c r="X27" s="4"/>
      <c r="Y27" s="4"/>
      <c r="Z27" s="4"/>
      <c r="AA27" s="29"/>
      <c r="AM27" s="2"/>
      <c r="AN27" s="2"/>
    </row>
    <row r="28" spans="1:40" ht="15" customHeight="1">
      <c r="B28" s="11"/>
      <c r="C28" s="4"/>
      <c r="D28" s="1063" t="s">
        <v>81</v>
      </c>
      <c r="E28" s="1065"/>
      <c r="F28" s="4"/>
      <c r="G28" s="4"/>
      <c r="H28" s="7"/>
      <c r="I28" s="4"/>
      <c r="J28" s="1080" t="s">
        <v>523</v>
      </c>
      <c r="K28" s="1080"/>
      <c r="L28" s="1080"/>
      <c r="M28" s="1080"/>
      <c r="N28" s="4"/>
      <c r="O28" s="4"/>
      <c r="P28" s="3"/>
      <c r="Q28" s="4"/>
      <c r="R28" s="4"/>
      <c r="S28" s="4"/>
      <c r="T28" s="4"/>
      <c r="U28" s="4"/>
      <c r="V28" s="4"/>
      <c r="W28" s="4"/>
      <c r="X28" s="4"/>
      <c r="Y28" s="4"/>
      <c r="Z28" s="4"/>
      <c r="AA28" s="29"/>
      <c r="AM28" s="2"/>
      <c r="AN28" s="2"/>
    </row>
    <row r="29" spans="1:40">
      <c r="B29" s="11"/>
      <c r="C29" s="253" t="s">
        <v>76</v>
      </c>
      <c r="D29" s="1063" t="s">
        <v>84</v>
      </c>
      <c r="E29" s="1064"/>
      <c r="F29" s="1063" t="s">
        <v>82</v>
      </c>
      <c r="G29" s="1070"/>
      <c r="H29" s="1064"/>
      <c r="I29" s="4"/>
      <c r="J29" s="253" t="s">
        <v>89</v>
      </c>
      <c r="K29" s="254" t="s">
        <v>95</v>
      </c>
      <c r="L29" s="254"/>
      <c r="M29" s="255"/>
      <c r="N29" s="4"/>
      <c r="O29" s="4"/>
      <c r="P29" s="3"/>
      <c r="Q29" s="4"/>
      <c r="R29" s="4"/>
      <c r="S29" s="4"/>
      <c r="T29" s="4"/>
      <c r="U29" s="4"/>
      <c r="V29" s="4"/>
      <c r="W29" s="4"/>
      <c r="X29" s="4"/>
      <c r="Y29" s="4"/>
      <c r="Z29" s="4"/>
      <c r="AA29" s="29"/>
      <c r="AM29" s="2"/>
      <c r="AN29" s="2"/>
    </row>
    <row r="30" spans="1:40">
      <c r="B30" s="11"/>
      <c r="C30" s="253" t="s">
        <v>77</v>
      </c>
      <c r="D30" s="1063" t="s">
        <v>83</v>
      </c>
      <c r="E30" s="1064"/>
      <c r="F30" s="1063" t="s">
        <v>522</v>
      </c>
      <c r="G30" s="1070"/>
      <c r="H30" s="1064"/>
      <c r="I30" s="4"/>
      <c r="J30" s="253" t="s">
        <v>90</v>
      </c>
      <c r="K30" s="254" t="s">
        <v>96</v>
      </c>
      <c r="L30" s="254"/>
      <c r="M30" s="255"/>
      <c r="N30" s="4"/>
      <c r="O30" s="4"/>
      <c r="P30" s="3"/>
      <c r="Q30" s="4"/>
      <c r="R30" s="4"/>
      <c r="S30" s="4"/>
      <c r="T30" s="4"/>
      <c r="U30" s="4"/>
      <c r="V30" s="4"/>
      <c r="W30" s="4"/>
      <c r="X30" s="4"/>
      <c r="Y30" s="4"/>
      <c r="Z30" s="4"/>
      <c r="AA30" s="29"/>
      <c r="AM30" s="2"/>
      <c r="AN30" s="2"/>
    </row>
    <row r="31" spans="1:40">
      <c r="B31" s="11"/>
      <c r="C31" s="253" t="s">
        <v>78</v>
      </c>
      <c r="D31" s="1063" t="s">
        <v>85</v>
      </c>
      <c r="E31" s="1064"/>
      <c r="F31" s="1071" t="s">
        <v>521</v>
      </c>
      <c r="G31" s="1072"/>
      <c r="H31" s="1073"/>
      <c r="I31" s="4"/>
      <c r="J31" s="253" t="s">
        <v>91</v>
      </c>
      <c r="K31" s="254" t="s">
        <v>97</v>
      </c>
      <c r="L31" s="254"/>
      <c r="M31" s="255"/>
      <c r="N31" s="4"/>
      <c r="O31" s="4"/>
      <c r="P31" s="6"/>
      <c r="Q31" s="4"/>
      <c r="R31" s="4"/>
      <c r="S31" s="4"/>
      <c r="T31" s="4"/>
      <c r="U31" s="4"/>
      <c r="V31" s="4"/>
      <c r="W31" s="4"/>
      <c r="X31" s="4"/>
      <c r="Y31" s="4"/>
      <c r="Z31" s="4"/>
      <c r="AA31" s="29"/>
      <c r="AM31" s="2"/>
      <c r="AN31" s="2"/>
    </row>
    <row r="32" spans="1:40">
      <c r="B32" s="11"/>
      <c r="C32" s="253" t="s">
        <v>79</v>
      </c>
      <c r="D32" s="1063" t="s">
        <v>86</v>
      </c>
      <c r="E32" s="1064"/>
      <c r="F32" s="1074"/>
      <c r="G32" s="1075"/>
      <c r="H32" s="1076"/>
      <c r="I32" s="4"/>
      <c r="J32" s="253" t="s">
        <v>92</v>
      </c>
      <c r="K32" s="254" t="s">
        <v>98</v>
      </c>
      <c r="L32" s="254"/>
      <c r="M32" s="255"/>
      <c r="N32" s="4"/>
      <c r="O32" s="4"/>
      <c r="P32" s="6"/>
      <c r="Q32" s="4"/>
      <c r="R32" s="4"/>
      <c r="S32" s="4"/>
      <c r="T32" s="4"/>
      <c r="U32" s="4"/>
      <c r="V32" s="4"/>
      <c r="W32" s="4"/>
      <c r="X32" s="4"/>
      <c r="Y32" s="4"/>
      <c r="Z32" s="4"/>
      <c r="AA32" s="29"/>
      <c r="AM32" s="2"/>
      <c r="AN32" s="2"/>
    </row>
    <row r="33" spans="2:40">
      <c r="B33" s="11"/>
      <c r="C33" s="253" t="s">
        <v>80</v>
      </c>
      <c r="D33" s="1063" t="s">
        <v>87</v>
      </c>
      <c r="E33" s="1064"/>
      <c r="F33" s="1077"/>
      <c r="G33" s="1078"/>
      <c r="H33" s="1079"/>
      <c r="I33" s="4"/>
      <c r="J33" s="253" t="s">
        <v>93</v>
      </c>
      <c r="K33" s="1063" t="s">
        <v>99</v>
      </c>
      <c r="L33" s="1070"/>
      <c r="M33" s="1064"/>
      <c r="N33" s="4"/>
      <c r="O33" s="4"/>
      <c r="P33" s="6"/>
      <c r="Q33" s="4"/>
      <c r="R33" s="4"/>
      <c r="S33" s="4"/>
      <c r="T33" s="4"/>
      <c r="U33" s="4"/>
      <c r="V33" s="4"/>
      <c r="W33" s="4"/>
      <c r="X33" s="4"/>
      <c r="Y33" s="4"/>
      <c r="Z33" s="4"/>
      <c r="AA33" s="29"/>
      <c r="AM33" s="2"/>
      <c r="AN33" s="2"/>
    </row>
    <row r="34" spans="2:40">
      <c r="B34" s="11"/>
      <c r="C34" s="4"/>
      <c r="D34" s="4"/>
      <c r="E34" s="4"/>
      <c r="F34" s="4"/>
      <c r="G34" s="4"/>
      <c r="H34" s="4"/>
      <c r="I34" s="4"/>
      <c r="J34" s="4"/>
      <c r="K34" s="4"/>
      <c r="L34" s="4"/>
      <c r="M34" s="4"/>
      <c r="N34" s="4"/>
      <c r="O34" s="4"/>
      <c r="P34" s="4"/>
      <c r="Q34" s="4"/>
      <c r="R34" s="4"/>
      <c r="S34" s="4"/>
      <c r="T34" s="4"/>
      <c r="U34" s="4"/>
      <c r="V34" s="4"/>
      <c r="W34" s="4"/>
      <c r="X34" s="4"/>
      <c r="Y34" s="4"/>
      <c r="Z34" s="4"/>
      <c r="AA34" s="29"/>
      <c r="AM34" s="2"/>
      <c r="AN34" s="2"/>
    </row>
    <row r="35" spans="2:40">
      <c r="B35" s="11"/>
      <c r="C35" s="4"/>
      <c r="D35" s="4"/>
      <c r="E35" s="4"/>
      <c r="F35" s="4"/>
      <c r="G35" s="4"/>
      <c r="H35" s="4"/>
      <c r="I35" s="4"/>
      <c r="J35" s="4"/>
      <c r="K35" s="4"/>
      <c r="L35" s="4"/>
      <c r="M35" s="4"/>
      <c r="N35" s="4"/>
      <c r="O35" s="4"/>
      <c r="P35" s="4"/>
      <c r="Q35" s="4"/>
      <c r="R35" s="4"/>
      <c r="S35" s="4"/>
      <c r="T35" s="4"/>
      <c r="U35" s="4"/>
      <c r="V35" s="4"/>
      <c r="W35" s="4"/>
      <c r="X35" s="4"/>
      <c r="Y35" s="4"/>
      <c r="Z35" s="4"/>
      <c r="AA35" s="29"/>
      <c r="AM35" s="2"/>
      <c r="AN35" s="2"/>
    </row>
    <row r="36" spans="2:40" ht="15.75" thickBot="1">
      <c r="B36" s="48"/>
      <c r="C36" s="9"/>
      <c r="D36" s="9"/>
      <c r="E36" s="9"/>
      <c r="F36" s="9"/>
      <c r="G36" s="9"/>
      <c r="H36" s="9"/>
      <c r="I36" s="9"/>
      <c r="J36" s="9"/>
      <c r="K36" s="9"/>
      <c r="L36" s="9"/>
      <c r="M36" s="9"/>
      <c r="N36" s="9"/>
      <c r="O36" s="9"/>
      <c r="P36" s="9"/>
      <c r="Q36" s="9"/>
      <c r="R36" s="9"/>
      <c r="S36" s="9"/>
      <c r="T36" s="9"/>
      <c r="U36" s="9"/>
      <c r="V36" s="9"/>
      <c r="W36" s="9"/>
      <c r="X36" s="9"/>
      <c r="Y36" s="9"/>
      <c r="Z36" s="9"/>
      <c r="AA36" s="31"/>
      <c r="AM36" s="2"/>
      <c r="AN36" s="2"/>
    </row>
    <row r="37" spans="2:40" s="227" customFormat="1"/>
    <row r="38" spans="2:40" s="227" customFormat="1"/>
    <row r="39" spans="2:40" s="227" customFormat="1"/>
    <row r="40" spans="2:40" s="227" customFormat="1"/>
    <row r="41" spans="2:40" s="227" customFormat="1"/>
    <row r="42" spans="2:40" s="227" customFormat="1"/>
    <row r="43" spans="2:40" s="227" customFormat="1"/>
    <row r="44" spans="2:40" s="227" customFormat="1"/>
    <row r="45" spans="2:40" s="227" customFormat="1"/>
    <row r="46" spans="2:40" s="227" customFormat="1"/>
    <row r="47" spans="2:40" s="227" customFormat="1"/>
    <row r="48" spans="2:40" s="227" customFormat="1"/>
    <row r="49" spans="2:40" s="227" customFormat="1"/>
    <row r="50" spans="2:40">
      <c r="B50" s="2"/>
      <c r="C50" s="2"/>
      <c r="D50" s="2"/>
      <c r="E50" s="2"/>
      <c r="F50" s="2"/>
      <c r="G50" s="2"/>
      <c r="H50" s="2"/>
      <c r="I50" s="2"/>
      <c r="J50" s="2"/>
      <c r="K50" s="2"/>
      <c r="L50" s="2"/>
      <c r="M50" s="2"/>
      <c r="N50" s="2"/>
      <c r="O50" s="2"/>
      <c r="P50" s="2"/>
      <c r="Q50" s="2"/>
      <c r="R50" s="2"/>
      <c r="S50" s="2"/>
      <c r="T50" s="2"/>
      <c r="U50" s="2"/>
      <c r="V50" s="2"/>
      <c r="W50" s="2"/>
      <c r="X50" s="2"/>
      <c r="Y50" s="2"/>
      <c r="Z50" s="2"/>
      <c r="AA50" s="2"/>
      <c r="AM50" s="2"/>
      <c r="AN50" s="2"/>
    </row>
    <row r="51" spans="2:40">
      <c r="B51" s="2"/>
      <c r="C51" s="2"/>
      <c r="D51" s="2"/>
      <c r="E51" s="2"/>
      <c r="F51" s="2"/>
      <c r="G51" s="2"/>
      <c r="H51" s="2"/>
      <c r="I51" s="2"/>
      <c r="J51" s="2"/>
      <c r="K51" s="2"/>
      <c r="L51" s="2"/>
      <c r="M51" s="2"/>
      <c r="N51" s="2"/>
      <c r="O51" s="2"/>
      <c r="P51" s="2"/>
      <c r="Q51" s="2"/>
      <c r="R51" s="2"/>
      <c r="S51" s="2"/>
      <c r="T51" s="2"/>
      <c r="U51" s="2"/>
      <c r="V51" s="2"/>
      <c r="W51" s="2"/>
      <c r="X51" s="2"/>
      <c r="Y51" s="2"/>
      <c r="Z51" s="2"/>
      <c r="AA51" s="2"/>
      <c r="AM51" s="2"/>
      <c r="AN51" s="2"/>
    </row>
    <row r="52" spans="2:40">
      <c r="B52" s="2"/>
      <c r="C52" s="2"/>
      <c r="D52" s="2"/>
      <c r="E52" s="2"/>
      <c r="F52" s="2"/>
      <c r="G52" s="2"/>
      <c r="H52" s="2"/>
      <c r="I52" s="2"/>
      <c r="J52" s="2"/>
      <c r="K52" s="2"/>
      <c r="L52" s="2"/>
      <c r="M52" s="2"/>
      <c r="N52" s="2"/>
      <c r="O52" s="2"/>
      <c r="P52" s="2"/>
      <c r="Q52" s="2"/>
      <c r="R52" s="2"/>
      <c r="S52" s="2"/>
      <c r="T52" s="2"/>
      <c r="U52" s="2"/>
      <c r="V52" s="2"/>
      <c r="W52" s="2"/>
      <c r="X52" s="2"/>
      <c r="Y52" s="2"/>
      <c r="Z52" s="2"/>
      <c r="AA52" s="2"/>
      <c r="AM52" s="2"/>
      <c r="AN52" s="2"/>
    </row>
    <row r="53" spans="2:40">
      <c r="B53" s="2"/>
      <c r="C53" s="2"/>
      <c r="D53" s="2"/>
      <c r="E53" s="2"/>
      <c r="F53" s="2"/>
      <c r="G53" s="2"/>
      <c r="H53" s="2"/>
      <c r="I53" s="2"/>
      <c r="J53" s="2"/>
      <c r="K53" s="2"/>
      <c r="L53" s="2"/>
      <c r="M53" s="2"/>
      <c r="N53" s="2"/>
      <c r="O53" s="2"/>
      <c r="P53" s="2"/>
      <c r="Q53" s="2"/>
      <c r="R53" s="2"/>
      <c r="S53" s="2"/>
      <c r="T53" s="2"/>
      <c r="U53" s="2"/>
      <c r="V53" s="2"/>
      <c r="W53" s="2"/>
      <c r="X53" s="2"/>
      <c r="Y53" s="2"/>
      <c r="Z53" s="2"/>
      <c r="AA53" s="2"/>
      <c r="AM53" s="2"/>
      <c r="AN53" s="2"/>
    </row>
    <row r="54" spans="2:40">
      <c r="B54" s="2"/>
      <c r="C54" s="2"/>
      <c r="D54" s="2"/>
      <c r="E54" s="2"/>
      <c r="F54" s="2"/>
      <c r="G54" s="2"/>
      <c r="H54" s="2"/>
      <c r="I54" s="2"/>
      <c r="J54" s="2"/>
      <c r="K54" s="2"/>
      <c r="L54" s="2"/>
      <c r="M54" s="2"/>
      <c r="N54" s="2"/>
      <c r="O54" s="2"/>
      <c r="P54" s="2"/>
      <c r="Q54" s="2"/>
      <c r="R54" s="2"/>
      <c r="S54" s="2"/>
      <c r="T54" s="2"/>
      <c r="U54" s="2"/>
      <c r="V54" s="2"/>
      <c r="W54" s="2"/>
      <c r="X54" s="2"/>
      <c r="Y54" s="2"/>
      <c r="Z54" s="2"/>
      <c r="AA54" s="2"/>
      <c r="AM54" s="2"/>
      <c r="AN54" s="2"/>
    </row>
    <row r="55" spans="2:40">
      <c r="B55" s="2"/>
      <c r="C55" s="2"/>
      <c r="D55" s="2"/>
      <c r="E55" s="2"/>
      <c r="F55" s="2"/>
      <c r="G55" s="2"/>
      <c r="H55" s="2"/>
      <c r="I55" s="2"/>
      <c r="J55" s="2"/>
      <c r="K55" s="2"/>
      <c r="L55" s="2"/>
      <c r="M55" s="2"/>
      <c r="N55" s="2"/>
      <c r="O55" s="2"/>
      <c r="P55" s="2"/>
      <c r="Q55" s="2"/>
      <c r="R55" s="2"/>
      <c r="S55" s="2"/>
      <c r="T55" s="2"/>
      <c r="U55" s="2"/>
      <c r="V55" s="2"/>
      <c r="W55" s="2"/>
      <c r="X55" s="2"/>
      <c r="Y55" s="2"/>
      <c r="Z55" s="2"/>
      <c r="AA55" s="2"/>
      <c r="AM55" s="2"/>
      <c r="AN55" s="2"/>
    </row>
    <row r="56" spans="2:40">
      <c r="B56" s="2"/>
      <c r="C56" s="2"/>
      <c r="D56" s="2"/>
      <c r="E56" s="2"/>
      <c r="F56" s="2"/>
      <c r="G56" s="2"/>
      <c r="H56" s="2"/>
      <c r="I56" s="2"/>
      <c r="J56" s="2"/>
      <c r="K56" s="2"/>
      <c r="L56" s="2"/>
      <c r="M56" s="2"/>
      <c r="N56" s="2"/>
      <c r="O56" s="2"/>
      <c r="P56" s="2"/>
      <c r="Q56" s="2"/>
      <c r="R56" s="2"/>
      <c r="S56" s="2"/>
      <c r="T56" s="2"/>
      <c r="U56" s="2"/>
      <c r="V56" s="2"/>
      <c r="W56" s="2"/>
      <c r="X56" s="2"/>
      <c r="Y56" s="2"/>
      <c r="Z56" s="2"/>
      <c r="AA56" s="2"/>
      <c r="AM56" s="2"/>
      <c r="AN56" s="2"/>
    </row>
    <row r="57" spans="2:40">
      <c r="B57" s="2"/>
      <c r="C57" s="2"/>
      <c r="D57" s="2"/>
      <c r="E57" s="2"/>
      <c r="F57" s="2"/>
      <c r="G57" s="2"/>
      <c r="H57" s="2"/>
      <c r="I57" s="2"/>
      <c r="J57" s="2"/>
      <c r="K57" s="2"/>
      <c r="L57" s="2"/>
      <c r="M57" s="2"/>
      <c r="N57" s="2"/>
      <c r="O57" s="2"/>
      <c r="P57" s="2"/>
      <c r="Q57" s="2"/>
      <c r="R57" s="2"/>
      <c r="S57" s="2"/>
      <c r="T57" s="2"/>
      <c r="U57" s="2"/>
      <c r="V57" s="2"/>
      <c r="W57" s="2"/>
      <c r="X57" s="2"/>
      <c r="Y57" s="2"/>
      <c r="Z57" s="2"/>
      <c r="AA57" s="2"/>
      <c r="AM57" s="2"/>
      <c r="AN57" s="2"/>
    </row>
    <row r="58" spans="2:40">
      <c r="B58" s="2"/>
      <c r="C58" s="2"/>
      <c r="D58" s="2"/>
      <c r="E58" s="2"/>
      <c r="F58" s="2"/>
      <c r="G58" s="2"/>
      <c r="H58" s="2"/>
      <c r="I58" s="2"/>
      <c r="J58" s="2"/>
      <c r="K58" s="2"/>
      <c r="L58" s="2"/>
      <c r="M58" s="2"/>
      <c r="N58" s="2"/>
      <c r="O58" s="2"/>
      <c r="P58" s="2"/>
      <c r="Q58" s="2"/>
      <c r="R58" s="2"/>
      <c r="S58" s="2"/>
      <c r="T58" s="2"/>
      <c r="U58" s="2"/>
      <c r="V58" s="2"/>
      <c r="W58" s="2"/>
      <c r="X58" s="2"/>
      <c r="Y58" s="2"/>
      <c r="Z58" s="2"/>
      <c r="AA58" s="2"/>
      <c r="AM58" s="2"/>
      <c r="AN58" s="2"/>
    </row>
    <row r="59" spans="2:40">
      <c r="B59" s="2"/>
      <c r="C59" s="2"/>
      <c r="D59" s="2"/>
      <c r="E59" s="2"/>
      <c r="F59" s="2"/>
      <c r="G59" s="2"/>
      <c r="H59" s="2"/>
      <c r="I59" s="2"/>
      <c r="J59" s="2"/>
      <c r="K59" s="2"/>
      <c r="L59" s="2"/>
      <c r="M59" s="2"/>
      <c r="N59" s="2"/>
      <c r="O59" s="2"/>
      <c r="P59" s="2"/>
      <c r="Q59" s="2"/>
      <c r="R59" s="2"/>
      <c r="S59" s="2"/>
      <c r="T59" s="2"/>
      <c r="U59" s="2"/>
      <c r="V59" s="2"/>
      <c r="W59" s="2"/>
      <c r="X59" s="2"/>
      <c r="Y59" s="2"/>
      <c r="Z59" s="2"/>
      <c r="AA59" s="2"/>
      <c r="AM59" s="2"/>
      <c r="AN59" s="2"/>
    </row>
    <row r="60" spans="2:40">
      <c r="B60" s="2"/>
      <c r="C60" s="2"/>
      <c r="D60" s="2"/>
      <c r="E60" s="2"/>
      <c r="F60" s="2"/>
      <c r="G60" s="2"/>
      <c r="H60" s="2"/>
      <c r="I60" s="2"/>
      <c r="J60" s="2"/>
      <c r="K60" s="2"/>
      <c r="L60" s="2"/>
      <c r="M60" s="2"/>
      <c r="N60" s="2"/>
      <c r="O60" s="2"/>
      <c r="P60" s="2"/>
      <c r="Q60" s="2"/>
      <c r="R60" s="2"/>
      <c r="S60" s="2"/>
      <c r="T60" s="2"/>
      <c r="U60" s="2"/>
      <c r="V60" s="2"/>
      <c r="W60" s="2"/>
      <c r="X60" s="2"/>
      <c r="Y60" s="2"/>
      <c r="Z60" s="2"/>
      <c r="AA60" s="2"/>
      <c r="AM60" s="2"/>
      <c r="AN60" s="2"/>
    </row>
    <row r="61" spans="2:40">
      <c r="B61" s="2"/>
      <c r="C61" s="2"/>
      <c r="D61" s="2"/>
      <c r="E61" s="2"/>
      <c r="F61" s="2"/>
      <c r="G61" s="2"/>
      <c r="H61" s="2"/>
      <c r="I61" s="2"/>
      <c r="J61" s="2"/>
      <c r="K61" s="2"/>
      <c r="L61" s="2"/>
      <c r="M61" s="2"/>
      <c r="N61" s="2"/>
      <c r="O61" s="2"/>
      <c r="P61" s="2"/>
      <c r="Q61" s="2"/>
      <c r="R61" s="2"/>
      <c r="S61" s="2"/>
      <c r="T61" s="2"/>
      <c r="U61" s="2"/>
      <c r="V61" s="2"/>
      <c r="W61" s="2"/>
      <c r="X61" s="2"/>
      <c r="Y61" s="2"/>
      <c r="Z61" s="2"/>
      <c r="AA61" s="2"/>
      <c r="AM61" s="2"/>
      <c r="AN61" s="2"/>
    </row>
    <row r="62" spans="2:40">
      <c r="B62" s="2"/>
      <c r="C62" s="2"/>
      <c r="D62" s="2"/>
      <c r="E62" s="2"/>
      <c r="F62" s="2"/>
      <c r="G62" s="2"/>
      <c r="H62" s="2"/>
      <c r="I62" s="2"/>
      <c r="J62" s="2"/>
      <c r="K62" s="2"/>
      <c r="L62" s="2"/>
      <c r="M62" s="2"/>
      <c r="N62" s="2"/>
      <c r="O62" s="2"/>
      <c r="P62" s="2"/>
      <c r="Q62" s="2"/>
      <c r="R62" s="2"/>
      <c r="S62" s="2"/>
      <c r="T62" s="2"/>
      <c r="U62" s="2"/>
      <c r="V62" s="2"/>
      <c r="W62" s="2"/>
      <c r="X62" s="2"/>
      <c r="Y62" s="2"/>
      <c r="Z62" s="2"/>
      <c r="AA62" s="2"/>
      <c r="AM62" s="2"/>
      <c r="AN62" s="2"/>
    </row>
    <row r="63" spans="2:40">
      <c r="B63" s="2"/>
      <c r="C63" s="2"/>
      <c r="D63" s="2"/>
      <c r="E63" s="2"/>
      <c r="F63" s="2"/>
      <c r="G63" s="2"/>
      <c r="H63" s="2"/>
      <c r="I63" s="2"/>
      <c r="J63" s="2"/>
      <c r="K63" s="2"/>
      <c r="L63" s="2"/>
      <c r="M63" s="2"/>
      <c r="N63" s="2"/>
      <c r="O63" s="2"/>
      <c r="P63" s="2"/>
      <c r="Q63" s="2"/>
      <c r="R63" s="2"/>
      <c r="S63" s="2"/>
      <c r="T63" s="2"/>
      <c r="U63" s="2"/>
      <c r="V63" s="2"/>
      <c r="W63" s="2"/>
      <c r="X63" s="2"/>
      <c r="Y63" s="2"/>
      <c r="Z63" s="2"/>
      <c r="AA63" s="2"/>
      <c r="AM63" s="2"/>
      <c r="AN63" s="2"/>
    </row>
    <row r="64" spans="2:40">
      <c r="B64" s="2"/>
      <c r="C64" s="2"/>
      <c r="D64" s="2"/>
      <c r="E64" s="2"/>
      <c r="F64" s="2"/>
      <c r="G64" s="2"/>
      <c r="H64" s="2"/>
      <c r="I64" s="2"/>
      <c r="J64" s="2"/>
      <c r="K64" s="2"/>
      <c r="L64" s="2"/>
      <c r="M64" s="2"/>
      <c r="N64" s="2"/>
      <c r="O64" s="2"/>
      <c r="P64" s="2"/>
      <c r="Q64" s="2"/>
      <c r="R64" s="2"/>
      <c r="S64" s="2"/>
      <c r="T64" s="2"/>
      <c r="U64" s="2"/>
      <c r="V64" s="2"/>
      <c r="W64" s="2"/>
      <c r="X64" s="2"/>
      <c r="Y64" s="2"/>
      <c r="Z64" s="2"/>
      <c r="AA64" s="2"/>
      <c r="AM64" s="2"/>
      <c r="AN64" s="2"/>
    </row>
    <row r="65" spans="2:40">
      <c r="B65" s="2"/>
      <c r="C65" s="2"/>
      <c r="D65" s="2"/>
      <c r="E65" s="2"/>
      <c r="F65" s="2"/>
      <c r="G65" s="2"/>
      <c r="H65" s="2"/>
      <c r="I65" s="2"/>
      <c r="J65" s="2"/>
      <c r="K65" s="2"/>
      <c r="L65" s="2"/>
      <c r="M65" s="2"/>
      <c r="N65" s="2"/>
      <c r="O65" s="2"/>
      <c r="P65" s="2"/>
      <c r="Q65" s="2"/>
      <c r="R65" s="2"/>
      <c r="S65" s="2"/>
      <c r="T65" s="2"/>
      <c r="U65" s="2"/>
      <c r="V65" s="2"/>
      <c r="W65" s="2"/>
      <c r="X65" s="2"/>
      <c r="Y65" s="2"/>
      <c r="Z65" s="2"/>
      <c r="AA65" s="2"/>
      <c r="AM65" s="2"/>
      <c r="AN65" s="2"/>
    </row>
    <row r="66" spans="2:40">
      <c r="B66" s="2"/>
      <c r="C66" s="2"/>
      <c r="D66" s="2"/>
      <c r="E66" s="2"/>
      <c r="F66" s="2"/>
      <c r="G66" s="2"/>
      <c r="H66" s="2"/>
      <c r="I66" s="2"/>
      <c r="J66" s="2"/>
      <c r="K66" s="2"/>
      <c r="L66" s="2"/>
      <c r="M66" s="2"/>
      <c r="N66" s="2"/>
      <c r="O66" s="2"/>
      <c r="P66" s="2"/>
      <c r="Q66" s="2"/>
      <c r="R66" s="2"/>
      <c r="S66" s="2"/>
      <c r="T66" s="2"/>
      <c r="U66" s="2"/>
      <c r="V66" s="2"/>
      <c r="W66" s="2"/>
      <c r="X66" s="2"/>
      <c r="Y66" s="2"/>
      <c r="Z66" s="2"/>
      <c r="AA66" s="2"/>
      <c r="AM66" s="2"/>
      <c r="AN66" s="2"/>
    </row>
    <row r="67" spans="2:40">
      <c r="B67" s="2"/>
      <c r="C67" s="2"/>
      <c r="D67" s="2"/>
      <c r="E67" s="2"/>
      <c r="F67" s="2"/>
      <c r="G67" s="2"/>
      <c r="H67" s="2"/>
      <c r="I67" s="2"/>
      <c r="J67" s="2"/>
      <c r="K67" s="2"/>
      <c r="L67" s="2"/>
      <c r="M67" s="2"/>
      <c r="N67" s="2"/>
      <c r="O67" s="2"/>
      <c r="P67" s="2"/>
      <c r="Q67" s="2"/>
      <c r="R67" s="2"/>
      <c r="S67" s="2"/>
      <c r="T67" s="2"/>
      <c r="U67" s="2"/>
      <c r="V67" s="2"/>
      <c r="W67" s="2"/>
      <c r="X67" s="2"/>
      <c r="Y67" s="2"/>
      <c r="Z67" s="2"/>
      <c r="AA67" s="2"/>
      <c r="AM67" s="2"/>
      <c r="AN67" s="2"/>
    </row>
    <row r="68" spans="2:40">
      <c r="B68" s="2"/>
      <c r="C68" s="2"/>
      <c r="D68" s="2"/>
      <c r="E68" s="2"/>
      <c r="F68" s="2"/>
      <c r="G68" s="2"/>
      <c r="H68" s="2"/>
      <c r="I68" s="2"/>
      <c r="J68" s="2"/>
      <c r="K68" s="2"/>
      <c r="L68" s="2"/>
      <c r="M68" s="2"/>
      <c r="N68" s="2"/>
      <c r="O68" s="2"/>
      <c r="P68" s="2"/>
      <c r="Q68" s="2"/>
      <c r="R68" s="2"/>
      <c r="S68" s="2"/>
      <c r="T68" s="2"/>
      <c r="U68" s="2"/>
      <c r="V68" s="2"/>
      <c r="W68" s="2"/>
      <c r="X68" s="2"/>
      <c r="Y68" s="2"/>
      <c r="Z68" s="2"/>
      <c r="AA68" s="2"/>
      <c r="AM68" s="2"/>
      <c r="AN68" s="2"/>
    </row>
    <row r="69" spans="2:40">
      <c r="B69" s="2"/>
      <c r="C69" s="2"/>
      <c r="D69" s="2"/>
      <c r="E69" s="2"/>
      <c r="F69" s="2"/>
      <c r="G69" s="2"/>
      <c r="H69" s="2"/>
      <c r="I69" s="2"/>
      <c r="J69" s="2"/>
      <c r="K69" s="2"/>
      <c r="L69" s="2"/>
      <c r="M69" s="2"/>
      <c r="N69" s="2"/>
      <c r="O69" s="2"/>
      <c r="P69" s="2"/>
      <c r="Q69" s="2"/>
      <c r="R69" s="2"/>
      <c r="S69" s="2"/>
      <c r="T69" s="2"/>
      <c r="U69" s="2"/>
      <c r="V69" s="2"/>
      <c r="W69" s="2"/>
      <c r="X69" s="2"/>
      <c r="Y69" s="2"/>
      <c r="Z69" s="2"/>
      <c r="AA69" s="2"/>
      <c r="AM69" s="2"/>
      <c r="AN69" s="2"/>
    </row>
    <row r="70" spans="2:40">
      <c r="B70" s="2"/>
      <c r="C70" s="2"/>
      <c r="D70" s="2"/>
      <c r="E70" s="2"/>
      <c r="F70" s="2"/>
      <c r="G70" s="2"/>
      <c r="H70" s="2"/>
      <c r="I70" s="2"/>
      <c r="J70" s="2"/>
      <c r="K70" s="2"/>
      <c r="L70" s="2"/>
      <c r="M70" s="2"/>
      <c r="N70" s="2"/>
      <c r="O70" s="2"/>
      <c r="P70" s="2"/>
      <c r="Q70" s="2"/>
      <c r="R70" s="2"/>
      <c r="S70" s="2"/>
      <c r="T70" s="2"/>
      <c r="U70" s="2"/>
      <c r="V70" s="2"/>
      <c r="W70" s="2"/>
      <c r="X70" s="2"/>
      <c r="Y70" s="2"/>
      <c r="Z70" s="2"/>
      <c r="AA70" s="2"/>
      <c r="AM70" s="2"/>
      <c r="AN70" s="2"/>
    </row>
    <row r="71" spans="2:40">
      <c r="B71" s="2"/>
      <c r="C71" s="2"/>
      <c r="D71" s="2"/>
      <c r="E71" s="2"/>
      <c r="F71" s="2"/>
      <c r="G71" s="2"/>
      <c r="H71" s="2"/>
      <c r="I71" s="2"/>
      <c r="J71" s="2"/>
      <c r="K71" s="2"/>
      <c r="L71" s="2"/>
      <c r="M71" s="2"/>
      <c r="N71" s="2"/>
      <c r="O71" s="2"/>
      <c r="P71" s="2"/>
      <c r="Q71" s="2"/>
      <c r="R71" s="2"/>
      <c r="S71" s="2"/>
      <c r="T71" s="2"/>
      <c r="U71" s="2"/>
      <c r="V71" s="2"/>
      <c r="W71" s="2"/>
      <c r="X71" s="2"/>
      <c r="Y71" s="2"/>
      <c r="Z71" s="2"/>
      <c r="AA71" s="2"/>
      <c r="AM71" s="2"/>
      <c r="AN71" s="2"/>
    </row>
    <row r="72" spans="2:40">
      <c r="B72" s="2"/>
      <c r="C72" s="2"/>
      <c r="D72" s="2"/>
      <c r="E72" s="2"/>
      <c r="F72" s="2"/>
      <c r="G72" s="2"/>
      <c r="H72" s="2"/>
      <c r="I72" s="2"/>
      <c r="J72" s="2"/>
      <c r="K72" s="2"/>
      <c r="L72" s="2"/>
      <c r="M72" s="2"/>
      <c r="N72" s="2"/>
      <c r="O72" s="2"/>
      <c r="P72" s="2"/>
      <c r="Q72" s="2"/>
      <c r="R72" s="2"/>
      <c r="S72" s="2"/>
      <c r="T72" s="2"/>
      <c r="U72" s="2"/>
      <c r="V72" s="2"/>
      <c r="W72" s="2"/>
      <c r="X72" s="2"/>
      <c r="Y72" s="2"/>
      <c r="Z72" s="2"/>
      <c r="AA72" s="2"/>
      <c r="AM72" s="2"/>
      <c r="AN72" s="2"/>
    </row>
    <row r="73" spans="2:40">
      <c r="B73" s="2"/>
      <c r="C73" s="2"/>
      <c r="D73" s="2"/>
      <c r="E73" s="2"/>
      <c r="F73" s="2"/>
      <c r="G73" s="2"/>
      <c r="H73" s="2"/>
      <c r="I73" s="2"/>
      <c r="J73" s="2"/>
      <c r="K73" s="2"/>
      <c r="L73" s="2"/>
      <c r="M73" s="2"/>
      <c r="N73" s="2"/>
      <c r="O73" s="2"/>
      <c r="P73" s="2"/>
      <c r="Q73" s="2"/>
      <c r="R73" s="2"/>
      <c r="S73" s="2"/>
      <c r="T73" s="2"/>
      <c r="U73" s="2"/>
      <c r="V73" s="2"/>
      <c r="W73" s="2"/>
      <c r="X73" s="2"/>
      <c r="Y73" s="2"/>
      <c r="Z73" s="2"/>
      <c r="AA73" s="2"/>
      <c r="AM73" s="2"/>
      <c r="AN73" s="2"/>
    </row>
    <row r="74" spans="2:40">
      <c r="B74" s="2"/>
      <c r="C74" s="2"/>
      <c r="D74" s="2"/>
      <c r="E74" s="2"/>
      <c r="F74" s="2"/>
      <c r="G74" s="2"/>
      <c r="H74" s="2"/>
      <c r="I74" s="2"/>
      <c r="J74" s="2"/>
      <c r="K74" s="2"/>
      <c r="L74" s="2"/>
      <c r="M74" s="2"/>
      <c r="N74" s="2"/>
      <c r="O74" s="2"/>
      <c r="P74" s="2"/>
      <c r="Q74" s="2"/>
      <c r="R74" s="2"/>
      <c r="S74" s="2"/>
      <c r="T74" s="2"/>
      <c r="U74" s="2"/>
      <c r="V74" s="2"/>
      <c r="W74" s="2"/>
      <c r="X74" s="2"/>
      <c r="Y74" s="2"/>
      <c r="Z74" s="2"/>
      <c r="AA74" s="2"/>
      <c r="AM74" s="2"/>
      <c r="AN74" s="2"/>
    </row>
    <row r="75" spans="2:40">
      <c r="B75" s="2"/>
      <c r="C75" s="2"/>
      <c r="D75" s="2"/>
      <c r="E75" s="2"/>
      <c r="F75" s="2"/>
      <c r="G75" s="2"/>
      <c r="H75" s="2"/>
      <c r="I75" s="2"/>
      <c r="J75" s="2"/>
      <c r="K75" s="2"/>
      <c r="L75" s="2"/>
      <c r="M75" s="2"/>
      <c r="N75" s="2"/>
      <c r="O75" s="2"/>
      <c r="P75" s="2"/>
      <c r="Q75" s="2"/>
      <c r="R75" s="2"/>
      <c r="S75" s="2"/>
      <c r="T75" s="2"/>
      <c r="U75" s="2"/>
      <c r="V75" s="2"/>
      <c r="W75" s="2"/>
      <c r="X75" s="2"/>
      <c r="Y75" s="2"/>
      <c r="Z75" s="2"/>
      <c r="AA75" s="2"/>
      <c r="AM75" s="2"/>
      <c r="AN75" s="2"/>
    </row>
    <row r="76" spans="2:40">
      <c r="B76" s="2"/>
      <c r="C76" s="2"/>
      <c r="D76" s="2"/>
      <c r="E76" s="2"/>
      <c r="F76" s="2"/>
      <c r="G76" s="2"/>
      <c r="H76" s="2"/>
      <c r="I76" s="2"/>
      <c r="J76" s="2"/>
      <c r="K76" s="2"/>
      <c r="L76" s="2"/>
      <c r="M76" s="2"/>
      <c r="N76" s="2"/>
      <c r="O76" s="2"/>
      <c r="P76" s="2"/>
      <c r="Q76" s="2"/>
      <c r="R76" s="2"/>
      <c r="S76" s="2"/>
      <c r="T76" s="2"/>
      <c r="U76" s="2"/>
      <c r="V76" s="2"/>
      <c r="W76" s="2"/>
      <c r="X76" s="2"/>
      <c r="Y76" s="2"/>
      <c r="Z76" s="2"/>
      <c r="AA76" s="2"/>
      <c r="AM76" s="2"/>
      <c r="AN76" s="2"/>
    </row>
    <row r="77" spans="2:40">
      <c r="B77" s="2"/>
      <c r="C77" s="2"/>
      <c r="D77" s="2"/>
      <c r="E77" s="2"/>
      <c r="F77" s="2"/>
      <c r="G77" s="2"/>
      <c r="H77" s="2"/>
      <c r="I77" s="2"/>
      <c r="J77" s="2"/>
      <c r="K77" s="2"/>
      <c r="L77" s="2"/>
      <c r="M77" s="2"/>
      <c r="N77" s="2"/>
      <c r="O77" s="2"/>
      <c r="P77" s="2"/>
      <c r="Q77" s="2"/>
      <c r="R77" s="2"/>
      <c r="S77" s="2"/>
      <c r="T77" s="2"/>
      <c r="U77" s="2"/>
      <c r="V77" s="2"/>
      <c r="W77" s="2"/>
      <c r="X77" s="2"/>
      <c r="Y77" s="2"/>
      <c r="Z77" s="2"/>
      <c r="AA77" s="2"/>
      <c r="AM77" s="2"/>
      <c r="AN77" s="2"/>
    </row>
    <row r="78" spans="2:40">
      <c r="B78" s="2"/>
      <c r="C78" s="2"/>
      <c r="D78" s="2"/>
      <c r="E78" s="2"/>
      <c r="F78" s="2"/>
      <c r="G78" s="2"/>
      <c r="H78" s="2"/>
      <c r="I78" s="2"/>
      <c r="J78" s="2"/>
      <c r="K78" s="2"/>
      <c r="L78" s="2"/>
      <c r="M78" s="2"/>
      <c r="N78" s="2"/>
      <c r="O78" s="2"/>
      <c r="P78" s="2"/>
      <c r="Q78" s="2"/>
      <c r="R78" s="2"/>
      <c r="S78" s="2"/>
      <c r="T78" s="2"/>
      <c r="U78" s="2"/>
      <c r="V78" s="2"/>
      <c r="W78" s="2"/>
      <c r="X78" s="2"/>
      <c r="Y78" s="2"/>
      <c r="Z78" s="2"/>
      <c r="AA78" s="2"/>
      <c r="AM78" s="2"/>
      <c r="AN78" s="2"/>
    </row>
    <row r="79" spans="2:40">
      <c r="B79" s="2"/>
      <c r="C79" s="2"/>
      <c r="D79" s="2"/>
      <c r="E79" s="2"/>
      <c r="F79" s="2"/>
      <c r="G79" s="2"/>
      <c r="H79" s="2"/>
      <c r="I79" s="2"/>
      <c r="J79" s="2"/>
      <c r="K79" s="2"/>
      <c r="L79" s="2"/>
      <c r="M79" s="2"/>
      <c r="N79" s="2"/>
      <c r="O79" s="2"/>
      <c r="P79" s="2"/>
      <c r="Q79" s="2"/>
      <c r="R79" s="2"/>
      <c r="S79" s="2"/>
      <c r="T79" s="2"/>
      <c r="U79" s="2"/>
      <c r="V79" s="2"/>
      <c r="W79" s="2"/>
      <c r="X79" s="2"/>
      <c r="Y79" s="2"/>
      <c r="Z79" s="2"/>
      <c r="AA79" s="2"/>
      <c r="AM79" s="2"/>
      <c r="AN79" s="2"/>
    </row>
    <row r="80" spans="2:40">
      <c r="B80" s="2"/>
      <c r="C80" s="2"/>
      <c r="D80" s="2"/>
      <c r="E80" s="2"/>
      <c r="F80" s="2"/>
      <c r="G80" s="2"/>
      <c r="H80" s="2"/>
      <c r="I80" s="2"/>
      <c r="J80" s="2"/>
      <c r="K80" s="2"/>
      <c r="L80" s="2"/>
      <c r="M80" s="2"/>
      <c r="N80" s="2"/>
      <c r="O80" s="2"/>
      <c r="P80" s="2"/>
      <c r="Q80" s="2"/>
      <c r="R80" s="2"/>
      <c r="S80" s="2"/>
      <c r="T80" s="2"/>
      <c r="U80" s="2"/>
      <c r="V80" s="2"/>
      <c r="W80" s="2"/>
      <c r="X80" s="2"/>
      <c r="Y80" s="2"/>
      <c r="Z80" s="2"/>
      <c r="AA80" s="2"/>
      <c r="AM80" s="2"/>
      <c r="AN80" s="2"/>
    </row>
    <row r="81" spans="2:40">
      <c r="B81" s="2"/>
      <c r="C81" s="2"/>
      <c r="D81" s="2"/>
      <c r="E81" s="2"/>
      <c r="F81" s="2"/>
      <c r="G81" s="2"/>
      <c r="H81" s="2"/>
      <c r="I81" s="2"/>
      <c r="J81" s="2"/>
      <c r="K81" s="2"/>
      <c r="L81" s="2"/>
      <c r="M81" s="2"/>
      <c r="N81" s="2"/>
      <c r="O81" s="2"/>
      <c r="P81" s="2"/>
      <c r="Q81" s="2"/>
      <c r="R81" s="2"/>
      <c r="S81" s="2"/>
      <c r="T81" s="2"/>
      <c r="U81" s="2"/>
      <c r="V81" s="2"/>
      <c r="W81" s="2"/>
      <c r="X81" s="2"/>
      <c r="Y81" s="2"/>
      <c r="Z81" s="2"/>
      <c r="AA81" s="2"/>
      <c r="AM81" s="2"/>
      <c r="AN81" s="2"/>
    </row>
    <row r="82" spans="2:40">
      <c r="B82" s="2"/>
      <c r="C82" s="2"/>
      <c r="D82" s="2"/>
      <c r="E82" s="2"/>
      <c r="F82" s="2"/>
      <c r="G82" s="2"/>
      <c r="H82" s="2"/>
      <c r="I82" s="2"/>
      <c r="J82" s="2"/>
      <c r="K82" s="2"/>
      <c r="L82" s="2"/>
      <c r="M82" s="2"/>
      <c r="N82" s="2"/>
      <c r="O82" s="2"/>
      <c r="P82" s="2"/>
      <c r="Q82" s="2"/>
      <c r="R82" s="2"/>
      <c r="S82" s="2"/>
      <c r="T82" s="2"/>
      <c r="U82" s="2"/>
      <c r="V82" s="2"/>
      <c r="W82" s="2"/>
      <c r="X82" s="2"/>
      <c r="Y82" s="2"/>
      <c r="Z82" s="2"/>
      <c r="AA82" s="2"/>
      <c r="AM82" s="2"/>
      <c r="AN82" s="2"/>
    </row>
    <row r="83" spans="2:40">
      <c r="B83" s="2"/>
      <c r="C83" s="2"/>
      <c r="D83" s="2"/>
      <c r="E83" s="2"/>
      <c r="F83" s="2"/>
      <c r="G83" s="2"/>
      <c r="H83" s="2"/>
      <c r="I83" s="2"/>
      <c r="J83" s="2"/>
      <c r="K83" s="2"/>
      <c r="L83" s="2"/>
      <c r="M83" s="2"/>
      <c r="N83" s="2"/>
      <c r="O83" s="2"/>
      <c r="P83" s="2"/>
      <c r="Q83" s="2"/>
      <c r="R83" s="2"/>
      <c r="S83" s="2"/>
      <c r="T83" s="2"/>
      <c r="U83" s="2"/>
      <c r="V83" s="2"/>
      <c r="W83" s="2"/>
      <c r="X83" s="2"/>
      <c r="Y83" s="2"/>
      <c r="Z83" s="2"/>
      <c r="AA83" s="2"/>
      <c r="AM83" s="2"/>
      <c r="AN83" s="2"/>
    </row>
    <row r="84" spans="2:40">
      <c r="B84" s="2"/>
      <c r="C84" s="2"/>
      <c r="D84" s="2"/>
      <c r="E84" s="2"/>
      <c r="F84" s="2"/>
      <c r="G84" s="2"/>
      <c r="H84" s="2"/>
      <c r="I84" s="2"/>
      <c r="J84" s="2"/>
      <c r="K84" s="2"/>
      <c r="L84" s="2"/>
      <c r="M84" s="2"/>
      <c r="N84" s="2"/>
      <c r="O84" s="2"/>
      <c r="P84" s="2"/>
      <c r="Q84" s="2"/>
      <c r="R84" s="2"/>
      <c r="S84" s="2"/>
      <c r="T84" s="2"/>
      <c r="U84" s="2"/>
      <c r="V84" s="2"/>
      <c r="W84" s="2"/>
      <c r="X84" s="2"/>
      <c r="Y84" s="2"/>
      <c r="Z84" s="2"/>
      <c r="AA84" s="2"/>
      <c r="AM84" s="2"/>
      <c r="AN84" s="2"/>
    </row>
    <row r="85" spans="2:40">
      <c r="B85" s="2"/>
      <c r="C85" s="2"/>
      <c r="D85" s="2"/>
      <c r="E85" s="2"/>
      <c r="F85" s="2"/>
      <c r="G85" s="2"/>
      <c r="H85" s="2"/>
      <c r="I85" s="2"/>
      <c r="J85" s="2"/>
      <c r="K85" s="2"/>
      <c r="L85" s="2"/>
      <c r="M85" s="2"/>
      <c r="N85" s="2"/>
      <c r="O85" s="2"/>
      <c r="P85" s="2"/>
      <c r="Q85" s="2"/>
      <c r="R85" s="2"/>
      <c r="S85" s="2"/>
      <c r="T85" s="2"/>
      <c r="U85" s="2"/>
      <c r="V85" s="2"/>
      <c r="W85" s="2"/>
      <c r="X85" s="2"/>
      <c r="Y85" s="2"/>
      <c r="Z85" s="2"/>
      <c r="AA85" s="2"/>
      <c r="AM85" s="2"/>
      <c r="AN85" s="2"/>
    </row>
    <row r="86" spans="2:40">
      <c r="B86" s="2"/>
      <c r="C86" s="2"/>
      <c r="D86" s="2"/>
      <c r="E86" s="2"/>
      <c r="F86" s="2"/>
      <c r="G86" s="2"/>
      <c r="H86" s="2"/>
      <c r="I86" s="2"/>
      <c r="J86" s="2"/>
      <c r="K86" s="2"/>
      <c r="L86" s="2"/>
      <c r="M86" s="2"/>
      <c r="N86" s="2"/>
      <c r="O86" s="2"/>
      <c r="P86" s="2"/>
      <c r="Q86" s="2"/>
      <c r="R86" s="2"/>
      <c r="S86" s="2"/>
      <c r="T86" s="2"/>
      <c r="U86" s="2"/>
      <c r="V86" s="2"/>
      <c r="W86" s="2"/>
      <c r="X86" s="2"/>
      <c r="Y86" s="2"/>
      <c r="Z86" s="2"/>
      <c r="AA86" s="2"/>
      <c r="AM86" s="2"/>
      <c r="AN86" s="2"/>
    </row>
    <row r="87" spans="2:40">
      <c r="B87" s="2"/>
      <c r="C87" s="2"/>
      <c r="D87" s="2"/>
      <c r="E87" s="2"/>
      <c r="F87" s="2"/>
      <c r="G87" s="2"/>
      <c r="H87" s="2"/>
      <c r="I87" s="2"/>
      <c r="J87" s="2"/>
      <c r="K87" s="2"/>
      <c r="L87" s="2"/>
      <c r="M87" s="2"/>
      <c r="N87" s="2"/>
      <c r="O87" s="2"/>
      <c r="P87" s="2"/>
      <c r="Q87" s="2"/>
      <c r="R87" s="2"/>
      <c r="S87" s="2"/>
      <c r="T87" s="2"/>
      <c r="U87" s="2"/>
      <c r="V87" s="2"/>
      <c r="W87" s="2"/>
      <c r="X87" s="2"/>
      <c r="Y87" s="2"/>
      <c r="Z87" s="2"/>
      <c r="AA87" s="2"/>
      <c r="AM87" s="2"/>
      <c r="AN87" s="2"/>
    </row>
    <row r="88" spans="2:40">
      <c r="B88" s="2"/>
      <c r="C88" s="2"/>
      <c r="D88" s="2"/>
      <c r="E88" s="2"/>
      <c r="F88" s="2"/>
      <c r="G88" s="2"/>
      <c r="H88" s="2"/>
      <c r="I88" s="2"/>
      <c r="J88" s="2"/>
      <c r="K88" s="2"/>
      <c r="L88" s="2"/>
      <c r="M88" s="2"/>
      <c r="N88" s="2"/>
      <c r="O88" s="2"/>
      <c r="P88" s="2"/>
      <c r="Q88" s="2"/>
      <c r="R88" s="2"/>
      <c r="S88" s="2"/>
      <c r="T88" s="2"/>
      <c r="U88" s="2"/>
      <c r="V88" s="2"/>
      <c r="W88" s="2"/>
      <c r="X88" s="2"/>
      <c r="Y88" s="2"/>
      <c r="Z88" s="2"/>
      <c r="AA88" s="2"/>
      <c r="AM88" s="2"/>
      <c r="AN88" s="2"/>
    </row>
    <row r="89" spans="2:40">
      <c r="B89" s="2"/>
      <c r="C89" s="2"/>
      <c r="D89" s="2"/>
      <c r="E89" s="2"/>
      <c r="F89" s="2"/>
      <c r="G89" s="2"/>
      <c r="H89" s="2"/>
      <c r="I89" s="2"/>
      <c r="J89" s="2"/>
      <c r="K89" s="2"/>
      <c r="L89" s="2"/>
      <c r="M89" s="2"/>
      <c r="N89" s="2"/>
      <c r="O89" s="2"/>
      <c r="P89" s="2"/>
      <c r="Q89" s="2"/>
      <c r="R89" s="2"/>
      <c r="S89" s="2"/>
      <c r="T89" s="2"/>
      <c r="U89" s="2"/>
      <c r="V89" s="2"/>
      <c r="W89" s="2"/>
      <c r="X89" s="2"/>
      <c r="Y89" s="2"/>
      <c r="Z89" s="2"/>
      <c r="AA89" s="2"/>
      <c r="AM89" s="2"/>
      <c r="AN89" s="2"/>
    </row>
    <row r="90" spans="2:40">
      <c r="B90" s="2"/>
      <c r="C90" s="2"/>
      <c r="D90" s="2"/>
      <c r="E90" s="2"/>
      <c r="F90" s="2"/>
      <c r="G90" s="2"/>
      <c r="H90" s="2"/>
      <c r="I90" s="2"/>
      <c r="J90" s="2"/>
      <c r="K90" s="2"/>
      <c r="L90" s="2"/>
      <c r="M90" s="2"/>
      <c r="N90" s="2"/>
      <c r="O90" s="2"/>
      <c r="P90" s="2"/>
      <c r="Q90" s="2"/>
      <c r="R90" s="2"/>
      <c r="S90" s="2"/>
      <c r="T90" s="2"/>
      <c r="U90" s="2"/>
      <c r="V90" s="2"/>
      <c r="W90" s="2"/>
      <c r="X90" s="2"/>
      <c r="Y90" s="2"/>
      <c r="Z90" s="2"/>
      <c r="AA90" s="2"/>
      <c r="AM90" s="2"/>
      <c r="AN90" s="2"/>
    </row>
    <row r="91" spans="2:40">
      <c r="B91" s="2"/>
      <c r="C91" s="2"/>
      <c r="D91" s="2"/>
      <c r="E91" s="2"/>
      <c r="F91" s="2"/>
      <c r="G91" s="2"/>
      <c r="H91" s="2"/>
      <c r="I91" s="2"/>
      <c r="J91" s="2"/>
      <c r="K91" s="2"/>
      <c r="L91" s="2"/>
      <c r="M91" s="2"/>
      <c r="N91" s="2"/>
      <c r="O91" s="2"/>
      <c r="P91" s="2"/>
      <c r="Q91" s="2"/>
      <c r="R91" s="2"/>
      <c r="S91" s="2"/>
      <c r="T91" s="2"/>
      <c r="U91" s="2"/>
      <c r="V91" s="2"/>
      <c r="W91" s="2"/>
      <c r="X91" s="2"/>
      <c r="Y91" s="2"/>
      <c r="Z91" s="2"/>
      <c r="AA91" s="2"/>
      <c r="AM91" s="2"/>
      <c r="AN91" s="2"/>
    </row>
    <row r="92" spans="2:40">
      <c r="B92" s="2"/>
      <c r="C92" s="2"/>
      <c r="D92" s="2"/>
      <c r="E92" s="2"/>
      <c r="F92" s="2"/>
      <c r="G92" s="2"/>
      <c r="H92" s="2"/>
      <c r="I92" s="2"/>
      <c r="J92" s="2"/>
      <c r="K92" s="2"/>
      <c r="L92" s="2"/>
      <c r="M92" s="2"/>
      <c r="N92" s="2"/>
      <c r="O92" s="2"/>
      <c r="P92" s="2"/>
      <c r="Q92" s="2"/>
      <c r="R92" s="2"/>
      <c r="S92" s="2"/>
      <c r="T92" s="2"/>
      <c r="U92" s="2"/>
      <c r="V92" s="2"/>
      <c r="W92" s="2"/>
      <c r="X92" s="2"/>
      <c r="Y92" s="2"/>
      <c r="Z92" s="2"/>
      <c r="AA92" s="2"/>
      <c r="AM92" s="2"/>
      <c r="AN92" s="2"/>
    </row>
    <row r="93" spans="2:40">
      <c r="B93" s="2"/>
      <c r="C93" s="2"/>
      <c r="D93" s="2"/>
      <c r="E93" s="2"/>
      <c r="F93" s="2"/>
      <c r="G93" s="2"/>
      <c r="H93" s="2"/>
      <c r="I93" s="2"/>
      <c r="J93" s="2"/>
      <c r="K93" s="2"/>
      <c r="L93" s="2"/>
      <c r="M93" s="2"/>
      <c r="N93" s="2"/>
      <c r="O93" s="2"/>
      <c r="P93" s="2"/>
      <c r="Q93" s="2"/>
      <c r="R93" s="2"/>
      <c r="S93" s="2"/>
      <c r="T93" s="2"/>
      <c r="U93" s="2"/>
      <c r="V93" s="2"/>
      <c r="W93" s="2"/>
      <c r="X93" s="2"/>
      <c r="Y93" s="2"/>
      <c r="Z93" s="2"/>
      <c r="AA93" s="2"/>
      <c r="AM93" s="2"/>
      <c r="AN93" s="2"/>
    </row>
    <row r="94" spans="2:40">
      <c r="B94" s="2"/>
      <c r="C94" s="2"/>
      <c r="D94" s="2"/>
      <c r="E94" s="2"/>
      <c r="F94" s="2"/>
      <c r="G94" s="2"/>
      <c r="H94" s="2"/>
      <c r="I94" s="2"/>
      <c r="J94" s="2"/>
      <c r="K94" s="2"/>
      <c r="L94" s="2"/>
      <c r="M94" s="2"/>
      <c r="N94" s="2"/>
      <c r="O94" s="2"/>
      <c r="P94" s="2"/>
      <c r="Q94" s="2"/>
      <c r="R94" s="2"/>
      <c r="S94" s="2"/>
      <c r="T94" s="2"/>
      <c r="U94" s="2"/>
      <c r="V94" s="2"/>
      <c r="W94" s="2"/>
      <c r="X94" s="2"/>
      <c r="Y94" s="2"/>
      <c r="Z94" s="2"/>
      <c r="AA94" s="2"/>
      <c r="AM94" s="2"/>
      <c r="AN94" s="2"/>
    </row>
    <row r="95" spans="2:40">
      <c r="B95" s="2"/>
      <c r="C95" s="2"/>
      <c r="D95" s="2"/>
      <c r="E95" s="2"/>
      <c r="F95" s="2"/>
      <c r="G95" s="2"/>
      <c r="H95" s="2"/>
      <c r="I95" s="2"/>
      <c r="J95" s="2"/>
      <c r="K95" s="2"/>
      <c r="L95" s="2"/>
      <c r="M95" s="2"/>
      <c r="N95" s="2"/>
      <c r="O95" s="2"/>
      <c r="P95" s="2"/>
      <c r="Q95" s="2"/>
      <c r="R95" s="2"/>
      <c r="S95" s="2"/>
      <c r="T95" s="2"/>
      <c r="U95" s="2"/>
      <c r="V95" s="2"/>
      <c r="W95" s="2"/>
      <c r="X95" s="2"/>
      <c r="Y95" s="2"/>
      <c r="Z95" s="2"/>
      <c r="AA95" s="2"/>
      <c r="AM95" s="2"/>
      <c r="AN95" s="2"/>
    </row>
    <row r="96" spans="2:40">
      <c r="B96" s="2"/>
      <c r="C96" s="2"/>
      <c r="D96" s="2"/>
      <c r="E96" s="2"/>
      <c r="F96" s="2"/>
      <c r="G96" s="2"/>
      <c r="H96" s="2"/>
      <c r="I96" s="2"/>
      <c r="J96" s="2"/>
      <c r="K96" s="2"/>
      <c r="L96" s="2"/>
      <c r="M96" s="2"/>
      <c r="N96" s="2"/>
      <c r="O96" s="2"/>
      <c r="P96" s="2"/>
      <c r="Q96" s="2"/>
      <c r="R96" s="2"/>
      <c r="S96" s="2"/>
      <c r="T96" s="2"/>
      <c r="U96" s="2"/>
      <c r="V96" s="2"/>
      <c r="W96" s="2"/>
      <c r="X96" s="2"/>
      <c r="Y96" s="2"/>
      <c r="Z96" s="2"/>
      <c r="AA96" s="2"/>
      <c r="AM96" s="2"/>
      <c r="AN96" s="2"/>
    </row>
    <row r="97" spans="2:40">
      <c r="B97" s="2"/>
      <c r="C97" s="2"/>
      <c r="D97" s="2"/>
      <c r="E97" s="2"/>
      <c r="F97" s="2"/>
      <c r="G97" s="2"/>
      <c r="H97" s="2"/>
      <c r="I97" s="2"/>
      <c r="J97" s="2"/>
      <c r="K97" s="2"/>
      <c r="L97" s="2"/>
      <c r="M97" s="2"/>
      <c r="N97" s="2"/>
      <c r="O97" s="2"/>
      <c r="P97" s="2"/>
      <c r="Q97" s="2"/>
      <c r="R97" s="2"/>
      <c r="S97" s="2"/>
      <c r="T97" s="2"/>
      <c r="U97" s="2"/>
      <c r="V97" s="2"/>
      <c r="W97" s="2"/>
      <c r="X97" s="2"/>
      <c r="Y97" s="2"/>
      <c r="Z97" s="2"/>
      <c r="AA97" s="2"/>
      <c r="AM97" s="2"/>
      <c r="AN97" s="2"/>
    </row>
    <row r="98" spans="2:40">
      <c r="B98" s="2"/>
      <c r="C98" s="2"/>
      <c r="D98" s="2"/>
      <c r="E98" s="2"/>
      <c r="F98" s="2"/>
      <c r="G98" s="2"/>
      <c r="H98" s="2"/>
      <c r="I98" s="2"/>
      <c r="J98" s="2"/>
      <c r="K98" s="2"/>
      <c r="L98" s="2"/>
      <c r="M98" s="2"/>
      <c r="N98" s="2"/>
      <c r="O98" s="2"/>
      <c r="P98" s="2"/>
      <c r="Q98" s="2"/>
      <c r="R98" s="2"/>
      <c r="S98" s="2"/>
      <c r="T98" s="2"/>
      <c r="U98" s="2"/>
      <c r="V98" s="2"/>
      <c r="W98" s="2"/>
      <c r="X98" s="2"/>
      <c r="Y98" s="2"/>
      <c r="Z98" s="2"/>
      <c r="AA98" s="2"/>
      <c r="AM98" s="2"/>
      <c r="AN98" s="2"/>
    </row>
    <row r="99" spans="2:40">
      <c r="B99" s="2"/>
      <c r="C99" s="2"/>
      <c r="D99" s="2"/>
      <c r="E99" s="2"/>
      <c r="F99" s="2"/>
      <c r="G99" s="2"/>
      <c r="H99" s="2"/>
      <c r="I99" s="2"/>
      <c r="J99" s="2"/>
      <c r="K99" s="2"/>
      <c r="L99" s="2"/>
      <c r="M99" s="2"/>
      <c r="N99" s="2"/>
      <c r="O99" s="2"/>
      <c r="P99" s="2"/>
      <c r="Q99" s="2"/>
      <c r="R99" s="2"/>
      <c r="S99" s="2"/>
      <c r="T99" s="2"/>
      <c r="U99" s="2"/>
      <c r="V99" s="2"/>
      <c r="W99" s="2"/>
      <c r="X99" s="2"/>
      <c r="Y99" s="2"/>
      <c r="Z99" s="2"/>
      <c r="AA99" s="2"/>
      <c r="AM99" s="2"/>
      <c r="AN99" s="2"/>
    </row>
    <row r="100" spans="2:40">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M100" s="2"/>
      <c r="AN100" s="2"/>
    </row>
    <row r="101" spans="2:40">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M101" s="2"/>
      <c r="AN101" s="2"/>
    </row>
    <row r="102" spans="2:40">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M102" s="2"/>
      <c r="AN102" s="2"/>
    </row>
    <row r="103" spans="2:40">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M103" s="2"/>
      <c r="AN103" s="2"/>
    </row>
    <row r="104" spans="2:40">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M104" s="2"/>
      <c r="AN104" s="2"/>
    </row>
    <row r="105" spans="2:40">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M105" s="2"/>
      <c r="AN105" s="2"/>
    </row>
    <row r="106" spans="2:40">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M106" s="2"/>
      <c r="AN106" s="2"/>
    </row>
    <row r="107" spans="2:40">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M107" s="2"/>
      <c r="AN107" s="2"/>
    </row>
    <row r="108" spans="2:40">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M108" s="2"/>
      <c r="AN108" s="2"/>
    </row>
    <row r="109" spans="2:40">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M109" s="2"/>
      <c r="AN109" s="2"/>
    </row>
    <row r="110" spans="2:40">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M110" s="2"/>
      <c r="AN110" s="2"/>
    </row>
    <row r="111" spans="2:40">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M111" s="2"/>
      <c r="AN111" s="2"/>
    </row>
    <row r="112" spans="2:40">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M112" s="2"/>
      <c r="AN112" s="2"/>
    </row>
    <row r="113" spans="2:40">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M113" s="2"/>
      <c r="AN113" s="2"/>
    </row>
    <row r="114" spans="2:40">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M114" s="2"/>
      <c r="AN114" s="2"/>
    </row>
    <row r="115" spans="2:40">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M115" s="2"/>
      <c r="AN115" s="2"/>
    </row>
    <row r="116" spans="2:40">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M116" s="2"/>
      <c r="AN116" s="2"/>
    </row>
    <row r="117" spans="2:40">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M117" s="2"/>
      <c r="AN117" s="2"/>
    </row>
    <row r="118" spans="2:40">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M118" s="2"/>
      <c r="AN118" s="2"/>
    </row>
    <row r="119" spans="2:40">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M119" s="2"/>
      <c r="AN119" s="2"/>
    </row>
    <row r="120" spans="2:40">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M120" s="2"/>
      <c r="AN120" s="2"/>
    </row>
    <row r="121" spans="2:40">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M121" s="2"/>
      <c r="AN121" s="2"/>
    </row>
    <row r="122" spans="2:40">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M122" s="2"/>
      <c r="AN122" s="2"/>
    </row>
    <row r="123" spans="2:40">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M123" s="2"/>
      <c r="AN123" s="2"/>
    </row>
    <row r="124" spans="2:40">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M124" s="2"/>
      <c r="AN124" s="2"/>
    </row>
    <row r="125" spans="2:40">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M125" s="2"/>
      <c r="AN125" s="2"/>
    </row>
    <row r="126" spans="2:40">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M126" s="2"/>
      <c r="AN126" s="2"/>
    </row>
    <row r="127" spans="2:40">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M127" s="2"/>
      <c r="AN127" s="2"/>
    </row>
    <row r="128" spans="2:40">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M128" s="2"/>
      <c r="AN128" s="2"/>
    </row>
    <row r="129" spans="2:40">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M129" s="2"/>
      <c r="AN129" s="2"/>
    </row>
    <row r="130" spans="2:40">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M130" s="2"/>
      <c r="AN130" s="2"/>
    </row>
    <row r="131" spans="2:40">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M131" s="2"/>
      <c r="AN131" s="2"/>
    </row>
    <row r="132" spans="2:40">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M132" s="2"/>
      <c r="AN132" s="2"/>
    </row>
    <row r="133" spans="2:40">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M133" s="2"/>
      <c r="AN133" s="2"/>
    </row>
    <row r="134" spans="2:40">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M134" s="2"/>
      <c r="AN134" s="2"/>
    </row>
    <row r="135" spans="2:40">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M135" s="2"/>
      <c r="AN135" s="2"/>
    </row>
    <row r="136" spans="2:40">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M136" s="2"/>
      <c r="AN136" s="2"/>
    </row>
    <row r="137" spans="2:40">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M137" s="2"/>
      <c r="AN137" s="2"/>
    </row>
    <row r="138" spans="2:40">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M138" s="2"/>
      <c r="AN138" s="2"/>
    </row>
    <row r="139" spans="2:40">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M139" s="2"/>
      <c r="AN139" s="2"/>
    </row>
    <row r="140" spans="2:40">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M140" s="2"/>
      <c r="AN140" s="2"/>
    </row>
    <row r="141" spans="2:40">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M141" s="2"/>
      <c r="AN141" s="2"/>
    </row>
    <row r="142" spans="2:40">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M142" s="2"/>
      <c r="AN142" s="2"/>
    </row>
    <row r="143" spans="2:40">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M143" s="2"/>
      <c r="AN143" s="2"/>
    </row>
    <row r="144" spans="2:40">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M144" s="2"/>
      <c r="AN144" s="2"/>
    </row>
    <row r="145" spans="2:40">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M145" s="2"/>
      <c r="AN145" s="2"/>
    </row>
    <row r="146" spans="2:40">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M146" s="2"/>
      <c r="AN146" s="2"/>
    </row>
    <row r="147" spans="2:40">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M147" s="2"/>
      <c r="AN147" s="2"/>
    </row>
    <row r="148" spans="2:40">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M148" s="2"/>
      <c r="AN148" s="2"/>
    </row>
    <row r="149" spans="2:40">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M149" s="2"/>
      <c r="AN149" s="2"/>
    </row>
    <row r="150" spans="2:40">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M150" s="2"/>
      <c r="AN150" s="2"/>
    </row>
    <row r="151" spans="2:40">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M151" s="2"/>
      <c r="AN151" s="2"/>
    </row>
    <row r="152" spans="2:40">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M152" s="2"/>
      <c r="AN152" s="2"/>
    </row>
    <row r="153" spans="2:40">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M153" s="2"/>
      <c r="AN153" s="2"/>
    </row>
    <row r="154" spans="2:40">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M154" s="2"/>
      <c r="AN154" s="2"/>
    </row>
    <row r="155" spans="2:40">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M155" s="2"/>
      <c r="AN155" s="2"/>
    </row>
    <row r="156" spans="2:40">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M156" s="2"/>
      <c r="AN156" s="2"/>
    </row>
    <row r="157" spans="2:40">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M157" s="2"/>
      <c r="AN157" s="2"/>
    </row>
    <row r="158" spans="2:40">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M158" s="2"/>
      <c r="AN158" s="2"/>
    </row>
    <row r="159" spans="2:40">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M159" s="2"/>
      <c r="AN159" s="2"/>
    </row>
    <row r="160" spans="2:40">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M160" s="2"/>
      <c r="AN160" s="2"/>
    </row>
    <row r="161" spans="2:40">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M161" s="2"/>
      <c r="AN161" s="2"/>
    </row>
    <row r="162" spans="2:40">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M162" s="2"/>
      <c r="AN162" s="2"/>
    </row>
    <row r="163" spans="2:40">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M163" s="2"/>
      <c r="AN163" s="2"/>
    </row>
    <row r="164" spans="2:40">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M164" s="2"/>
      <c r="AN164" s="2"/>
    </row>
    <row r="165" spans="2:40">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M165" s="2"/>
      <c r="AN165" s="2"/>
    </row>
    <row r="166" spans="2:40">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M166" s="2"/>
      <c r="AN166" s="2"/>
    </row>
    <row r="167" spans="2:40">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M167" s="2"/>
      <c r="AN167" s="2"/>
    </row>
    <row r="168" spans="2:40">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M168" s="2"/>
      <c r="AN168" s="2"/>
    </row>
    <row r="169" spans="2:40">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M169" s="2"/>
      <c r="AN169" s="2"/>
    </row>
    <row r="170" spans="2:40">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M170" s="2"/>
      <c r="AN170" s="2"/>
    </row>
    <row r="171" spans="2:40">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M171" s="2"/>
      <c r="AN171" s="2"/>
    </row>
    <row r="172" spans="2:40">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M172" s="2"/>
      <c r="AN172" s="2"/>
    </row>
    <row r="173" spans="2:40">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M173" s="2"/>
      <c r="AN173" s="2"/>
    </row>
    <row r="174" spans="2:40">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M174" s="2"/>
      <c r="AN174" s="2"/>
    </row>
    <row r="175" spans="2:40">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M175" s="2"/>
      <c r="AN175" s="2"/>
    </row>
    <row r="176" spans="2:40">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M176" s="2"/>
      <c r="AN176" s="2"/>
    </row>
    <row r="177" spans="2:40">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M177" s="2"/>
      <c r="AN177" s="2"/>
    </row>
    <row r="178" spans="2:40">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M178" s="2"/>
      <c r="AN178" s="2"/>
    </row>
    <row r="179" spans="2:40">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M179" s="2"/>
      <c r="AN179" s="2"/>
    </row>
    <row r="180" spans="2:40">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M180" s="2"/>
      <c r="AN180" s="2"/>
    </row>
    <row r="181" spans="2:40">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M181" s="2"/>
      <c r="AN181" s="2"/>
    </row>
    <row r="182" spans="2:40">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M182" s="2"/>
      <c r="AN182" s="2"/>
    </row>
    <row r="183" spans="2:40">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M183" s="2"/>
      <c r="AN183" s="2"/>
    </row>
    <row r="184" spans="2:40">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M184" s="2"/>
      <c r="AN184" s="2"/>
    </row>
    <row r="185" spans="2:40">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M185" s="2"/>
      <c r="AN185" s="2"/>
    </row>
    <row r="186" spans="2:40">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M186" s="2"/>
      <c r="AN186" s="2"/>
    </row>
    <row r="187" spans="2:40">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M187" s="2"/>
      <c r="AN187" s="2"/>
    </row>
    <row r="188" spans="2:40">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M188" s="2"/>
      <c r="AN188" s="2"/>
    </row>
    <row r="189" spans="2:40">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M189" s="2"/>
      <c r="AN189" s="2"/>
    </row>
    <row r="190" spans="2:40">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M190" s="2"/>
      <c r="AN190" s="2"/>
    </row>
    <row r="191" spans="2:40">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M191" s="2"/>
      <c r="AN191" s="2"/>
    </row>
    <row r="192" spans="2:40">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M192" s="2"/>
      <c r="AN192" s="2"/>
    </row>
    <row r="193" spans="2:40">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M193" s="2"/>
      <c r="AN193" s="2"/>
    </row>
    <row r="194" spans="2:40">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M194" s="2"/>
      <c r="AN194" s="2"/>
    </row>
    <row r="195" spans="2:40">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M195" s="2"/>
      <c r="AN195" s="2"/>
    </row>
    <row r="196" spans="2:40">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M196" s="2"/>
      <c r="AN196" s="2"/>
    </row>
    <row r="197" spans="2:40">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M197" s="2"/>
      <c r="AN197" s="2"/>
    </row>
    <row r="198" spans="2:40">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M198" s="2"/>
      <c r="AN198" s="2"/>
    </row>
    <row r="199" spans="2:40">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M199" s="2"/>
      <c r="AN199" s="2"/>
    </row>
    <row r="200" spans="2:40">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M200" s="2"/>
      <c r="AN200" s="2"/>
    </row>
    <row r="201" spans="2:40">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M201" s="2"/>
      <c r="AN201" s="2"/>
    </row>
    <row r="202" spans="2:40">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M202" s="2"/>
      <c r="AN202" s="2"/>
    </row>
    <row r="203" spans="2:40">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M203" s="2"/>
      <c r="AN203" s="2"/>
    </row>
    <row r="204" spans="2:40">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M204" s="2"/>
      <c r="AN204" s="2"/>
    </row>
    <row r="205" spans="2:40">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M205" s="2"/>
      <c r="AN205" s="2"/>
    </row>
    <row r="206" spans="2:40">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M206" s="2"/>
      <c r="AN206" s="2"/>
    </row>
    <row r="207" spans="2:40">
      <c r="W207" s="2"/>
      <c r="X207" s="2"/>
      <c r="Y207" s="2"/>
      <c r="Z207" s="2"/>
      <c r="AA207" s="2"/>
      <c r="AM207" s="2"/>
      <c r="AN207" s="2"/>
    </row>
    <row r="208" spans="2:40">
      <c r="W208" s="2"/>
      <c r="X208" s="2"/>
      <c r="Y208" s="2"/>
      <c r="Z208" s="2"/>
      <c r="AA208" s="2"/>
      <c r="AM208" s="2"/>
      <c r="AN208" s="2"/>
    </row>
    <row r="209" spans="23:40">
      <c r="W209" s="2"/>
      <c r="X209" s="2"/>
      <c r="Y209" s="2"/>
      <c r="Z209" s="2"/>
      <c r="AA209" s="2"/>
      <c r="AM209" s="2"/>
      <c r="AN209" s="2"/>
    </row>
    <row r="210" spans="23:40">
      <c r="W210" s="2"/>
      <c r="X210" s="2"/>
      <c r="Y210" s="2"/>
      <c r="Z210" s="2"/>
      <c r="AA210" s="2"/>
      <c r="AM210" s="2"/>
      <c r="AN210" s="2"/>
    </row>
    <row r="211" spans="23:40">
      <c r="W211" s="2"/>
      <c r="X211" s="2"/>
      <c r="Y211" s="2"/>
      <c r="Z211" s="2"/>
      <c r="AA211" s="2"/>
      <c r="AM211" s="2"/>
      <c r="AN211" s="2"/>
    </row>
    <row r="212" spans="23:40">
      <c r="W212" s="2"/>
      <c r="X212" s="2"/>
      <c r="Y212" s="2"/>
      <c r="Z212" s="2"/>
      <c r="AA212" s="2"/>
      <c r="AM212" s="2"/>
      <c r="AN212" s="2"/>
    </row>
    <row r="213" spans="23:40">
      <c r="W213" s="2"/>
      <c r="X213" s="2"/>
      <c r="Y213" s="2"/>
      <c r="Z213" s="2"/>
      <c r="AA213" s="2"/>
      <c r="AM213" s="2"/>
      <c r="AN213" s="2"/>
    </row>
    <row r="214" spans="23:40">
      <c r="W214" s="2"/>
      <c r="X214" s="2"/>
      <c r="Y214" s="2"/>
      <c r="Z214" s="2"/>
      <c r="AA214" s="2"/>
      <c r="AM214" s="2"/>
      <c r="AN214" s="2"/>
    </row>
    <row r="215" spans="23:40">
      <c r="W215" s="2"/>
      <c r="X215" s="2"/>
      <c r="Y215" s="2"/>
      <c r="Z215" s="2"/>
      <c r="AA215" s="2"/>
      <c r="AM215" s="2"/>
      <c r="AN215" s="2"/>
    </row>
  </sheetData>
  <sheetProtection password="B1AA" sheet="1" selectLockedCells="1"/>
  <mergeCells count="66">
    <mergeCell ref="S8:T8"/>
    <mergeCell ref="S10:T10"/>
    <mergeCell ref="U10:V10"/>
    <mergeCell ref="U9:V9"/>
    <mergeCell ref="Q6:R7"/>
    <mergeCell ref="S6:T6"/>
    <mergeCell ref="S7:T7"/>
    <mergeCell ref="Q8:R8"/>
    <mergeCell ref="Q10:R10"/>
    <mergeCell ref="Q9:R9"/>
    <mergeCell ref="U11:V11"/>
    <mergeCell ref="K21:L21"/>
    <mergeCell ref="K11:L11"/>
    <mergeCell ref="K22:L22"/>
    <mergeCell ref="J20:K20"/>
    <mergeCell ref="Q11:R11"/>
    <mergeCell ref="Q12:R12"/>
    <mergeCell ref="K12:L12"/>
    <mergeCell ref="U12:V12"/>
    <mergeCell ref="S14:T15"/>
    <mergeCell ref="S12:T12"/>
    <mergeCell ref="Q13:R13"/>
    <mergeCell ref="D32:E32"/>
    <mergeCell ref="F13:G13"/>
    <mergeCell ref="K13:L13"/>
    <mergeCell ref="O9:P9"/>
    <mergeCell ref="O11:P11"/>
    <mergeCell ref="D30:E30"/>
    <mergeCell ref="C24:H25"/>
    <mergeCell ref="J24:O25"/>
    <mergeCell ref="O12:P12"/>
    <mergeCell ref="F11:G11"/>
    <mergeCell ref="F22:G22"/>
    <mergeCell ref="F21:G21"/>
    <mergeCell ref="C17:H17"/>
    <mergeCell ref="K10:L10"/>
    <mergeCell ref="O10:P10"/>
    <mergeCell ref="F9:G9"/>
    <mergeCell ref="D6:D7"/>
    <mergeCell ref="F29:H29"/>
    <mergeCell ref="F6:H6"/>
    <mergeCell ref="O13:P13"/>
    <mergeCell ref="O8:P8"/>
    <mergeCell ref="K6:M6"/>
    <mergeCell ref="F7:G7"/>
    <mergeCell ref="O6:P7"/>
    <mergeCell ref="K7:L7"/>
    <mergeCell ref="N6:N7"/>
    <mergeCell ref="I6:J6"/>
    <mergeCell ref="E6:E7"/>
    <mergeCell ref="K9:L9"/>
    <mergeCell ref="K8:L8"/>
    <mergeCell ref="D33:E33"/>
    <mergeCell ref="D28:E28"/>
    <mergeCell ref="B16:J16"/>
    <mergeCell ref="C20:D20"/>
    <mergeCell ref="F30:H30"/>
    <mergeCell ref="F31:H33"/>
    <mergeCell ref="J28:M28"/>
    <mergeCell ref="K33:M33"/>
    <mergeCell ref="D31:E31"/>
    <mergeCell ref="J17:O17"/>
    <mergeCell ref="F8:G8"/>
    <mergeCell ref="F10:G10"/>
    <mergeCell ref="D29:E29"/>
    <mergeCell ref="F12:G12"/>
  </mergeCells>
  <phoneticPr fontId="26" type="noConversion"/>
  <dataValidations count="5">
    <dataValidation type="list" allowBlank="1" showInputMessage="1" showErrorMessage="1" sqref="O4">
      <formula1>"1,2"</formula1>
    </dataValidation>
    <dataValidation type="list" allowBlank="1" showInputMessage="1" showErrorMessage="1" sqref="D8 D12 D10">
      <formula1>$C$29:$C$33</formula1>
    </dataValidation>
    <dataValidation type="list" allowBlank="1" showInputMessage="1" showErrorMessage="1" sqref="F8:G8 F10:G10 F12:G12">
      <formula1>$J$29:$J$33</formula1>
    </dataValidation>
    <dataValidation type="list" allowBlank="1" showInputMessage="1" showErrorMessage="1" sqref="E12 E10 E8">
      <formula1>"Hard Wood,Soft Wood,Other"</formula1>
    </dataValidation>
    <dataValidation type="list" allowBlank="1" showInputMessage="1" showErrorMessage="1" sqref="N6:N7">
      <formula1>"Price per tonne (GBP), Price per tonne delivered (GBP)"</formula1>
    </dataValidation>
  </dataValidations>
  <hyperlinks>
    <hyperlink ref="S14:T15" location="'Main Menu'!A1" display="RETURN MAIN MENU"/>
  </hyperlink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Plan6"/>
  <dimension ref="A1:AK73"/>
  <sheetViews>
    <sheetView zoomScale="85" zoomScaleNormal="85" workbookViewId="0">
      <selection activeCell="Q14" sqref="Q14:R15"/>
    </sheetView>
  </sheetViews>
  <sheetFormatPr defaultRowHeight="14.25"/>
  <cols>
    <col min="1" max="1" width="2.140625" style="231" customWidth="1"/>
    <col min="2" max="2" width="4" style="260" customWidth="1"/>
    <col min="3" max="3" width="15" style="260" customWidth="1"/>
    <col min="4" max="4" width="10.28515625" style="260" customWidth="1"/>
    <col min="5" max="5" width="10.7109375" style="260" customWidth="1"/>
    <col min="6" max="6" width="8.28515625" style="260" customWidth="1"/>
    <col min="7" max="7" width="2.7109375" style="260" customWidth="1"/>
    <col min="8" max="8" width="10.5703125" style="260" customWidth="1"/>
    <col min="9" max="9" width="7.85546875" style="260" customWidth="1"/>
    <col min="10" max="10" width="11.42578125" style="260" customWidth="1"/>
    <col min="11" max="11" width="5.85546875" style="260" customWidth="1"/>
    <col min="12" max="12" width="2" style="260" customWidth="1"/>
    <col min="13" max="14" width="8.7109375" style="260" customWidth="1"/>
    <col min="15" max="15" width="6.28515625" style="260" customWidth="1"/>
    <col min="16" max="16" width="1.140625" style="260" customWidth="1"/>
    <col min="17" max="17" width="9.140625" style="260" customWidth="1"/>
    <col min="18" max="18" width="7" style="260" customWidth="1"/>
    <col min="19" max="19" width="9.140625" style="260" customWidth="1"/>
    <col min="20" max="20" width="6" style="260" customWidth="1"/>
    <col min="21" max="25" width="9.140625" style="260" customWidth="1"/>
    <col min="26" max="26" width="5.85546875" style="260" customWidth="1"/>
    <col min="27" max="31" width="9.140625" style="231" customWidth="1"/>
    <col min="32" max="37" width="9.140625" style="231"/>
    <col min="38" max="16384" width="9.140625" style="260"/>
  </cols>
  <sheetData>
    <row r="1" spans="2:26" s="231" customFormat="1" ht="15" thickBot="1"/>
    <row r="2" spans="2:26" ht="15" thickBot="1">
      <c r="B2" s="257"/>
      <c r="C2" s="258"/>
      <c r="D2" s="258"/>
      <c r="E2" s="258"/>
      <c r="F2" s="258"/>
      <c r="G2" s="258"/>
      <c r="H2" s="258"/>
      <c r="I2" s="258"/>
      <c r="J2" s="258"/>
      <c r="K2" s="258"/>
      <c r="L2" s="258"/>
      <c r="M2" s="258"/>
      <c r="N2" s="258"/>
      <c r="O2" s="258"/>
      <c r="P2" s="258"/>
      <c r="Q2" s="258"/>
      <c r="R2" s="258"/>
      <c r="S2" s="258"/>
      <c r="T2" s="258"/>
      <c r="U2" s="258"/>
      <c r="V2" s="258"/>
      <c r="W2" s="258"/>
      <c r="X2" s="258"/>
      <c r="Y2" s="258"/>
      <c r="Z2" s="259"/>
    </row>
    <row r="3" spans="2:26" ht="26.25">
      <c r="B3" s="261"/>
      <c r="C3" s="262"/>
      <c r="D3" s="304" t="s">
        <v>567</v>
      </c>
      <c r="E3" s="262"/>
      <c r="F3" s="262"/>
      <c r="G3" s="262"/>
      <c r="H3" s="262"/>
      <c r="I3" s="262"/>
      <c r="J3" s="262"/>
      <c r="K3" s="262"/>
      <c r="L3" s="262"/>
      <c r="M3" s="335" t="s">
        <v>158</v>
      </c>
      <c r="N3" s="258"/>
      <c r="O3" s="258"/>
      <c r="P3" s="258"/>
      <c r="Q3" s="258"/>
      <c r="R3" s="258"/>
      <c r="S3" s="259"/>
      <c r="Z3" s="263"/>
    </row>
    <row r="4" spans="2:26" ht="15.75" thickBot="1">
      <c r="B4" s="261"/>
      <c r="C4" s="262"/>
      <c r="D4" s="262"/>
      <c r="E4" s="262"/>
      <c r="F4" s="262"/>
      <c r="G4" s="262"/>
      <c r="H4" s="262"/>
      <c r="I4" s="262"/>
      <c r="J4" s="262"/>
      <c r="K4" s="262"/>
      <c r="L4" s="94"/>
      <c r="M4" s="336" t="s">
        <v>40</v>
      </c>
      <c r="N4" s="276"/>
      <c r="O4" s="276"/>
      <c r="P4" s="276"/>
      <c r="Q4" s="276"/>
      <c r="R4" s="276"/>
      <c r="S4" s="277"/>
      <c r="Z4" s="263"/>
    </row>
    <row r="5" spans="2:26" ht="15" thickBot="1">
      <c r="B5" s="261"/>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2:26" ht="15" customHeight="1">
      <c r="B6" s="261"/>
      <c r="C6" s="262"/>
      <c r="D6" s="1174" t="s">
        <v>527</v>
      </c>
      <c r="E6" s="1094"/>
      <c r="F6" s="1092" t="s">
        <v>104</v>
      </c>
      <c r="G6" s="1093"/>
      <c r="H6" s="1094"/>
      <c r="I6" s="1092" t="s">
        <v>341</v>
      </c>
      <c r="J6" s="1094"/>
      <c r="K6" s="1104" t="s">
        <v>528</v>
      </c>
      <c r="L6" s="1105"/>
      <c r="M6" s="1106"/>
      <c r="N6" s="1092" t="s">
        <v>198</v>
      </c>
      <c r="O6" s="1093"/>
      <c r="P6" s="1094"/>
      <c r="Q6" s="1092" t="s">
        <v>529</v>
      </c>
      <c r="R6" s="1130"/>
      <c r="U6" s="262"/>
      <c r="V6" s="262"/>
      <c r="W6" s="262"/>
      <c r="X6" s="262"/>
      <c r="Y6" s="262"/>
      <c r="Z6" s="263"/>
    </row>
    <row r="7" spans="2:26" ht="29.25" customHeight="1" thickBot="1">
      <c r="B7" s="279"/>
      <c r="C7" s="262"/>
      <c r="D7" s="1175"/>
      <c r="E7" s="1129"/>
      <c r="F7" s="1107" t="s">
        <v>102</v>
      </c>
      <c r="G7" s="1108"/>
      <c r="H7" s="280" t="s">
        <v>103</v>
      </c>
      <c r="I7" s="280" t="s">
        <v>74</v>
      </c>
      <c r="J7" s="280" t="s">
        <v>75</v>
      </c>
      <c r="K7" s="1107" t="s">
        <v>1</v>
      </c>
      <c r="L7" s="1108"/>
      <c r="M7" s="280" t="s">
        <v>2</v>
      </c>
      <c r="N7" s="1128"/>
      <c r="O7" s="1172"/>
      <c r="P7" s="1129"/>
      <c r="Q7" s="1128" t="s">
        <v>112</v>
      </c>
      <c r="R7" s="1131"/>
      <c r="U7" s="262"/>
      <c r="V7" s="262"/>
      <c r="W7" s="262"/>
      <c r="X7" s="262"/>
      <c r="Y7" s="262"/>
      <c r="Z7" s="263"/>
    </row>
    <row r="8" spans="2:26">
      <c r="B8" s="261"/>
      <c r="C8" s="518" t="s">
        <v>30</v>
      </c>
      <c r="D8" s="1176" t="s">
        <v>108</v>
      </c>
      <c r="E8" s="1177"/>
      <c r="F8" s="1084" t="s">
        <v>89</v>
      </c>
      <c r="G8" s="1085"/>
      <c r="H8" s="580">
        <f>F9*(100-D9)/100</f>
        <v>0.62999999999999989</v>
      </c>
      <c r="I8" s="779">
        <f>K19/((100-D9)/100)</f>
        <v>777.77777777777771</v>
      </c>
      <c r="J8" s="816">
        <f>I8*M8</f>
        <v>3836.1296296296291</v>
      </c>
      <c r="K8" s="1061">
        <f>($D$19*(100-D9)-2.442*D9)/100</f>
        <v>17.755800000000001</v>
      </c>
      <c r="L8" s="1062"/>
      <c r="M8" s="576">
        <f>K8/3.6</f>
        <v>4.9321666666666664</v>
      </c>
      <c r="N8" s="1102">
        <v>130</v>
      </c>
      <c r="O8" s="1173"/>
      <c r="P8" s="1103"/>
      <c r="Q8" s="1164">
        <f>(N8/(M8*1000))</f>
        <v>2.6357584563917145E-2</v>
      </c>
      <c r="R8" s="1165"/>
      <c r="U8" s="262"/>
      <c r="V8" s="262"/>
      <c r="W8" s="262"/>
      <c r="X8" s="262"/>
      <c r="Y8" s="262"/>
      <c r="Z8" s="263"/>
    </row>
    <row r="9" spans="2:26">
      <c r="B9" s="261"/>
      <c r="C9" s="312"/>
      <c r="D9" s="1168">
        <f>IF(D8=$C$29,10,IF(D8=$C$30,15,IF(D8=$C$31,20,0)))</f>
        <v>10</v>
      </c>
      <c r="E9" s="1169"/>
      <c r="F9" s="1088">
        <f>IF(F8=$H$29,0.7,IF(F8=$H$30,1.5,IF(F8=$H$31,3,IF(F8=$H$32,6,IF(F8=$H$33,10)))))</f>
        <v>0.7</v>
      </c>
      <c r="G9" s="1089"/>
      <c r="H9" s="581"/>
      <c r="I9" s="780"/>
      <c r="J9" s="817"/>
      <c r="K9" s="1059"/>
      <c r="L9" s="1060"/>
      <c r="M9" s="577"/>
      <c r="N9" s="1100"/>
      <c r="O9" s="1163"/>
      <c r="P9" s="1101"/>
      <c r="Q9" s="313"/>
      <c r="R9" s="314"/>
      <c r="U9" s="1153"/>
      <c r="V9" s="1153"/>
      <c r="W9" s="262"/>
      <c r="X9" s="262"/>
      <c r="Y9" s="262"/>
      <c r="Z9" s="263"/>
    </row>
    <row r="10" spans="2:26">
      <c r="B10" s="261"/>
      <c r="C10" s="519" t="s">
        <v>31</v>
      </c>
      <c r="D10" s="1170" t="s">
        <v>108</v>
      </c>
      <c r="E10" s="1171"/>
      <c r="F10" s="1086" t="s">
        <v>89</v>
      </c>
      <c r="G10" s="1087"/>
      <c r="H10" s="582">
        <f>F11*(100-D11)/100</f>
        <v>0.62999999999999989</v>
      </c>
      <c r="I10" s="781">
        <f>M19/((100-D11)/100)</f>
        <v>777.77777777777771</v>
      </c>
      <c r="J10" s="818">
        <f>I10*M10</f>
        <v>3836.1296296296291</v>
      </c>
      <c r="K10" s="1141">
        <f>($E$19*(100-D11)-2.442*D11)/100</f>
        <v>17.755800000000001</v>
      </c>
      <c r="L10" s="1142"/>
      <c r="M10" s="578">
        <f>K10/3.6</f>
        <v>4.9321666666666664</v>
      </c>
      <c r="N10" s="1115">
        <v>130</v>
      </c>
      <c r="O10" s="1162"/>
      <c r="P10" s="1116"/>
      <c r="Q10" s="1166">
        <f>(N10)/(M10*1000)</f>
        <v>2.6357584563917145E-2</v>
      </c>
      <c r="R10" s="1167"/>
      <c r="U10" s="1153"/>
      <c r="V10" s="1153"/>
      <c r="W10" s="262"/>
      <c r="X10" s="262"/>
      <c r="Y10" s="262"/>
      <c r="Z10" s="263"/>
    </row>
    <row r="11" spans="2:26">
      <c r="B11" s="261"/>
      <c r="C11" s="315"/>
      <c r="D11" s="1168">
        <f>IF(D10=$C$29,10,IF(D10=$C$30,15,IF(D10=$C$31,20,0)))</f>
        <v>10</v>
      </c>
      <c r="E11" s="1169"/>
      <c r="F11" s="1088">
        <f>IF(F10=$H$29,0.7,IF(F10=$H$30,1.5,IF(F10=$H$31,3,IF(F10=$H$32,6,IF(F10=$H$33,10)))))</f>
        <v>0.7</v>
      </c>
      <c r="G11" s="1089"/>
      <c r="H11" s="581"/>
      <c r="I11" s="782"/>
      <c r="J11" s="817"/>
      <c r="K11" s="1059"/>
      <c r="L11" s="1060"/>
      <c r="M11" s="577"/>
      <c r="N11" s="1100"/>
      <c r="O11" s="1163"/>
      <c r="P11" s="1101"/>
      <c r="Q11" s="313"/>
      <c r="R11" s="314"/>
      <c r="U11" s="1153"/>
      <c r="V11" s="1153"/>
      <c r="W11" s="262"/>
      <c r="X11" s="262"/>
      <c r="Y11" s="262"/>
      <c r="Z11" s="263"/>
    </row>
    <row r="12" spans="2:26" ht="15" thickBot="1">
      <c r="B12" s="261"/>
      <c r="C12" s="520" t="s">
        <v>32</v>
      </c>
      <c r="D12" s="1170" t="s">
        <v>108</v>
      </c>
      <c r="E12" s="1171"/>
      <c r="F12" s="1086" t="s">
        <v>89</v>
      </c>
      <c r="G12" s="1087"/>
      <c r="H12" s="583">
        <f>F13*(100-D13)/100</f>
        <v>0.62999999999999989</v>
      </c>
      <c r="I12" s="783">
        <f>N19/((100-D13)/100)</f>
        <v>777.77777777777771</v>
      </c>
      <c r="J12" s="819">
        <f>I12*M12</f>
        <v>3836.1296296296291</v>
      </c>
      <c r="K12" s="1122">
        <f>($F$19*(100-D13)-2.442*D13)/100</f>
        <v>17.755800000000001</v>
      </c>
      <c r="L12" s="1123"/>
      <c r="M12" s="579">
        <f>K12/3.6</f>
        <v>4.9321666666666664</v>
      </c>
      <c r="N12" s="1115">
        <v>130</v>
      </c>
      <c r="O12" s="1162"/>
      <c r="P12" s="1116"/>
      <c r="Q12" s="1149">
        <f>(N12/(M12*1000))</f>
        <v>2.6357584563917145E-2</v>
      </c>
      <c r="R12" s="1150"/>
      <c r="U12" s="1153"/>
      <c r="V12" s="1153"/>
      <c r="W12" s="262"/>
      <c r="X12" s="262"/>
      <c r="Y12" s="262"/>
      <c r="Z12" s="263"/>
    </row>
    <row r="13" spans="2:26" ht="15" thickBot="1">
      <c r="B13" s="261"/>
      <c r="C13" s="262"/>
      <c r="D13" s="1146">
        <f>IF(D12=$C$29,10,IF(D12=$C$30,15,IF(D12=$C$31,20,0)))</f>
        <v>10</v>
      </c>
      <c r="E13" s="1147"/>
      <c r="F13" s="1097">
        <f>IF(F12=$H$29,0.7,IF(F12=$H$30,1.5,IF(F12=$H$31,3,IF(F12=$H$32,6,IF(F12=$H$33,10)))))</f>
        <v>0.7</v>
      </c>
      <c r="G13" s="1098"/>
      <c r="H13" s="316"/>
      <c r="I13" s="784"/>
      <c r="J13" s="291"/>
      <c r="K13" s="1095"/>
      <c r="L13" s="1099"/>
      <c r="M13" s="292"/>
      <c r="N13" s="1095"/>
      <c r="O13" s="1161"/>
      <c r="P13" s="1096"/>
      <c r="Q13" s="317"/>
      <c r="R13" s="318"/>
      <c r="U13" s="262"/>
      <c r="V13" s="262"/>
      <c r="W13" s="262"/>
      <c r="X13" s="262"/>
      <c r="Y13" s="262"/>
      <c r="Z13" s="263"/>
    </row>
    <row r="14" spans="2:26" ht="15">
      <c r="B14" s="261"/>
      <c r="C14" s="262"/>
      <c r="D14" s="296" t="str">
        <f>IF( AND(OR(D8=10,D8=15,D8=20),OR(D10=10,D10=15,D10=20),OR(D12=10,D12=15,D12=20),OR(F8=0.7,F8=1.5,F8=3,F8=6,F8=10),OR(F10=0.7,F10=1.5,F10=3,F10=6,F10=10),OR(F12=0.7,F12=1.5,F12=3,F12=6,F12=10))," ","*For better performance, try to use the limits values defined by CEN/TS 14961:2005")</f>
        <v>*For better performance, try to use the limits values defined by CEN/TS 14961:2005</v>
      </c>
      <c r="E14" s="297"/>
      <c r="F14" s="297"/>
      <c r="G14" s="297"/>
      <c r="H14" s="297"/>
      <c r="I14" s="298"/>
      <c r="J14" s="298"/>
      <c r="K14" s="298"/>
      <c r="L14" s="262"/>
      <c r="M14" s="299"/>
      <c r="N14" s="300"/>
      <c r="O14" s="300"/>
      <c r="P14" s="300"/>
      <c r="Q14" s="1132" t="s">
        <v>453</v>
      </c>
      <c r="R14" s="1133"/>
      <c r="S14" s="262"/>
      <c r="T14" s="262"/>
      <c r="U14" s="262"/>
      <c r="V14" s="262"/>
      <c r="W14" s="262"/>
      <c r="X14" s="262"/>
      <c r="Y14" s="262"/>
      <c r="Z14" s="263"/>
    </row>
    <row r="15" spans="2:26" ht="15.75" thickBot="1">
      <c r="B15" s="261"/>
      <c r="C15" s="262"/>
      <c r="D15" s="301"/>
      <c r="E15" s="262"/>
      <c r="F15" s="262"/>
      <c r="G15" s="262"/>
      <c r="H15" s="262"/>
      <c r="I15" s="262"/>
      <c r="J15" s="262"/>
      <c r="K15" s="262"/>
      <c r="L15" s="262"/>
      <c r="M15" s="262"/>
      <c r="N15" s="262"/>
      <c r="O15" s="299"/>
      <c r="P15" s="299"/>
      <c r="Q15" s="1134"/>
      <c r="R15" s="1135"/>
      <c r="S15" s="262"/>
      <c r="T15" s="262"/>
      <c r="U15" s="262"/>
      <c r="V15" s="262"/>
      <c r="W15" s="262"/>
      <c r="X15" s="262"/>
      <c r="Y15" s="262"/>
      <c r="Z15" s="263"/>
    </row>
    <row r="16" spans="2:26" ht="15" thickBot="1">
      <c r="B16" s="1155"/>
      <c r="C16" s="1156"/>
      <c r="D16" s="1156"/>
      <c r="E16" s="1156"/>
      <c r="F16" s="1156"/>
      <c r="G16" s="1156"/>
      <c r="H16" s="1156"/>
      <c r="I16" s="1156"/>
      <c r="J16" s="1156"/>
      <c r="K16" s="1156"/>
      <c r="L16" s="1156"/>
      <c r="M16" s="262"/>
      <c r="N16" s="262"/>
      <c r="O16" s="262"/>
      <c r="P16" s="262"/>
      <c r="Q16" s="262"/>
      <c r="R16" s="262"/>
      <c r="S16" s="262"/>
      <c r="T16" s="262"/>
      <c r="U16" s="262"/>
      <c r="V16" s="262"/>
      <c r="W16" s="262"/>
      <c r="X16" s="262"/>
      <c r="Y16" s="262"/>
      <c r="Z16" s="263"/>
    </row>
    <row r="17" spans="2:26" ht="15">
      <c r="B17" s="261"/>
      <c r="C17" s="1081" t="s">
        <v>100</v>
      </c>
      <c r="D17" s="1082"/>
      <c r="E17" s="1082"/>
      <c r="F17" s="1082"/>
      <c r="G17" s="1082"/>
      <c r="H17" s="1083"/>
      <c r="I17" s="305"/>
      <c r="J17" s="1081" t="s">
        <v>101</v>
      </c>
      <c r="K17" s="1082"/>
      <c r="L17" s="1082"/>
      <c r="M17" s="1082"/>
      <c r="N17" s="1082"/>
      <c r="O17" s="1083"/>
      <c r="P17" s="262"/>
      <c r="Q17" s="262"/>
      <c r="R17" s="262"/>
      <c r="S17" s="262"/>
      <c r="T17" s="262"/>
      <c r="U17" s="262"/>
      <c r="V17" s="262"/>
      <c r="W17" s="262"/>
      <c r="X17" s="262"/>
      <c r="Y17" s="262"/>
      <c r="Z17" s="263"/>
    </row>
    <row r="18" spans="2:26" ht="15.75" thickBot="1">
      <c r="B18" s="261"/>
      <c r="C18" s="319"/>
      <c r="D18" s="320" t="str">
        <f>C8</f>
        <v>Pellet1</v>
      </c>
      <c r="E18" s="320" t="str">
        <f>C10</f>
        <v>Pellet2</v>
      </c>
      <c r="F18" s="1148" t="str">
        <f>C12</f>
        <v>Pellet3</v>
      </c>
      <c r="G18" s="1148"/>
      <c r="H18" s="321"/>
      <c r="I18" s="261"/>
      <c r="J18" s="319"/>
      <c r="K18" s="322" t="str">
        <f>C8</f>
        <v>Pellet1</v>
      </c>
      <c r="L18" s="322"/>
      <c r="M18" s="323" t="str">
        <f>C10</f>
        <v>Pellet2</v>
      </c>
      <c r="N18" s="323" t="str">
        <f>C12</f>
        <v>Pellet3</v>
      </c>
      <c r="O18" s="265"/>
      <c r="P18" s="262"/>
      <c r="Q18" s="262"/>
      <c r="R18" s="262"/>
      <c r="S18" s="262"/>
      <c r="T18" s="262"/>
      <c r="U18" s="262"/>
      <c r="V18" s="262"/>
      <c r="W18" s="262"/>
      <c r="X18" s="262"/>
      <c r="Y18" s="262"/>
      <c r="Z18" s="263"/>
    </row>
    <row r="19" spans="2:26" ht="15.75" thickTop="1" thickBot="1">
      <c r="B19" s="261"/>
      <c r="C19" s="319"/>
      <c r="D19" s="521">
        <v>20</v>
      </c>
      <c r="E19" s="521">
        <v>20</v>
      </c>
      <c r="F19" s="1151">
        <v>20</v>
      </c>
      <c r="G19" s="1152"/>
      <c r="H19" s="321"/>
      <c r="I19" s="261"/>
      <c r="J19" s="319"/>
      <c r="K19" s="1151">
        <v>700</v>
      </c>
      <c r="L19" s="1152"/>
      <c r="M19" s="522">
        <v>700</v>
      </c>
      <c r="N19" s="521">
        <v>700</v>
      </c>
      <c r="O19" s="265"/>
      <c r="P19" s="262"/>
      <c r="Q19" s="262"/>
      <c r="R19" s="262"/>
      <c r="S19" s="262"/>
      <c r="T19" s="262"/>
      <c r="U19" s="262"/>
      <c r="V19" s="262"/>
      <c r="W19" s="262"/>
      <c r="X19" s="262"/>
      <c r="Y19" s="262"/>
      <c r="Z19" s="263"/>
    </row>
    <row r="20" spans="2:26" ht="15.75" thickTop="1" thickBot="1">
      <c r="B20" s="261"/>
      <c r="C20" s="267"/>
      <c r="D20" s="268"/>
      <c r="E20" s="268"/>
      <c r="F20" s="268"/>
      <c r="G20" s="268"/>
      <c r="H20" s="268"/>
      <c r="I20" s="261"/>
      <c r="J20" s="267"/>
      <c r="K20" s="268"/>
      <c r="L20" s="268"/>
      <c r="M20" s="268"/>
      <c r="N20" s="268"/>
      <c r="O20" s="271"/>
      <c r="P20" s="262"/>
      <c r="Q20" s="262"/>
      <c r="R20" s="262"/>
      <c r="S20" s="262"/>
      <c r="T20" s="262"/>
      <c r="U20" s="262"/>
      <c r="V20" s="262"/>
      <c r="W20" s="262"/>
      <c r="X20" s="262"/>
      <c r="Y20" s="262"/>
      <c r="Z20" s="263"/>
    </row>
    <row r="21" spans="2:26">
      <c r="B21" s="261"/>
      <c r="C21" s="1145"/>
      <c r="D21" s="1145"/>
      <c r="E21" s="1145"/>
      <c r="F21" s="1145"/>
      <c r="G21" s="262"/>
      <c r="H21" s="262"/>
      <c r="I21" s="262"/>
      <c r="J21" s="262" t="s">
        <v>366</v>
      </c>
      <c r="K21" s="262"/>
      <c r="L21" s="262"/>
      <c r="M21" s="262"/>
      <c r="N21" s="262"/>
      <c r="O21" s="262"/>
      <c r="P21" s="262"/>
      <c r="Q21" s="262"/>
      <c r="R21" s="262"/>
      <c r="S21" s="262"/>
      <c r="T21" s="262"/>
      <c r="U21" s="262"/>
      <c r="V21" s="262"/>
      <c r="W21" s="262"/>
      <c r="X21" s="262"/>
      <c r="Y21" s="262"/>
      <c r="Z21" s="263"/>
    </row>
    <row r="22" spans="2:26" ht="15" customHeight="1">
      <c r="B22" s="303"/>
      <c r="C22" s="298"/>
      <c r="D22" s="298"/>
      <c r="E22" s="298"/>
      <c r="F22" s="298"/>
      <c r="G22" s="298"/>
      <c r="H22" s="298"/>
      <c r="I22" s="298"/>
      <c r="J22" s="1160" t="s">
        <v>354</v>
      </c>
      <c r="K22" s="1160"/>
      <c r="L22" s="1160"/>
      <c r="M22" s="1160"/>
      <c r="N22" s="1160"/>
      <c r="O22" s="1160"/>
      <c r="P22" s="1160"/>
      <c r="Q22" s="1160"/>
      <c r="R22" s="306"/>
      <c r="S22" s="306"/>
      <c r="T22" s="262"/>
      <c r="U22" s="262"/>
      <c r="V22" s="262"/>
      <c r="W22" s="262"/>
      <c r="X22" s="262"/>
      <c r="Y22" s="262"/>
      <c r="Z22" s="263"/>
    </row>
    <row r="23" spans="2:26">
      <c r="B23" s="261"/>
      <c r="C23" s="262"/>
      <c r="D23" s="262"/>
      <c r="E23" s="262"/>
      <c r="F23" s="262"/>
      <c r="G23" s="262"/>
      <c r="H23" s="262"/>
      <c r="I23" s="262"/>
      <c r="J23" s="1160"/>
      <c r="K23" s="1160"/>
      <c r="L23" s="1160"/>
      <c r="M23" s="1160"/>
      <c r="N23" s="1160"/>
      <c r="O23" s="1160"/>
      <c r="P23" s="1160"/>
      <c r="Q23" s="1160"/>
      <c r="R23" s="306"/>
      <c r="S23" s="306"/>
      <c r="T23" s="262"/>
      <c r="U23" s="262"/>
      <c r="V23" s="262"/>
      <c r="W23" s="262"/>
      <c r="X23" s="262"/>
      <c r="Y23" s="262"/>
      <c r="Z23" s="263"/>
    </row>
    <row r="24" spans="2:26">
      <c r="B24" s="261"/>
      <c r="C24" s="262"/>
      <c r="D24" s="262"/>
      <c r="E24" s="262"/>
      <c r="F24" s="262"/>
      <c r="G24" s="262"/>
      <c r="H24" s="262"/>
      <c r="I24" s="307"/>
      <c r="J24" s="1160"/>
      <c r="K24" s="1160"/>
      <c r="L24" s="1160"/>
      <c r="M24" s="1160"/>
      <c r="N24" s="1160"/>
      <c r="O24" s="1160"/>
      <c r="P24" s="1160"/>
      <c r="Q24" s="1160"/>
      <c r="R24" s="306"/>
      <c r="S24" s="306"/>
      <c r="T24" s="262"/>
      <c r="U24" s="262"/>
      <c r="V24" s="262"/>
      <c r="W24" s="262"/>
      <c r="X24" s="262"/>
      <c r="Y24" s="262"/>
      <c r="Z24" s="263"/>
    </row>
    <row r="25" spans="2:26">
      <c r="B25" s="261"/>
      <c r="C25" s="262"/>
      <c r="D25" s="262"/>
      <c r="E25" s="262"/>
      <c r="F25" s="262"/>
      <c r="G25" s="262"/>
      <c r="H25" s="262"/>
      <c r="I25" s="262"/>
      <c r="J25" s="262"/>
      <c r="K25" s="262"/>
      <c r="L25" s="262"/>
      <c r="M25" s="308"/>
      <c r="N25" s="262"/>
      <c r="O25" s="262"/>
      <c r="P25" s="262"/>
      <c r="Q25" s="262"/>
      <c r="R25" s="262"/>
      <c r="S25" s="262"/>
      <c r="T25" s="262"/>
      <c r="U25" s="262"/>
      <c r="V25" s="262"/>
      <c r="W25" s="262"/>
      <c r="X25" s="262"/>
      <c r="Y25" s="262"/>
      <c r="Z25" s="263"/>
    </row>
    <row r="26" spans="2:26" ht="15">
      <c r="B26" s="261"/>
      <c r="C26" s="309" t="s">
        <v>88</v>
      </c>
      <c r="D26" s="262"/>
      <c r="E26" s="262"/>
      <c r="F26" s="262"/>
      <c r="G26" s="262"/>
      <c r="H26" s="262"/>
      <c r="I26" s="262"/>
      <c r="J26" s="262"/>
      <c r="K26" s="262"/>
      <c r="L26" s="262"/>
      <c r="M26" s="262"/>
      <c r="N26" s="262"/>
      <c r="O26" s="262"/>
      <c r="P26" s="262"/>
      <c r="Q26" s="262"/>
      <c r="R26" s="262"/>
      <c r="S26" s="262"/>
      <c r="T26" s="262"/>
      <c r="U26" s="262"/>
      <c r="V26" s="262"/>
      <c r="W26" s="262"/>
      <c r="X26" s="262"/>
      <c r="Y26" s="262"/>
      <c r="Z26" s="263"/>
    </row>
    <row r="27" spans="2:26" ht="15">
      <c r="B27" s="261"/>
      <c r="C27" s="309"/>
      <c r="D27" s="262"/>
      <c r="E27" s="262"/>
      <c r="F27" s="262"/>
      <c r="G27" s="262"/>
      <c r="H27" s="262"/>
      <c r="I27" s="262"/>
      <c r="J27" s="262"/>
      <c r="K27" s="262"/>
      <c r="L27" s="262"/>
      <c r="M27" s="262"/>
      <c r="N27" s="262"/>
      <c r="O27" s="262"/>
      <c r="P27" s="262"/>
      <c r="Q27" s="262"/>
      <c r="R27" s="262"/>
      <c r="S27" s="262"/>
      <c r="T27" s="262"/>
      <c r="U27" s="262"/>
      <c r="V27" s="262"/>
      <c r="W27" s="262"/>
      <c r="X27" s="262"/>
      <c r="Y27" s="262"/>
      <c r="Z27" s="263"/>
    </row>
    <row r="28" spans="2:26" ht="15" customHeight="1">
      <c r="B28" s="261"/>
      <c r="C28" s="262"/>
      <c r="D28" s="1143" t="s">
        <v>81</v>
      </c>
      <c r="E28" s="1144"/>
      <c r="F28" s="262"/>
      <c r="G28" s="262"/>
      <c r="H28" s="1157" t="s">
        <v>94</v>
      </c>
      <c r="I28" s="1158"/>
      <c r="J28" s="1159"/>
      <c r="K28" s="262"/>
      <c r="L28" s="262"/>
      <c r="M28" s="262"/>
      <c r="N28" s="262"/>
      <c r="O28" s="262"/>
      <c r="P28" s="298"/>
      <c r="Q28" s="262"/>
      <c r="R28" s="262"/>
      <c r="S28" s="262"/>
      <c r="T28" s="262"/>
      <c r="U28" s="262"/>
      <c r="V28" s="262"/>
      <c r="W28" s="262"/>
      <c r="X28" s="262"/>
      <c r="Y28" s="262"/>
      <c r="Z28" s="263"/>
    </row>
    <row r="29" spans="2:26" ht="15">
      <c r="B29" s="261"/>
      <c r="C29" s="324" t="s">
        <v>108</v>
      </c>
      <c r="D29" s="1143" t="s">
        <v>367</v>
      </c>
      <c r="E29" s="1154"/>
      <c r="F29" s="262"/>
      <c r="G29" s="262"/>
      <c r="H29" s="324" t="s">
        <v>89</v>
      </c>
      <c r="I29" s="1143" t="s">
        <v>368</v>
      </c>
      <c r="J29" s="1144"/>
      <c r="K29" s="262"/>
      <c r="L29" s="262"/>
      <c r="M29" s="262"/>
      <c r="N29" s="262"/>
      <c r="O29" s="262"/>
      <c r="P29" s="298"/>
      <c r="Q29" s="262"/>
      <c r="R29" s="262"/>
      <c r="S29" s="262"/>
      <c r="T29" s="262"/>
      <c r="U29" s="262"/>
      <c r="V29" s="262"/>
      <c r="W29" s="262"/>
      <c r="X29" s="262"/>
      <c r="Y29" s="262"/>
      <c r="Z29" s="263"/>
    </row>
    <row r="30" spans="2:26" ht="15">
      <c r="B30" s="261"/>
      <c r="C30" s="324" t="s">
        <v>109</v>
      </c>
      <c r="D30" s="1143" t="s">
        <v>369</v>
      </c>
      <c r="E30" s="1154"/>
      <c r="F30" s="262"/>
      <c r="G30" s="262"/>
      <c r="H30" s="324" t="s">
        <v>90</v>
      </c>
      <c r="I30" s="1143" t="s">
        <v>370</v>
      </c>
      <c r="J30" s="1144"/>
      <c r="K30" s="262"/>
      <c r="L30" s="262"/>
      <c r="M30" s="262"/>
      <c r="N30" s="262"/>
      <c r="O30" s="262"/>
      <c r="P30" s="298"/>
      <c r="Q30" s="262"/>
      <c r="R30" s="262"/>
      <c r="S30" s="262"/>
      <c r="T30" s="262"/>
      <c r="U30" s="262"/>
      <c r="V30" s="262"/>
      <c r="W30" s="262"/>
      <c r="X30" s="262"/>
      <c r="Y30" s="262"/>
      <c r="Z30" s="263"/>
    </row>
    <row r="31" spans="2:26" ht="15">
      <c r="B31" s="261"/>
      <c r="C31" s="324" t="s">
        <v>76</v>
      </c>
      <c r="D31" s="1143" t="s">
        <v>371</v>
      </c>
      <c r="E31" s="1154"/>
      <c r="F31" s="262"/>
      <c r="G31" s="262"/>
      <c r="H31" s="324" t="s">
        <v>91</v>
      </c>
      <c r="I31" s="1143" t="s">
        <v>372</v>
      </c>
      <c r="J31" s="1144"/>
      <c r="K31" s="262"/>
      <c r="L31" s="262"/>
      <c r="M31" s="262"/>
      <c r="N31" s="262"/>
      <c r="O31" s="262"/>
      <c r="P31" s="310"/>
      <c r="Q31" s="262"/>
      <c r="R31" s="262"/>
      <c r="S31" s="262"/>
      <c r="T31" s="262"/>
      <c r="U31" s="262"/>
      <c r="V31" s="262"/>
      <c r="W31" s="262"/>
      <c r="X31" s="262"/>
      <c r="Y31" s="262"/>
      <c r="Z31" s="263"/>
    </row>
    <row r="32" spans="2:26" ht="15">
      <c r="B32" s="261"/>
      <c r="C32" s="311"/>
      <c r="D32" s="1153"/>
      <c r="E32" s="1153"/>
      <c r="F32" s="310"/>
      <c r="G32" s="262"/>
      <c r="H32" s="324" t="s">
        <v>92</v>
      </c>
      <c r="I32" s="1143" t="s">
        <v>373</v>
      </c>
      <c r="J32" s="1144"/>
      <c r="K32" s="262"/>
      <c r="L32" s="262"/>
      <c r="M32" s="262"/>
      <c r="N32" s="262"/>
      <c r="O32" s="262"/>
      <c r="P32" s="310"/>
      <c r="Q32" s="262"/>
      <c r="R32" s="262"/>
      <c r="S32" s="262"/>
      <c r="T32" s="262"/>
      <c r="U32" s="262"/>
      <c r="V32" s="262"/>
      <c r="W32" s="262"/>
      <c r="X32" s="262"/>
      <c r="Y32" s="262"/>
      <c r="Z32" s="263"/>
    </row>
    <row r="33" spans="2:26" ht="15">
      <c r="B33" s="261"/>
      <c r="C33" s="311"/>
      <c r="D33" s="1153"/>
      <c r="E33" s="1153"/>
      <c r="F33" s="310"/>
      <c r="G33" s="262"/>
      <c r="H33" s="324" t="s">
        <v>110</v>
      </c>
      <c r="I33" s="1143" t="s">
        <v>374</v>
      </c>
      <c r="J33" s="1144"/>
      <c r="K33" s="300"/>
      <c r="L33" s="262"/>
      <c r="M33" s="262"/>
      <c r="N33" s="262"/>
      <c r="O33" s="262"/>
      <c r="P33" s="310"/>
      <c r="Q33" s="262"/>
      <c r="R33" s="262"/>
      <c r="S33" s="262"/>
      <c r="T33" s="262"/>
      <c r="U33" s="262"/>
      <c r="V33" s="262"/>
      <c r="W33" s="262"/>
      <c r="X33" s="262"/>
      <c r="Y33" s="262"/>
      <c r="Z33" s="263"/>
    </row>
    <row r="34" spans="2:26" ht="15" thickBot="1">
      <c r="B34" s="27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7"/>
    </row>
    <row r="35" spans="2:26" s="231" customFormat="1"/>
    <row r="36" spans="2:26" s="231" customFormat="1"/>
    <row r="37" spans="2:26" s="231" customFormat="1"/>
    <row r="38" spans="2:26" s="231" customFormat="1"/>
    <row r="39" spans="2:26" s="231" customFormat="1"/>
    <row r="40" spans="2:26" s="231" customFormat="1"/>
    <row r="41" spans="2:26" s="231" customFormat="1"/>
    <row r="42" spans="2:26" s="231" customFormat="1"/>
    <row r="43" spans="2:26" s="231" customFormat="1"/>
    <row r="44" spans="2:26" s="231" customFormat="1"/>
    <row r="45" spans="2:26" s="231" customFormat="1"/>
    <row r="46" spans="2:26" s="231" customFormat="1"/>
    <row r="47" spans="2:26" s="231" customFormat="1"/>
    <row r="48" spans="2:26" s="231" customFormat="1"/>
    <row r="49" s="231" customFormat="1"/>
    <row r="50" s="231" customFormat="1"/>
    <row r="51" s="231" customFormat="1"/>
    <row r="52" s="231" customFormat="1"/>
    <row r="53" s="231" customFormat="1"/>
    <row r="54" s="231" customFormat="1"/>
    <row r="55" s="231" customFormat="1"/>
    <row r="56" s="231" customFormat="1"/>
    <row r="57" s="231" customFormat="1"/>
    <row r="58" s="231" customFormat="1"/>
    <row r="59" s="231" customFormat="1"/>
    <row r="60" s="231" customFormat="1"/>
    <row r="61" s="231" customFormat="1"/>
    <row r="62" s="231" customFormat="1"/>
    <row r="63" s="231" customFormat="1"/>
    <row r="64" s="231" customFormat="1"/>
    <row r="65" s="231" customFormat="1"/>
    <row r="66" s="231" customFormat="1"/>
    <row r="67" s="231" customFormat="1"/>
    <row r="68" s="231" customFormat="1"/>
    <row r="69" s="231" customFormat="1"/>
    <row r="70" s="231" customFormat="1"/>
    <row r="71" s="231" customFormat="1"/>
    <row r="72" s="231" customFormat="1"/>
    <row r="73" s="231" customFormat="1"/>
  </sheetData>
  <sheetProtection password="B1AA" sheet="1" selectLockedCells="1"/>
  <mergeCells count="61">
    <mergeCell ref="I6:J6"/>
    <mergeCell ref="D11:E11"/>
    <mergeCell ref="D10:E10"/>
    <mergeCell ref="D12:E12"/>
    <mergeCell ref="N6:P7"/>
    <mergeCell ref="N8:P8"/>
    <mergeCell ref="K7:L7"/>
    <mergeCell ref="D9:E9"/>
    <mergeCell ref="K11:L11"/>
    <mergeCell ref="K6:M6"/>
    <mergeCell ref="F7:G7"/>
    <mergeCell ref="D6:E7"/>
    <mergeCell ref="D8:E8"/>
    <mergeCell ref="F6:H6"/>
    <mergeCell ref="F9:G9"/>
    <mergeCell ref="F11:G11"/>
    <mergeCell ref="K9:L9"/>
    <mergeCell ref="U10:V10"/>
    <mergeCell ref="K10:L10"/>
    <mergeCell ref="N10:P10"/>
    <mergeCell ref="Q6:R6"/>
    <mergeCell ref="Q7:R7"/>
    <mergeCell ref="K8:L8"/>
    <mergeCell ref="N9:P9"/>
    <mergeCell ref="U9:V9"/>
    <mergeCell ref="Q8:R8"/>
    <mergeCell ref="Q10:R10"/>
    <mergeCell ref="I33:J33"/>
    <mergeCell ref="U11:V11"/>
    <mergeCell ref="K12:L12"/>
    <mergeCell ref="N13:P13"/>
    <mergeCell ref="U12:V12"/>
    <mergeCell ref="I29:J29"/>
    <mergeCell ref="N12:P12"/>
    <mergeCell ref="N11:P11"/>
    <mergeCell ref="K13:L13"/>
    <mergeCell ref="Q14:R15"/>
    <mergeCell ref="Q12:R12"/>
    <mergeCell ref="J17:O17"/>
    <mergeCell ref="K19:L19"/>
    <mergeCell ref="F13:G13"/>
    <mergeCell ref="D33:E33"/>
    <mergeCell ref="D28:E28"/>
    <mergeCell ref="D29:E29"/>
    <mergeCell ref="B16:L16"/>
    <mergeCell ref="D31:E31"/>
    <mergeCell ref="H28:J28"/>
    <mergeCell ref="C17:H17"/>
    <mergeCell ref="D32:E32"/>
    <mergeCell ref="J22:Q24"/>
    <mergeCell ref="I32:J32"/>
    <mergeCell ref="D30:E30"/>
    <mergeCell ref="F19:G19"/>
    <mergeCell ref="F8:G8"/>
    <mergeCell ref="F10:G10"/>
    <mergeCell ref="F12:G12"/>
    <mergeCell ref="I31:J31"/>
    <mergeCell ref="I30:J30"/>
    <mergeCell ref="C21:F21"/>
    <mergeCell ref="D13:E13"/>
    <mergeCell ref="F18:G18"/>
  </mergeCells>
  <phoneticPr fontId="26" type="noConversion"/>
  <dataValidations count="3">
    <dataValidation type="list" allowBlank="1" showInputMessage="1" showErrorMessage="1" sqref="M4">
      <formula1>"1,2"</formula1>
    </dataValidation>
    <dataValidation type="list" allowBlank="1" showInputMessage="1" showErrorMessage="1" sqref="D12 D8 D10">
      <formula1>$C$29:$C$31</formula1>
    </dataValidation>
    <dataValidation type="list" allowBlank="1" showInputMessage="1" showErrorMessage="1" sqref="F8:G8 F12:G12 F10:G10">
      <formula1>$H$29:$H$33</formula1>
    </dataValidation>
  </dataValidations>
  <hyperlinks>
    <hyperlink ref="Q14:R15" location="'Main Menu'!A1" display="RETURN MAIN MENU"/>
  </hyperlink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Plan17"/>
  <dimension ref="A1:AH145"/>
  <sheetViews>
    <sheetView showGridLines="0" zoomScale="85" zoomScaleNormal="85" workbookViewId="0">
      <selection activeCell="E10" sqref="E10:F10"/>
    </sheetView>
  </sheetViews>
  <sheetFormatPr defaultColWidth="9" defaultRowHeight="14.25"/>
  <cols>
    <col min="1" max="1" width="3.42578125" style="202" customWidth="1"/>
    <col min="2" max="2" width="10.140625" style="89" customWidth="1"/>
    <col min="3" max="3" width="14.5703125" style="89" customWidth="1"/>
    <col min="4" max="4" width="15.140625" style="89" customWidth="1"/>
    <col min="5" max="5" width="3.85546875" style="89" customWidth="1"/>
    <col min="6" max="6" width="6.7109375" style="89" customWidth="1"/>
    <col min="7" max="7" width="7.7109375" style="89" customWidth="1"/>
    <col min="8" max="8" width="9" style="89"/>
    <col min="9" max="9" width="17.140625" style="89" customWidth="1"/>
    <col min="10" max="10" width="15.7109375" style="89" customWidth="1"/>
    <col min="11" max="11" width="8.42578125" style="89" customWidth="1"/>
    <col min="12" max="12" width="5.42578125" style="89" customWidth="1"/>
    <col min="13" max="13" width="9" style="89"/>
    <col min="14" max="14" width="10.42578125" style="89" customWidth="1"/>
    <col min="15" max="15" width="4.5703125" style="89" customWidth="1"/>
    <col min="16" max="18" width="4.140625" style="89" customWidth="1"/>
    <col min="19" max="19" width="4.85546875" style="89" customWidth="1"/>
    <col min="20" max="20" width="9" style="202"/>
    <col min="21" max="16384" width="9" style="89"/>
  </cols>
  <sheetData>
    <row r="1" spans="2:34" s="202" customFormat="1" ht="15" thickBot="1">
      <c r="B1" s="204"/>
      <c r="C1" s="204"/>
      <c r="D1" s="204"/>
      <c r="E1" s="204"/>
      <c r="F1" s="204"/>
      <c r="G1" s="204"/>
      <c r="H1" s="204"/>
      <c r="I1" s="204"/>
      <c r="J1" s="204"/>
      <c r="K1" s="204"/>
      <c r="L1" s="204"/>
      <c r="M1" s="204"/>
      <c r="N1" s="204"/>
      <c r="O1" s="204"/>
      <c r="P1" s="204"/>
      <c r="Q1" s="204"/>
      <c r="R1" s="204"/>
      <c r="S1" s="204"/>
    </row>
    <row r="2" spans="2:34" ht="15" thickBot="1">
      <c r="B2" s="93"/>
      <c r="C2" s="94"/>
      <c r="E2" s="94"/>
      <c r="F2" s="94"/>
      <c r="G2" s="94"/>
      <c r="H2" s="94"/>
      <c r="I2" s="130"/>
      <c r="J2" s="94"/>
      <c r="K2" s="94"/>
      <c r="L2" s="94"/>
      <c r="M2" s="94"/>
      <c r="N2" s="94"/>
      <c r="O2" s="94"/>
      <c r="P2" s="94"/>
      <c r="Q2" s="94"/>
      <c r="R2" s="94"/>
      <c r="S2" s="108"/>
      <c r="T2" s="205"/>
      <c r="U2" s="210"/>
      <c r="V2" s="210"/>
      <c r="W2" s="210"/>
      <c r="X2" s="210"/>
      <c r="Y2" s="210"/>
      <c r="Z2" s="210"/>
      <c r="AA2" s="210"/>
      <c r="AB2" s="210"/>
      <c r="AC2" s="210"/>
      <c r="AD2" s="210"/>
      <c r="AE2" s="210"/>
      <c r="AF2" s="210"/>
      <c r="AG2" s="210"/>
      <c r="AH2" s="210"/>
    </row>
    <row r="3" spans="2:34" ht="26.25">
      <c r="B3" s="93"/>
      <c r="C3" s="94"/>
      <c r="D3" s="923" t="s">
        <v>568</v>
      </c>
      <c r="E3" s="94"/>
      <c r="F3" s="94"/>
      <c r="G3" s="94"/>
      <c r="H3" s="335" t="s">
        <v>158</v>
      </c>
      <c r="I3" s="91"/>
      <c r="J3" s="91"/>
      <c r="K3" s="107"/>
      <c r="L3" s="93"/>
      <c r="M3" s="94"/>
      <c r="N3" s="94"/>
      <c r="O3" s="94"/>
      <c r="S3" s="108"/>
      <c r="T3" s="205"/>
      <c r="U3" s="210"/>
      <c r="V3" s="210"/>
      <c r="W3" s="210"/>
      <c r="X3" s="210"/>
      <c r="Y3" s="210"/>
      <c r="Z3" s="210"/>
      <c r="AA3" s="210"/>
      <c r="AB3" s="210"/>
      <c r="AC3" s="210"/>
      <c r="AD3" s="210"/>
      <c r="AE3" s="210"/>
      <c r="AF3" s="210"/>
      <c r="AG3" s="210"/>
      <c r="AH3" s="210"/>
    </row>
    <row r="4" spans="2:34" ht="26.25" thickBot="1">
      <c r="B4" s="93"/>
      <c r="C4" s="94"/>
      <c r="D4" s="95"/>
      <c r="E4" s="94"/>
      <c r="F4" s="94"/>
      <c r="G4" s="94"/>
      <c r="H4" s="336" t="s">
        <v>40</v>
      </c>
      <c r="I4" s="111"/>
      <c r="J4" s="111"/>
      <c r="K4" s="112"/>
      <c r="L4" s="93"/>
      <c r="M4" s="94"/>
      <c r="N4" s="94"/>
      <c r="O4" s="94"/>
      <c r="S4" s="108"/>
      <c r="T4" s="205"/>
      <c r="U4" s="210"/>
      <c r="V4" s="210"/>
      <c r="W4" s="210"/>
      <c r="X4" s="210"/>
      <c r="Y4" s="210"/>
      <c r="Z4" s="210"/>
      <c r="AA4" s="210"/>
      <c r="AB4" s="210"/>
      <c r="AC4" s="210"/>
      <c r="AD4" s="210"/>
      <c r="AE4" s="210"/>
      <c r="AF4" s="210"/>
      <c r="AG4" s="210"/>
      <c r="AH4" s="210"/>
    </row>
    <row r="5" spans="2:34" ht="15.75" thickBot="1">
      <c r="B5" s="93"/>
      <c r="C5" s="133" t="s">
        <v>206</v>
      </c>
      <c r="D5" s="134"/>
      <c r="E5" s="435">
        <v>1</v>
      </c>
      <c r="G5" s="94"/>
      <c r="H5" s="94"/>
      <c r="I5" s="131"/>
      <c r="J5" s="94"/>
      <c r="K5" s="132"/>
      <c r="L5" s="94"/>
      <c r="M5" s="94"/>
      <c r="N5" s="94"/>
      <c r="O5" s="94"/>
      <c r="P5" s="94"/>
      <c r="Q5" s="94"/>
      <c r="R5" s="94"/>
      <c r="S5" s="108"/>
      <c r="T5" s="205"/>
      <c r="U5" s="210"/>
      <c r="V5" s="210"/>
      <c r="W5" s="210"/>
      <c r="X5" s="210"/>
      <c r="Y5" s="210"/>
      <c r="Z5" s="210"/>
      <c r="AA5" s="210"/>
      <c r="AB5" s="210"/>
      <c r="AC5" s="210"/>
      <c r="AD5" s="210"/>
      <c r="AE5" s="210"/>
      <c r="AF5" s="210"/>
      <c r="AG5" s="210"/>
      <c r="AH5" s="210"/>
    </row>
    <row r="6" spans="2:34" ht="15">
      <c r="B6" s="93"/>
      <c r="C6" s="131"/>
      <c r="D6" s="94"/>
      <c r="E6" s="132"/>
      <c r="G6" s="94"/>
      <c r="H6" s="94"/>
      <c r="I6" s="131"/>
      <c r="J6" s="94"/>
      <c r="K6" s="132"/>
      <c r="L6" s="94"/>
      <c r="M6" s="94"/>
      <c r="N6" s="94"/>
      <c r="O6" s="94"/>
      <c r="P6" s="94"/>
      <c r="Q6" s="94"/>
      <c r="R6" s="94"/>
      <c r="S6" s="108"/>
      <c r="T6" s="205"/>
      <c r="U6" s="210"/>
      <c r="V6" s="210"/>
      <c r="W6" s="210"/>
      <c r="X6" s="210"/>
      <c r="Y6" s="210"/>
      <c r="Z6" s="210"/>
      <c r="AA6" s="210"/>
      <c r="AB6" s="210"/>
      <c r="AC6" s="210"/>
      <c r="AD6" s="210"/>
      <c r="AE6" s="210"/>
      <c r="AF6" s="210"/>
      <c r="AG6" s="210"/>
      <c r="AH6" s="210"/>
    </row>
    <row r="7" spans="2:34" ht="12.75" customHeight="1" thickBot="1">
      <c r="B7" s="93"/>
      <c r="C7" s="94"/>
      <c r="D7" s="135" t="s">
        <v>222</v>
      </c>
      <c r="E7" s="94"/>
      <c r="F7" s="94"/>
      <c r="G7" s="94"/>
      <c r="H7" s="94"/>
      <c r="I7" s="94"/>
      <c r="J7" s="135" t="s">
        <v>222</v>
      </c>
      <c r="K7" s="94"/>
      <c r="L7" s="94"/>
      <c r="M7" s="94"/>
      <c r="N7" s="94"/>
      <c r="O7" s="94"/>
      <c r="P7" s="94"/>
      <c r="Q7" s="94"/>
      <c r="R7" s="94"/>
      <c r="S7" s="108"/>
      <c r="T7" s="205"/>
      <c r="U7" s="210"/>
      <c r="V7" s="210"/>
      <c r="W7" s="210"/>
      <c r="X7" s="210"/>
      <c r="Y7" s="210"/>
      <c r="Z7" s="210"/>
      <c r="AA7" s="210"/>
      <c r="AB7" s="210"/>
      <c r="AC7" s="210"/>
      <c r="AD7" s="210"/>
      <c r="AE7" s="210"/>
      <c r="AF7" s="210"/>
      <c r="AG7" s="210"/>
      <c r="AH7" s="210"/>
    </row>
    <row r="8" spans="2:34" ht="15.75" thickBot="1">
      <c r="B8" s="93"/>
      <c r="C8" s="172" t="s">
        <v>207</v>
      </c>
      <c r="D8" s="433" t="s">
        <v>355</v>
      </c>
      <c r="E8" s="94"/>
      <c r="F8" s="94"/>
      <c r="G8" s="94"/>
      <c r="H8" s="94"/>
      <c r="I8" s="172" t="str">
        <f>IF($E$5=1," Not in Use","Secondary boiler")</f>
        <v xml:space="preserve"> Not in Use</v>
      </c>
      <c r="J8" s="433" t="s">
        <v>355</v>
      </c>
      <c r="K8" s="94"/>
      <c r="L8" s="94"/>
      <c r="M8" s="94"/>
      <c r="N8" s="1225"/>
      <c r="O8" s="1225"/>
      <c r="P8" s="1225"/>
      <c r="Q8" s="1225"/>
      <c r="R8" s="1225"/>
      <c r="S8" s="108"/>
      <c r="T8" s="205"/>
      <c r="U8" s="210"/>
      <c r="V8" s="210"/>
      <c r="W8" s="210"/>
      <c r="X8" s="210"/>
      <c r="Y8" s="210"/>
      <c r="Z8" s="210"/>
      <c r="AA8" s="210"/>
      <c r="AB8" s="210"/>
      <c r="AC8" s="210"/>
      <c r="AD8" s="210"/>
      <c r="AE8" s="210"/>
      <c r="AF8" s="210"/>
      <c r="AG8" s="210"/>
      <c r="AH8" s="210"/>
    </row>
    <row r="9" spans="2:34" ht="15" thickBot="1">
      <c r="B9" s="93"/>
      <c r="C9" s="440" t="str">
        <f>IF(D8="Automatic","Boiler capacity","Ignore this line")</f>
        <v>Boiler capacity</v>
      </c>
      <c r="D9" s="438"/>
      <c r="E9" s="1227">
        <f>IF(D8="Automatic",D96,"")</f>
        <v>30</v>
      </c>
      <c r="F9" s="1227"/>
      <c r="G9" s="157" t="str">
        <f>IF(D8="Automatic","kW","")</f>
        <v>kW</v>
      </c>
      <c r="H9" s="94"/>
      <c r="I9" s="437" t="str">
        <f>IF($E$5=1," ",IF(J8="Automatic","Boiler capacity","Ignore this line"))</f>
        <v xml:space="preserve"> </v>
      </c>
      <c r="J9" s="438"/>
      <c r="K9" s="1226">
        <f>IF(J8="Automatic",N91, "")</f>
        <v>0</v>
      </c>
      <c r="L9" s="1226"/>
      <c r="M9" s="157" t="str">
        <f>IF($E$5=1," ",IF(J8="Automatic","kW",""))</f>
        <v xml:space="preserve"> </v>
      </c>
      <c r="O9" s="136"/>
      <c r="P9" s="136"/>
      <c r="S9" s="108"/>
      <c r="T9" s="205"/>
      <c r="U9" s="210"/>
      <c r="V9" s="210"/>
      <c r="W9" s="210"/>
      <c r="X9" s="210"/>
      <c r="Y9" s="210"/>
      <c r="Z9" s="210"/>
      <c r="AA9" s="210"/>
      <c r="AB9" s="210"/>
      <c r="AC9" s="210"/>
      <c r="AD9" s="210"/>
      <c r="AE9" s="210"/>
      <c r="AF9" s="210"/>
      <c r="AG9" s="210"/>
      <c r="AH9" s="210"/>
    </row>
    <row r="10" spans="2:34" ht="15" thickBot="1">
      <c r="B10" s="93"/>
      <c r="C10" s="436" t="str">
        <f>IF(D8="Automatic","Ignore this line","User Defined Capacity")</f>
        <v>Ignore this line</v>
      </c>
      <c r="D10" s="439"/>
      <c r="E10" s="1235"/>
      <c r="F10" s="1236"/>
      <c r="G10" s="158" t="str">
        <f>IF(D8="Automatic","","kW")</f>
        <v/>
      </c>
      <c r="H10" s="94"/>
      <c r="I10" s="436" t="str">
        <f>IF($E$5=1," ",IF(J8="Automatic","Ignore this line","User Defined Capacity"))</f>
        <v xml:space="preserve"> </v>
      </c>
      <c r="J10" s="439"/>
      <c r="K10" s="1240"/>
      <c r="L10" s="1241"/>
      <c r="M10" s="158" t="str">
        <f>IF(J8="Automatic","","kW")</f>
        <v/>
      </c>
      <c r="O10" s="136"/>
      <c r="P10" s="136"/>
      <c r="S10" s="108"/>
      <c r="T10" s="205"/>
      <c r="U10" s="210"/>
      <c r="V10" s="210"/>
      <c r="W10" s="210"/>
      <c r="X10" s="210"/>
      <c r="Y10" s="210"/>
      <c r="Z10" s="210"/>
      <c r="AA10" s="210"/>
      <c r="AB10" s="210"/>
      <c r="AC10" s="210"/>
      <c r="AD10" s="210"/>
      <c r="AE10" s="210"/>
      <c r="AF10" s="210"/>
      <c r="AG10" s="210"/>
      <c r="AH10" s="210"/>
    </row>
    <row r="11" spans="2:34" ht="15" thickBot="1">
      <c r="B11" s="93"/>
      <c r="C11" s="436" t="s">
        <v>186</v>
      </c>
      <c r="D11" s="439"/>
      <c r="E11" s="432">
        <v>3</v>
      </c>
      <c r="F11" s="431" t="s">
        <v>204</v>
      </c>
      <c r="G11" s="158"/>
      <c r="H11" s="137">
        <f>1/E11</f>
        <v>0.33333333333333331</v>
      </c>
      <c r="I11" s="436" t="str">
        <f>IF($E$5=1," ","Turn-down ratio")</f>
        <v xml:space="preserve"> </v>
      </c>
      <c r="J11" s="439"/>
      <c r="K11" s="434">
        <v>3</v>
      </c>
      <c r="L11" s="159" t="s">
        <v>204</v>
      </c>
      <c r="M11" s="158"/>
      <c r="N11" s="97"/>
      <c r="O11" s="97"/>
      <c r="R11" s="136"/>
      <c r="S11" s="108"/>
      <c r="T11" s="205"/>
      <c r="U11" s="210"/>
      <c r="V11" s="210"/>
      <c r="W11" s="210"/>
      <c r="X11" s="210"/>
      <c r="Y11" s="210"/>
      <c r="Z11" s="210"/>
      <c r="AA11" s="210"/>
      <c r="AB11" s="210"/>
      <c r="AC11" s="210"/>
      <c r="AD11" s="210"/>
      <c r="AE11" s="210"/>
      <c r="AF11" s="210"/>
      <c r="AG11" s="210"/>
      <c r="AH11" s="210"/>
    </row>
    <row r="12" spans="2:34" ht="15" thickBot="1">
      <c r="B12" s="93"/>
      <c r="C12" s="436" t="s">
        <v>531</v>
      </c>
      <c r="D12" s="439"/>
      <c r="E12" s="1235">
        <v>80</v>
      </c>
      <c r="F12" s="1236"/>
      <c r="G12" s="158" t="s">
        <v>162</v>
      </c>
      <c r="H12" s="138"/>
      <c r="I12" s="560" t="str">
        <f>IF($E$5=1," ","Boiler efficiency")</f>
        <v xml:space="preserve"> </v>
      </c>
      <c r="J12" s="439"/>
      <c r="K12" s="1255">
        <v>80</v>
      </c>
      <c r="L12" s="1256"/>
      <c r="M12" s="158" t="str">
        <f>IF($E$5=1," ","%")</f>
        <v xml:space="preserve"> </v>
      </c>
      <c r="N12" s="97"/>
      <c r="O12" s="97"/>
      <c r="P12" s="94"/>
      <c r="Q12" s="94"/>
      <c r="R12" s="94"/>
      <c r="S12" s="108"/>
      <c r="T12" s="205"/>
      <c r="U12" s="210"/>
      <c r="V12" s="210"/>
      <c r="W12" s="210"/>
      <c r="X12" s="210"/>
      <c r="Y12" s="210"/>
      <c r="Z12" s="210"/>
      <c r="AA12" s="210"/>
      <c r="AB12" s="210"/>
      <c r="AC12" s="210"/>
      <c r="AD12" s="210"/>
      <c r="AE12" s="210"/>
      <c r="AF12" s="210"/>
      <c r="AG12" s="210"/>
      <c r="AH12" s="210"/>
    </row>
    <row r="13" spans="2:34" ht="15" thickBot="1">
      <c r="B13" s="93"/>
      <c r="C13" s="556" t="s">
        <v>168</v>
      </c>
      <c r="D13" s="557"/>
      <c r="E13" s="1228">
        <f>IF(D8="automatic",E9/E11,E10/E11)</f>
        <v>10</v>
      </c>
      <c r="F13" s="1228"/>
      <c r="G13" s="558" t="s">
        <v>163</v>
      </c>
      <c r="H13" s="94"/>
      <c r="I13" s="556" t="str">
        <f>IF($E$5=1," ","Minimum power output")</f>
        <v xml:space="preserve"> </v>
      </c>
      <c r="J13" s="557"/>
      <c r="K13" s="1209" t="str">
        <f>IF($E$5=1," ",N93)</f>
        <v xml:space="preserve"> </v>
      </c>
      <c r="L13" s="1209"/>
      <c r="M13" s="558" t="str">
        <f>IF($E$5=1," ","kW")</f>
        <v xml:space="preserve"> </v>
      </c>
      <c r="N13" s="97"/>
      <c r="O13" s="97"/>
      <c r="P13" s="97"/>
      <c r="Q13" s="97"/>
      <c r="R13" s="97"/>
      <c r="S13" s="108"/>
      <c r="T13" s="205"/>
      <c r="U13" s="210"/>
      <c r="V13" s="210"/>
      <c r="W13" s="210"/>
      <c r="X13" s="210"/>
      <c r="Y13" s="210"/>
      <c r="Z13" s="210"/>
      <c r="AA13" s="210"/>
      <c r="AB13" s="210"/>
      <c r="AC13" s="210"/>
      <c r="AD13" s="210"/>
      <c r="AE13" s="210"/>
      <c r="AF13" s="210"/>
      <c r="AG13" s="210"/>
      <c r="AH13" s="210"/>
    </row>
    <row r="14" spans="2:34" ht="15" customHeight="1" thickTop="1">
      <c r="B14" s="93"/>
      <c r="C14" s="1220" t="s">
        <v>453</v>
      </c>
      <c r="H14" s="94"/>
      <c r="I14" s="1239" t="str">
        <f>IF($E$5=1,"","Comb. turn-down ratio")</f>
        <v/>
      </c>
      <c r="J14" s="1239"/>
      <c r="K14" s="142" t="str">
        <f>IF($E$5=1," ",IF(E107=0,E11,(N88+(N91))/C116))</f>
        <v xml:space="preserve"> </v>
      </c>
      <c r="L14" s="143" t="str">
        <f>IF($E$5=1," ",":  1")</f>
        <v xml:space="preserve"> </v>
      </c>
      <c r="M14" s="144" t="str">
        <f>IF($E$5=1,"","kW")</f>
        <v/>
      </c>
      <c r="N14" s="139"/>
      <c r="O14" s="139"/>
      <c r="P14" s="139"/>
      <c r="Q14" s="139"/>
      <c r="R14" s="139"/>
      <c r="S14" s="108"/>
      <c r="T14" s="205"/>
      <c r="U14" s="210"/>
      <c r="V14" s="210"/>
      <c r="W14" s="210"/>
      <c r="X14" s="210"/>
      <c r="Y14" s="210"/>
      <c r="Z14" s="210"/>
      <c r="AA14" s="210"/>
      <c r="AB14" s="210"/>
      <c r="AC14" s="210"/>
      <c r="AD14" s="210"/>
      <c r="AE14" s="210"/>
      <c r="AF14" s="210"/>
      <c r="AG14" s="210"/>
      <c r="AH14" s="210"/>
    </row>
    <row r="15" spans="2:34" ht="19.5" customHeight="1" thickBot="1">
      <c r="B15" s="93"/>
      <c r="C15" s="1221"/>
      <c r="H15" s="94"/>
      <c r="I15" s="559"/>
      <c r="J15" s="559"/>
      <c r="K15" s="559"/>
      <c r="L15" s="559"/>
      <c r="M15" s="559"/>
      <c r="N15" s="139"/>
      <c r="O15" s="139"/>
      <c r="P15" s="139"/>
      <c r="Q15" s="139"/>
      <c r="R15" s="139"/>
      <c r="S15" s="108"/>
      <c r="T15" s="205"/>
      <c r="U15" s="210"/>
      <c r="V15" s="210"/>
      <c r="W15" s="210"/>
      <c r="X15" s="210"/>
      <c r="Y15" s="210"/>
      <c r="Z15" s="210"/>
      <c r="AA15" s="210"/>
      <c r="AB15" s="210"/>
      <c r="AC15" s="210"/>
      <c r="AD15" s="210"/>
      <c r="AE15" s="210"/>
      <c r="AF15" s="210"/>
      <c r="AG15" s="210"/>
      <c r="AH15" s="210"/>
    </row>
    <row r="16" spans="2:34" ht="15.75" customHeight="1">
      <c r="B16" s="93"/>
      <c r="H16" s="94"/>
      <c r="N16" s="1229" t="str">
        <f>IF(E5=2,IF(E107&lt;1,"*There is no deficit of power to be supplied by a second boiler",""),"")</f>
        <v/>
      </c>
      <c r="O16" s="1229"/>
      <c r="P16" s="1229"/>
      <c r="Q16" s="1229"/>
      <c r="R16" s="1229"/>
      <c r="S16" s="1230"/>
      <c r="T16" s="205"/>
      <c r="U16" s="210"/>
      <c r="V16" s="567"/>
      <c r="W16" s="210"/>
      <c r="X16" s="210"/>
      <c r="Y16" s="210"/>
      <c r="Z16" s="210"/>
      <c r="AA16" s="210"/>
      <c r="AB16" s="210"/>
      <c r="AC16" s="210"/>
      <c r="AD16" s="210"/>
      <c r="AE16" s="210"/>
      <c r="AF16" s="210"/>
      <c r="AG16" s="210"/>
      <c r="AH16" s="210"/>
    </row>
    <row r="17" spans="2:34" ht="15.75" customHeight="1" thickBot="1">
      <c r="B17" s="93"/>
      <c r="C17" s="538"/>
      <c r="D17" s="538"/>
      <c r="E17" s="538"/>
      <c r="F17" s="538"/>
      <c r="G17" s="538"/>
      <c r="H17" s="94"/>
      <c r="I17" s="553"/>
      <c r="J17" s="553"/>
      <c r="K17" s="554"/>
      <c r="L17" s="555"/>
      <c r="M17" s="145"/>
      <c r="N17" s="1229"/>
      <c r="O17" s="1229"/>
      <c r="P17" s="1229"/>
      <c r="Q17" s="1229"/>
      <c r="R17" s="1229"/>
      <c r="S17" s="1230"/>
      <c r="T17" s="205"/>
      <c r="U17" s="210"/>
      <c r="V17" s="210"/>
      <c r="W17" s="210"/>
      <c r="X17" s="210"/>
      <c r="Y17" s="210"/>
      <c r="Z17" s="210"/>
      <c r="AA17" s="210"/>
      <c r="AB17" s="210"/>
      <c r="AC17" s="210"/>
      <c r="AD17" s="210"/>
      <c r="AE17" s="210"/>
      <c r="AF17" s="210"/>
      <c r="AG17" s="210"/>
      <c r="AH17" s="210"/>
    </row>
    <row r="18" spans="2:34" ht="15.75" customHeight="1" thickBot="1">
      <c r="B18" s="93"/>
      <c r="C18" s="1222" t="s">
        <v>532</v>
      </c>
      <c r="D18" s="1223"/>
      <c r="E18" s="1237">
        <f>N88+N91</f>
        <v>30</v>
      </c>
      <c r="F18" s="1238"/>
      <c r="G18" s="565" t="s">
        <v>163</v>
      </c>
      <c r="H18" s="561"/>
      <c r="I18" s="1231" t="s">
        <v>435</v>
      </c>
      <c r="J18" s="1232"/>
      <c r="K18" s="1214">
        <f>'Heat Demand Model'!O8-E18</f>
        <v>13.287230000000001</v>
      </c>
      <c r="L18" s="1215"/>
      <c r="M18" s="1253" t="s">
        <v>163</v>
      </c>
      <c r="N18" s="1229"/>
      <c r="O18" s="1229"/>
      <c r="P18" s="1229"/>
      <c r="Q18" s="1229"/>
      <c r="R18" s="1229"/>
      <c r="S18" s="1230"/>
      <c r="T18" s="205"/>
      <c r="U18" s="210"/>
      <c r="V18" s="210"/>
      <c r="W18" s="210"/>
      <c r="X18" s="210"/>
      <c r="Y18" s="210"/>
      <c r="Z18" s="210"/>
      <c r="AA18" s="210"/>
      <c r="AB18" s="210"/>
      <c r="AC18" s="210"/>
      <c r="AD18" s="210"/>
      <c r="AE18" s="210"/>
      <c r="AF18" s="210"/>
      <c r="AG18" s="210"/>
      <c r="AH18" s="210"/>
    </row>
    <row r="19" spans="2:34" ht="18.75" customHeight="1" thickBot="1">
      <c r="B19" s="93"/>
      <c r="C19" s="562" t="s">
        <v>533</v>
      </c>
      <c r="D19" s="563"/>
      <c r="E19" s="1212">
        <f>SUM(C138:C139)</f>
        <v>12300</v>
      </c>
      <c r="F19" s="1213"/>
      <c r="G19" s="566" t="s">
        <v>345</v>
      </c>
      <c r="H19" s="564"/>
      <c r="I19" s="1233"/>
      <c r="J19" s="1234"/>
      <c r="K19" s="1216"/>
      <c r="L19" s="1217"/>
      <c r="M19" s="1254"/>
      <c r="N19" s="1229"/>
      <c r="O19" s="1229"/>
      <c r="P19" s="1229"/>
      <c r="Q19" s="1229"/>
      <c r="R19" s="1229"/>
      <c r="S19" s="1230"/>
      <c r="T19" s="205"/>
      <c r="U19" s="210"/>
      <c r="V19" s="210"/>
      <c r="W19" s="210"/>
      <c r="X19" s="210"/>
      <c r="Y19" s="210"/>
      <c r="Z19" s="210"/>
      <c r="AA19" s="210"/>
      <c r="AB19" s="210"/>
      <c r="AC19" s="210"/>
      <c r="AD19" s="210"/>
      <c r="AE19" s="210"/>
      <c r="AF19" s="210"/>
      <c r="AG19" s="210"/>
      <c r="AH19" s="210"/>
    </row>
    <row r="20" spans="2:34" ht="18.75" customHeight="1">
      <c r="B20" s="93"/>
      <c r="C20" s="1180"/>
      <c r="D20" s="1180"/>
      <c r="E20" s="140"/>
      <c r="F20" s="140"/>
      <c r="G20" s="141"/>
      <c r="H20" s="94"/>
      <c r="I20" s="1242" t="s">
        <v>436</v>
      </c>
      <c r="J20" s="1242"/>
      <c r="K20" s="1242"/>
      <c r="L20" s="1242"/>
      <c r="M20" s="1242"/>
      <c r="N20" s="139"/>
      <c r="O20" s="139"/>
      <c r="P20" s="139"/>
      <c r="Q20" s="139"/>
      <c r="R20" s="139"/>
      <c r="S20" s="108"/>
      <c r="T20" s="205"/>
      <c r="U20" s="210"/>
      <c r="V20" s="210"/>
      <c r="W20" s="210"/>
      <c r="X20" s="210"/>
      <c r="Y20" s="210"/>
      <c r="Z20" s="210"/>
      <c r="AA20" s="210"/>
      <c r="AB20" s="210"/>
      <c r="AC20" s="210"/>
      <c r="AD20" s="210"/>
      <c r="AE20" s="210"/>
      <c r="AF20" s="210"/>
      <c r="AG20" s="210"/>
      <c r="AH20" s="210"/>
    </row>
    <row r="21" spans="2:34" ht="19.5" thickBot="1">
      <c r="B21" s="93"/>
      <c r="D21" s="94"/>
      <c r="E21" s="94"/>
      <c r="F21" s="94"/>
      <c r="G21" s="94"/>
      <c r="H21" s="94"/>
      <c r="I21" s="537"/>
      <c r="J21" s="537"/>
      <c r="K21" s="568"/>
      <c r="L21" s="568"/>
      <c r="M21" s="569"/>
      <c r="N21" s="139"/>
      <c r="O21" s="139"/>
      <c r="P21" s="139"/>
      <c r="Q21" s="139"/>
      <c r="R21" s="139"/>
      <c r="S21" s="108"/>
      <c r="T21" s="205"/>
      <c r="U21" s="210"/>
      <c r="V21" s="210"/>
      <c r="W21" s="210"/>
      <c r="X21" s="210"/>
      <c r="Y21" s="210"/>
      <c r="Z21" s="210"/>
      <c r="AA21" s="210"/>
      <c r="AB21" s="210"/>
      <c r="AC21" s="210"/>
      <c r="AD21" s="210"/>
      <c r="AE21" s="210"/>
      <c r="AF21" s="210"/>
      <c r="AG21" s="210"/>
      <c r="AH21" s="210"/>
    </row>
    <row r="22" spans="2:34" ht="18.75">
      <c r="B22" s="93"/>
      <c r="C22" s="570" t="s">
        <v>202</v>
      </c>
      <c r="D22" s="571"/>
      <c r="E22" s="91"/>
      <c r="F22" s="91"/>
      <c r="G22" s="91"/>
      <c r="H22" s="107"/>
      <c r="P22" s="94"/>
      <c r="Q22" s="94"/>
      <c r="R22" s="94"/>
      <c r="S22" s="108"/>
      <c r="T22" s="205"/>
      <c r="U22" s="210"/>
      <c r="V22" s="210"/>
      <c r="W22" s="210"/>
      <c r="X22" s="210"/>
      <c r="Y22" s="210"/>
      <c r="Z22" s="210"/>
      <c r="AA22" s="210"/>
      <c r="AB22" s="210"/>
      <c r="AC22" s="210"/>
      <c r="AD22" s="210"/>
      <c r="AE22" s="210"/>
      <c r="AF22" s="210"/>
      <c r="AG22" s="210"/>
      <c r="AH22" s="210"/>
    </row>
    <row r="23" spans="2:34" ht="15" thickBot="1">
      <c r="B23" s="93"/>
      <c r="C23" s="93"/>
      <c r="D23" s="94"/>
      <c r="E23" s="94"/>
      <c r="F23" s="94"/>
      <c r="G23" s="94"/>
      <c r="H23" s="108"/>
      <c r="P23" s="94"/>
      <c r="Q23" s="94"/>
      <c r="R23" s="94"/>
      <c r="S23" s="108"/>
      <c r="T23" s="205"/>
      <c r="U23" s="210"/>
      <c r="V23" s="210"/>
      <c r="W23" s="210"/>
      <c r="X23" s="210"/>
      <c r="Y23" s="210"/>
      <c r="Z23" s="210"/>
      <c r="AA23" s="210"/>
      <c r="AB23" s="210"/>
      <c r="AC23" s="210"/>
      <c r="AD23" s="210"/>
      <c r="AE23" s="210"/>
      <c r="AF23" s="210"/>
      <c r="AG23" s="210"/>
      <c r="AH23" s="210"/>
    </row>
    <row r="24" spans="2:34" ht="15.75" customHeight="1" thickBot="1">
      <c r="B24" s="93"/>
      <c r="C24" s="93"/>
      <c r="D24" s="573" t="s">
        <v>203</v>
      </c>
      <c r="E24" s="149"/>
      <c r="F24" s="337" t="s">
        <v>183</v>
      </c>
      <c r="G24" s="338"/>
      <c r="H24" s="572"/>
      <c r="S24" s="108"/>
      <c r="T24" s="205"/>
      <c r="U24" s="210"/>
      <c r="V24" s="210"/>
      <c r="W24" s="210"/>
      <c r="X24" s="210"/>
      <c r="Y24" s="210"/>
      <c r="Z24" s="210"/>
      <c r="AA24" s="210"/>
      <c r="AB24" s="210"/>
      <c r="AC24" s="210"/>
      <c r="AD24" s="210"/>
      <c r="AE24" s="210"/>
      <c r="AF24" s="210"/>
      <c r="AG24" s="210"/>
      <c r="AH24" s="210"/>
    </row>
    <row r="25" spans="2:34" ht="15" customHeight="1" thickBot="1">
      <c r="B25" s="93"/>
      <c r="C25" s="93" t="s">
        <v>124</v>
      </c>
      <c r="D25" s="430">
        <f>'Heat Demand Model'!M30</f>
        <v>32.567257099999999</v>
      </c>
      <c r="E25" s="151"/>
      <c r="F25" s="1210">
        <f>D92</f>
        <v>26.126989337500003</v>
      </c>
      <c r="G25" s="1211"/>
      <c r="H25" s="572"/>
      <c r="I25" s="146"/>
      <c r="J25" s="146"/>
      <c r="K25" s="146"/>
      <c r="L25" s="146"/>
      <c r="S25" s="108"/>
      <c r="T25" s="205"/>
      <c r="U25" s="210"/>
      <c r="V25" s="210"/>
      <c r="W25" s="210"/>
      <c r="X25" s="210"/>
      <c r="Y25" s="210"/>
      <c r="Z25" s="210"/>
      <c r="AA25" s="210"/>
      <c r="AB25" s="210"/>
      <c r="AC25" s="210"/>
      <c r="AD25" s="210"/>
      <c r="AE25" s="210"/>
      <c r="AF25" s="210"/>
      <c r="AG25" s="210"/>
      <c r="AH25" s="210"/>
    </row>
    <row r="26" spans="2:34" ht="15" customHeight="1">
      <c r="B26" s="93"/>
      <c r="C26" s="93" t="s">
        <v>123</v>
      </c>
      <c r="D26" s="430">
        <f>'Heat Demand Model'!M31</f>
        <v>32.459788700000004</v>
      </c>
      <c r="E26" s="151"/>
      <c r="F26" s="152"/>
      <c r="G26" s="152"/>
      <c r="H26" s="572"/>
      <c r="I26" s="146"/>
      <c r="J26" s="146"/>
      <c r="K26" s="146"/>
      <c r="L26" s="146"/>
      <c r="S26" s="108"/>
      <c r="T26" s="205"/>
      <c r="U26" s="210"/>
      <c r="V26" s="210"/>
      <c r="W26" s="210"/>
      <c r="X26" s="210"/>
      <c r="Y26" s="210"/>
      <c r="Z26" s="210"/>
      <c r="AA26" s="210"/>
      <c r="AB26" s="210"/>
      <c r="AC26" s="210"/>
      <c r="AD26" s="210"/>
      <c r="AE26" s="210"/>
      <c r="AF26" s="210"/>
      <c r="AG26" s="210"/>
      <c r="AH26" s="210"/>
    </row>
    <row r="27" spans="2:34" ht="15.75" customHeight="1">
      <c r="B27" s="93"/>
      <c r="C27" s="93" t="s">
        <v>122</v>
      </c>
      <c r="D27" s="430">
        <f>'Heat Demand Model'!M32</f>
        <v>30.686560100000005</v>
      </c>
      <c r="E27" s="151"/>
      <c r="F27" s="152"/>
      <c r="G27" s="152"/>
      <c r="H27" s="572"/>
      <c r="S27" s="108"/>
      <c r="T27" s="205"/>
      <c r="U27" s="210"/>
      <c r="V27" s="210"/>
      <c r="W27" s="210"/>
      <c r="X27" s="210"/>
      <c r="Y27" s="210"/>
      <c r="Z27" s="210"/>
      <c r="AA27" s="210"/>
      <c r="AB27" s="210"/>
      <c r="AC27" s="210"/>
      <c r="AD27" s="210"/>
      <c r="AE27" s="210"/>
      <c r="AF27" s="210"/>
      <c r="AG27" s="210"/>
      <c r="AH27" s="210"/>
    </row>
    <row r="28" spans="2:34">
      <c r="B28" s="93"/>
      <c r="C28" s="93" t="s">
        <v>121</v>
      </c>
      <c r="D28" s="430">
        <f>'Heat Demand Model'!M33</f>
        <v>27.865514600000008</v>
      </c>
      <c r="E28" s="151"/>
      <c r="F28" s="152"/>
      <c r="G28" s="152"/>
      <c r="H28" s="572"/>
      <c r="P28" s="94"/>
      <c r="Q28" s="94"/>
      <c r="R28" s="94"/>
      <c r="S28" s="108"/>
      <c r="T28" s="205"/>
      <c r="U28" s="210"/>
      <c r="V28" s="210"/>
      <c r="W28" s="210"/>
      <c r="X28" s="210"/>
      <c r="Y28" s="210"/>
      <c r="Z28" s="210"/>
      <c r="AA28" s="210"/>
      <c r="AB28" s="210"/>
      <c r="AC28" s="210"/>
      <c r="AD28" s="210"/>
      <c r="AE28" s="210"/>
      <c r="AF28" s="210"/>
      <c r="AG28" s="210"/>
      <c r="AH28" s="210"/>
    </row>
    <row r="29" spans="2:34">
      <c r="B29" s="93"/>
      <c r="C29" s="93" t="s">
        <v>105</v>
      </c>
      <c r="D29" s="430">
        <f>'Heat Demand Model'!M34</f>
        <v>24.077253500000001</v>
      </c>
      <c r="E29" s="151"/>
      <c r="F29" s="152"/>
      <c r="G29" s="152"/>
      <c r="H29" s="572"/>
      <c r="P29" s="94"/>
      <c r="Q29" s="94"/>
      <c r="R29" s="94"/>
      <c r="S29" s="108"/>
      <c r="T29" s="205"/>
      <c r="U29" s="210"/>
      <c r="V29" s="210"/>
      <c r="W29" s="210"/>
      <c r="X29" s="210"/>
      <c r="Y29" s="210"/>
      <c r="Z29" s="210"/>
      <c r="AA29" s="210"/>
      <c r="AB29" s="210"/>
      <c r="AC29" s="210"/>
      <c r="AD29" s="210"/>
      <c r="AE29" s="210"/>
      <c r="AF29" s="210"/>
      <c r="AG29" s="210"/>
      <c r="AH29" s="210"/>
    </row>
    <row r="30" spans="2:34">
      <c r="B30" s="93"/>
      <c r="C30" s="93" t="s">
        <v>120</v>
      </c>
      <c r="D30" s="430">
        <f>'Heat Demand Model'!M35</f>
        <v>20.73229955</v>
      </c>
      <c r="E30" s="151"/>
      <c r="F30" s="152"/>
      <c r="G30" s="152"/>
      <c r="H30" s="572"/>
      <c r="P30" s="94"/>
      <c r="Q30" s="94"/>
      <c r="R30" s="94"/>
      <c r="S30" s="108"/>
      <c r="T30" s="205"/>
      <c r="U30" s="210"/>
      <c r="V30" s="210"/>
      <c r="W30" s="210"/>
      <c r="X30" s="210"/>
      <c r="Y30" s="210"/>
      <c r="Z30" s="210"/>
      <c r="AA30" s="210"/>
      <c r="AB30" s="210"/>
      <c r="AC30" s="210"/>
      <c r="AD30" s="210"/>
      <c r="AE30" s="210"/>
      <c r="AF30" s="210"/>
      <c r="AG30" s="210"/>
      <c r="AH30" s="210"/>
    </row>
    <row r="31" spans="2:34">
      <c r="B31" s="93"/>
      <c r="C31" s="93" t="s">
        <v>119</v>
      </c>
      <c r="D31" s="430">
        <f>'Heat Demand Model'!M36</f>
        <v>18.341127650000004</v>
      </c>
      <c r="E31" s="151"/>
      <c r="F31" s="152"/>
      <c r="G31" s="152"/>
      <c r="H31" s="572"/>
      <c r="P31" s="94"/>
      <c r="Q31" s="94"/>
      <c r="R31" s="94"/>
      <c r="S31" s="108"/>
      <c r="T31" s="205"/>
      <c r="U31" s="210"/>
      <c r="V31" s="210"/>
      <c r="W31" s="210"/>
      <c r="X31" s="210"/>
      <c r="Y31" s="210"/>
      <c r="Z31" s="210"/>
      <c r="AA31" s="210"/>
      <c r="AB31" s="210"/>
      <c r="AC31" s="210"/>
      <c r="AD31" s="210"/>
      <c r="AE31" s="210"/>
      <c r="AF31" s="210"/>
      <c r="AG31" s="210"/>
      <c r="AH31" s="210"/>
    </row>
    <row r="32" spans="2:34" ht="18.75">
      <c r="B32" s="93"/>
      <c r="C32" s="93" t="s">
        <v>118</v>
      </c>
      <c r="D32" s="430">
        <f>'Heat Demand Model'!M37</f>
        <v>18.475463150000003</v>
      </c>
      <c r="E32" s="151"/>
      <c r="F32" s="152"/>
      <c r="G32" s="152"/>
      <c r="H32" s="572"/>
      <c r="P32" s="147"/>
      <c r="Q32" s="147"/>
      <c r="R32" s="147"/>
      <c r="S32" s="108"/>
      <c r="T32" s="205"/>
      <c r="U32" s="210"/>
      <c r="V32" s="210"/>
      <c r="W32" s="210"/>
      <c r="X32" s="210"/>
      <c r="Y32" s="210"/>
      <c r="Z32" s="210"/>
      <c r="AA32" s="210"/>
      <c r="AB32" s="210"/>
      <c r="AC32" s="210"/>
      <c r="AD32" s="210"/>
      <c r="AE32" s="210"/>
      <c r="AF32" s="210"/>
      <c r="AG32" s="210"/>
      <c r="AH32" s="210"/>
    </row>
    <row r="33" spans="2:34">
      <c r="B33" s="93"/>
      <c r="C33" s="93" t="s">
        <v>117</v>
      </c>
      <c r="D33" s="430">
        <f>'Heat Demand Model'!M38</f>
        <v>20.786033750000001</v>
      </c>
      <c r="E33" s="151"/>
      <c r="F33" s="152"/>
      <c r="G33" s="152"/>
      <c r="H33" s="572"/>
      <c r="P33" s="94"/>
      <c r="Q33" s="94"/>
      <c r="R33" s="94"/>
      <c r="S33" s="108"/>
      <c r="T33" s="205"/>
      <c r="U33" s="210"/>
      <c r="V33" s="210"/>
      <c r="W33" s="210"/>
      <c r="X33" s="210"/>
      <c r="Y33" s="210"/>
      <c r="Z33" s="210"/>
      <c r="AA33" s="210"/>
      <c r="AB33" s="210"/>
      <c r="AC33" s="210"/>
      <c r="AD33" s="210"/>
      <c r="AE33" s="210"/>
      <c r="AF33" s="210"/>
      <c r="AG33" s="210"/>
      <c r="AH33" s="210"/>
    </row>
    <row r="34" spans="2:34">
      <c r="B34" s="93"/>
      <c r="C34" s="93" t="s">
        <v>116</v>
      </c>
      <c r="D34" s="430">
        <f>'Heat Demand Model'!M39</f>
        <v>25.487776250000003</v>
      </c>
      <c r="E34" s="151"/>
      <c r="F34" s="152"/>
      <c r="G34" s="152"/>
      <c r="H34" s="572"/>
      <c r="P34" s="94"/>
      <c r="Q34" s="94"/>
      <c r="R34" s="94"/>
      <c r="S34" s="108"/>
      <c r="T34" s="205"/>
      <c r="U34" s="210"/>
      <c r="V34" s="210"/>
      <c r="W34" s="210"/>
      <c r="X34" s="210"/>
      <c r="Y34" s="210"/>
      <c r="Z34" s="210"/>
      <c r="AA34" s="210"/>
      <c r="AB34" s="210"/>
      <c r="AC34" s="210"/>
      <c r="AD34" s="210"/>
      <c r="AE34" s="210"/>
      <c r="AF34" s="210"/>
      <c r="AG34" s="210"/>
      <c r="AH34" s="210"/>
    </row>
    <row r="35" spans="2:34">
      <c r="B35" s="93"/>
      <c r="C35" s="93" t="s">
        <v>115</v>
      </c>
      <c r="D35" s="430">
        <f>'Heat Demand Model'!M40</f>
        <v>29.598442549999998</v>
      </c>
      <c r="E35" s="151"/>
      <c r="F35" s="152"/>
      <c r="G35" s="152"/>
      <c r="H35" s="572"/>
      <c r="P35" s="94"/>
      <c r="Q35" s="94"/>
      <c r="R35" s="94"/>
      <c r="S35" s="108"/>
      <c r="T35" s="205"/>
      <c r="U35" s="210"/>
      <c r="V35" s="210"/>
      <c r="W35" s="210"/>
      <c r="X35" s="210"/>
      <c r="Y35" s="210"/>
      <c r="Z35" s="210"/>
      <c r="AA35" s="210"/>
      <c r="AB35" s="210"/>
      <c r="AC35" s="210"/>
      <c r="AD35" s="210"/>
      <c r="AE35" s="210"/>
      <c r="AF35" s="210"/>
      <c r="AG35" s="210"/>
      <c r="AH35" s="210"/>
    </row>
    <row r="36" spans="2:34">
      <c r="B36" s="93"/>
      <c r="C36" s="93" t="s">
        <v>114</v>
      </c>
      <c r="D36" s="430">
        <f>'Heat Demand Model'!M41</f>
        <v>32.446355149999995</v>
      </c>
      <c r="E36" s="151"/>
      <c r="F36" s="152"/>
      <c r="G36" s="152"/>
      <c r="H36" s="572"/>
      <c r="M36" s="148"/>
      <c r="P36" s="94"/>
      <c r="Q36" s="94"/>
      <c r="R36" s="94"/>
      <c r="S36" s="108"/>
      <c r="T36" s="205"/>
      <c r="U36" s="210"/>
      <c r="V36" s="210"/>
      <c r="W36" s="210"/>
      <c r="X36" s="210"/>
      <c r="Y36" s="210"/>
      <c r="Z36" s="210"/>
      <c r="AA36" s="210"/>
      <c r="AB36" s="210"/>
      <c r="AC36" s="210"/>
      <c r="AD36" s="210"/>
      <c r="AE36" s="210"/>
      <c r="AF36" s="210"/>
      <c r="AG36" s="210"/>
      <c r="AH36" s="210"/>
    </row>
    <row r="37" spans="2:34" ht="15" thickBot="1">
      <c r="B37" s="93"/>
      <c r="C37" s="93"/>
      <c r="D37" s="171"/>
      <c r="E37" s="149"/>
      <c r="F37" s="153"/>
      <c r="G37" s="154"/>
      <c r="H37" s="572"/>
      <c r="P37" s="94"/>
      <c r="Q37" s="94"/>
      <c r="R37" s="94"/>
      <c r="S37" s="108"/>
      <c r="T37" s="205"/>
      <c r="U37" s="210"/>
      <c r="V37" s="210"/>
      <c r="W37" s="210"/>
      <c r="X37" s="210"/>
      <c r="Y37" s="210"/>
      <c r="Z37" s="210"/>
      <c r="AA37" s="210"/>
      <c r="AB37" s="210"/>
      <c r="AC37" s="210"/>
      <c r="AD37" s="210"/>
      <c r="AE37" s="210"/>
      <c r="AF37" s="210"/>
      <c r="AG37" s="210"/>
      <c r="AH37" s="210"/>
    </row>
    <row r="38" spans="2:34" ht="15" thickBot="1">
      <c r="B38" s="93"/>
      <c r="C38" s="118"/>
      <c r="D38" s="111"/>
      <c r="E38" s="111"/>
      <c r="F38" s="111"/>
      <c r="G38" s="111"/>
      <c r="H38" s="112"/>
      <c r="P38" s="94"/>
      <c r="Q38" s="94"/>
      <c r="R38" s="94"/>
      <c r="S38" s="108"/>
      <c r="T38" s="205"/>
      <c r="U38" s="211"/>
      <c r="V38" s="211"/>
      <c r="W38" s="211"/>
      <c r="X38" s="211"/>
      <c r="Y38" s="211"/>
      <c r="Z38" s="210"/>
      <c r="AA38" s="210"/>
      <c r="AB38" s="210"/>
      <c r="AC38" s="210"/>
      <c r="AD38" s="210"/>
      <c r="AE38" s="210"/>
      <c r="AF38" s="210"/>
      <c r="AG38" s="210"/>
      <c r="AH38" s="210"/>
    </row>
    <row r="39" spans="2:34" ht="15" thickBot="1">
      <c r="B39" s="93"/>
      <c r="P39" s="94"/>
      <c r="Q39" s="94"/>
      <c r="R39" s="94"/>
      <c r="S39" s="108"/>
      <c r="T39" s="205"/>
      <c r="U39" s="211"/>
      <c r="V39" s="211"/>
      <c r="W39" s="211"/>
      <c r="X39" s="211"/>
      <c r="Y39" s="211"/>
      <c r="Z39" s="210"/>
      <c r="AA39" s="210"/>
      <c r="AB39" s="210"/>
      <c r="AC39" s="210"/>
      <c r="AD39" s="210"/>
      <c r="AE39" s="210"/>
      <c r="AF39" s="210"/>
      <c r="AG39" s="210"/>
      <c r="AH39" s="210"/>
    </row>
    <row r="40" spans="2:34" ht="15" customHeight="1">
      <c r="B40" s="93"/>
      <c r="C40" s="1187" t="s">
        <v>169</v>
      </c>
      <c r="D40" s="1188"/>
      <c r="E40" s="1188"/>
      <c r="F40" s="1188"/>
      <c r="G40" s="1188"/>
      <c r="H40" s="1189"/>
      <c r="I40" s="94"/>
      <c r="J40" s="1244" t="s">
        <v>377</v>
      </c>
      <c r="K40" s="1245"/>
      <c r="L40" s="1245"/>
      <c r="M40" s="1246"/>
      <c r="P40" s="94"/>
      <c r="Q40" s="94"/>
      <c r="R40" s="94"/>
      <c r="S40" s="108"/>
      <c r="T40" s="205"/>
      <c r="U40" s="210"/>
      <c r="V40" s="210"/>
      <c r="W40" s="210"/>
      <c r="X40" s="210"/>
      <c r="Y40" s="210"/>
      <c r="Z40" s="210"/>
      <c r="AA40" s="210"/>
      <c r="AB40" s="210"/>
      <c r="AC40" s="210"/>
      <c r="AD40" s="210"/>
      <c r="AE40" s="210"/>
      <c r="AF40" s="210"/>
      <c r="AG40" s="210"/>
      <c r="AH40" s="210"/>
    </row>
    <row r="41" spans="2:34" ht="15" thickBot="1">
      <c r="B41" s="93"/>
      <c r="C41" s="93"/>
      <c r="D41" s="94"/>
      <c r="E41" s="94"/>
      <c r="F41" s="94"/>
      <c r="G41" s="94"/>
      <c r="H41" s="108"/>
      <c r="I41" s="94"/>
      <c r="J41" s="1247"/>
      <c r="K41" s="1248"/>
      <c r="L41" s="1248"/>
      <c r="M41" s="1249"/>
      <c r="P41" s="94"/>
      <c r="Q41" s="94"/>
      <c r="R41" s="94"/>
      <c r="S41" s="108"/>
      <c r="T41" s="205"/>
      <c r="U41" s="210"/>
      <c r="V41" s="210"/>
      <c r="W41" s="210"/>
      <c r="X41" s="210"/>
      <c r="Y41" s="210"/>
      <c r="Z41" s="210"/>
      <c r="AA41" s="210"/>
      <c r="AB41" s="210"/>
      <c r="AC41" s="210"/>
      <c r="AD41" s="210"/>
      <c r="AE41" s="210"/>
      <c r="AF41" s="210"/>
      <c r="AG41" s="210"/>
      <c r="AH41" s="210"/>
    </row>
    <row r="42" spans="2:34">
      <c r="B42" s="93"/>
      <c r="C42" s="93"/>
      <c r="D42" s="155" t="s">
        <v>124</v>
      </c>
      <c r="E42" s="1190">
        <f>'Heat Demand Model'!N30/($L$98/100)</f>
        <v>27002.16975369471</v>
      </c>
      <c r="F42" s="1190"/>
      <c r="G42" s="1191"/>
      <c r="H42" s="108"/>
      <c r="I42" s="150"/>
      <c r="J42" s="1247"/>
      <c r="K42" s="1248"/>
      <c r="L42" s="1248"/>
      <c r="M42" s="1249"/>
      <c r="P42" s="94"/>
      <c r="Q42" s="94"/>
      <c r="R42" s="94"/>
      <c r="S42" s="108"/>
      <c r="T42" s="205"/>
      <c r="U42" s="210"/>
      <c r="V42" s="210"/>
      <c r="W42" s="210"/>
      <c r="X42" s="210"/>
      <c r="Y42" s="210"/>
      <c r="Z42" s="210"/>
      <c r="AA42" s="210"/>
      <c r="AB42" s="210"/>
      <c r="AC42" s="210"/>
      <c r="AD42" s="210"/>
      <c r="AE42" s="210"/>
      <c r="AF42" s="210"/>
      <c r="AG42" s="210"/>
      <c r="AH42" s="210"/>
    </row>
    <row r="43" spans="2:34">
      <c r="B43" s="93"/>
      <c r="C43" s="93"/>
      <c r="D43" s="325" t="s">
        <v>123</v>
      </c>
      <c r="E43" s="1183">
        <f>'Heat Demand Model'!N31/($L$98/100)</f>
        <v>24698.421060530658</v>
      </c>
      <c r="F43" s="1183"/>
      <c r="G43" s="1184"/>
      <c r="H43" s="108"/>
      <c r="I43" s="150"/>
      <c r="J43" s="1250"/>
      <c r="K43" s="1251"/>
      <c r="L43" s="1251"/>
      <c r="M43" s="1252"/>
      <c r="P43" s="94"/>
      <c r="Q43" s="94"/>
      <c r="R43" s="94"/>
      <c r="S43" s="108"/>
      <c r="T43" s="205"/>
      <c r="U43" s="210"/>
      <c r="V43" s="210"/>
      <c r="W43" s="210"/>
      <c r="X43" s="210"/>
      <c r="Y43" s="210"/>
      <c r="Z43" s="210"/>
      <c r="AA43" s="210"/>
      <c r="AB43" s="210"/>
      <c r="AC43" s="210"/>
      <c r="AD43" s="210"/>
      <c r="AE43" s="210"/>
      <c r="AF43" s="210"/>
      <c r="AG43" s="210"/>
      <c r="AH43" s="210"/>
    </row>
    <row r="44" spans="2:34">
      <c r="B44" s="93"/>
      <c r="C44" s="93"/>
      <c r="D44" s="156" t="s">
        <v>122</v>
      </c>
      <c r="E44" s="1181">
        <f>'Heat Demand Model'!N32/($L$98/100)</f>
        <v>22496.202755210583</v>
      </c>
      <c r="F44" s="1181"/>
      <c r="G44" s="1182"/>
      <c r="H44" s="108"/>
      <c r="I44" s="150"/>
      <c r="P44" s="94"/>
      <c r="Q44" s="94"/>
      <c r="R44" s="94"/>
      <c r="S44" s="108"/>
      <c r="T44" s="205"/>
      <c r="U44" s="210"/>
      <c r="V44" s="210"/>
      <c r="W44" s="210"/>
      <c r="X44" s="210"/>
      <c r="Y44" s="210"/>
      <c r="Z44" s="210"/>
      <c r="AA44" s="210"/>
      <c r="AB44" s="210"/>
      <c r="AC44" s="210"/>
      <c r="AD44" s="210"/>
      <c r="AE44" s="210"/>
      <c r="AF44" s="210"/>
      <c r="AG44" s="210"/>
      <c r="AH44" s="210"/>
    </row>
    <row r="45" spans="2:34">
      <c r="B45" s="93"/>
      <c r="C45" s="93"/>
      <c r="D45" s="325" t="s">
        <v>121</v>
      </c>
      <c r="E45" s="1183">
        <f>'Heat Demand Model'!N33/($L$98/100)</f>
        <v>19963.93700374656</v>
      </c>
      <c r="F45" s="1183"/>
      <c r="G45" s="1184"/>
      <c r="H45" s="108"/>
      <c r="I45" s="150"/>
      <c r="P45" s="94"/>
      <c r="Q45" s="94"/>
      <c r="R45" s="94"/>
      <c r="S45" s="108"/>
      <c r="T45" s="205"/>
      <c r="U45" s="210"/>
      <c r="V45" s="210"/>
      <c r="W45" s="210"/>
      <c r="X45" s="210"/>
      <c r="Y45" s="210"/>
      <c r="Z45" s="210"/>
      <c r="AA45" s="210"/>
      <c r="AB45" s="210"/>
      <c r="AC45" s="210"/>
      <c r="AD45" s="210"/>
      <c r="AE45" s="210"/>
      <c r="AF45" s="210"/>
      <c r="AG45" s="210"/>
      <c r="AH45" s="210"/>
    </row>
    <row r="46" spans="2:34">
      <c r="B46" s="93"/>
      <c r="C46" s="93"/>
      <c r="D46" s="156" t="s">
        <v>105</v>
      </c>
      <c r="E46" s="1181">
        <f>'Heat Demand Model'!N34/($L$98/100)</f>
        <v>17235.020431794866</v>
      </c>
      <c r="F46" s="1181"/>
      <c r="G46" s="1182"/>
      <c r="H46" s="108"/>
      <c r="I46" s="150"/>
      <c r="P46" s="94"/>
      <c r="Q46" s="94"/>
      <c r="R46" s="94"/>
      <c r="S46" s="108"/>
      <c r="T46" s="205"/>
      <c r="U46" s="210"/>
      <c r="V46" s="210"/>
      <c r="W46" s="210"/>
      <c r="X46" s="210"/>
      <c r="Y46" s="210"/>
      <c r="Z46" s="210"/>
      <c r="AA46" s="210"/>
      <c r="AB46" s="210"/>
      <c r="AC46" s="210"/>
      <c r="AD46" s="210"/>
      <c r="AE46" s="210"/>
      <c r="AF46" s="210"/>
      <c r="AG46" s="210"/>
      <c r="AH46" s="210"/>
    </row>
    <row r="47" spans="2:34" ht="15" customHeight="1">
      <c r="B47" s="93"/>
      <c r="C47" s="93"/>
      <c r="D47" s="325" t="s">
        <v>120</v>
      </c>
      <c r="E47" s="1183">
        <f>'Heat Demand Model'!N35/($L$98/100)</f>
        <v>12050.598742948969</v>
      </c>
      <c r="F47" s="1183"/>
      <c r="G47" s="1184"/>
      <c r="H47" s="108"/>
      <c r="I47" s="150"/>
      <c r="P47" s="94"/>
      <c r="Q47" s="94"/>
      <c r="R47" s="94"/>
      <c r="S47" s="108"/>
      <c r="T47" s="205"/>
      <c r="U47" s="210"/>
      <c r="V47" s="210"/>
      <c r="W47" s="210"/>
      <c r="X47" s="210"/>
      <c r="Y47" s="210"/>
      <c r="Z47" s="210"/>
      <c r="AA47" s="210"/>
      <c r="AB47" s="210"/>
      <c r="AC47" s="210"/>
      <c r="AD47" s="210"/>
      <c r="AE47" s="210"/>
      <c r="AF47" s="210"/>
      <c r="AG47" s="210"/>
      <c r="AH47" s="210"/>
    </row>
    <row r="48" spans="2:34" ht="15.75" customHeight="1">
      <c r="B48" s="93"/>
      <c r="C48" s="93"/>
      <c r="D48" s="156" t="s">
        <v>119</v>
      </c>
      <c r="E48" s="1181">
        <f>'Heat Demand Model'!N36/($L$98/100)</f>
        <v>8736</v>
      </c>
      <c r="F48" s="1181"/>
      <c r="G48" s="1182"/>
      <c r="H48" s="108"/>
      <c r="I48" s="150"/>
      <c r="P48" s="94"/>
      <c r="Q48" s="94"/>
      <c r="R48" s="94"/>
      <c r="S48" s="108"/>
      <c r="T48" s="205"/>
      <c r="U48" s="210"/>
      <c r="V48" s="210"/>
      <c r="W48" s="210"/>
      <c r="X48" s="210"/>
      <c r="Y48" s="210"/>
      <c r="Z48" s="210"/>
      <c r="AA48" s="210"/>
      <c r="AB48" s="210"/>
      <c r="AC48" s="210"/>
      <c r="AD48" s="210"/>
      <c r="AE48" s="210"/>
      <c r="AF48" s="210"/>
      <c r="AG48" s="210"/>
      <c r="AH48" s="210"/>
    </row>
    <row r="49" spans="2:34">
      <c r="B49" s="93"/>
      <c r="C49" s="93"/>
      <c r="D49" s="325" t="s">
        <v>118</v>
      </c>
      <c r="E49" s="1183">
        <f>'Heat Demand Model'!N37/($L$98/100)</f>
        <v>8736</v>
      </c>
      <c r="F49" s="1183"/>
      <c r="G49" s="1184"/>
      <c r="H49" s="108"/>
      <c r="I49" s="150"/>
      <c r="P49" s="94"/>
      <c r="Q49" s="94"/>
      <c r="R49" s="94"/>
      <c r="S49" s="108"/>
      <c r="T49" s="205"/>
      <c r="U49" s="210"/>
      <c r="V49" s="210"/>
      <c r="W49" s="210"/>
      <c r="X49" s="210"/>
      <c r="Y49" s="210"/>
      <c r="Z49" s="210"/>
      <c r="AA49" s="210"/>
      <c r="AB49" s="210"/>
      <c r="AC49" s="210"/>
      <c r="AD49" s="210"/>
      <c r="AE49" s="210"/>
      <c r="AF49" s="210"/>
      <c r="AG49" s="210"/>
      <c r="AH49" s="210"/>
    </row>
    <row r="50" spans="2:34">
      <c r="B50" s="93"/>
      <c r="C50" s="93"/>
      <c r="D50" s="156" t="s">
        <v>117</v>
      </c>
      <c r="E50" s="1181">
        <f>'Heat Demand Model'!N38/($L$98/100)</f>
        <v>13410.464972792794</v>
      </c>
      <c r="F50" s="1181"/>
      <c r="G50" s="1182"/>
      <c r="H50" s="108"/>
      <c r="I50" s="150"/>
      <c r="P50" s="94"/>
      <c r="Q50" s="94"/>
      <c r="R50" s="94"/>
      <c r="S50" s="108"/>
      <c r="T50" s="205"/>
      <c r="U50" s="210"/>
      <c r="V50" s="210"/>
      <c r="W50" s="210"/>
      <c r="X50" s="210"/>
      <c r="Y50" s="210"/>
      <c r="Z50" s="210"/>
      <c r="AA50" s="210"/>
      <c r="AB50" s="210"/>
      <c r="AC50" s="210"/>
      <c r="AD50" s="210"/>
      <c r="AE50" s="210"/>
      <c r="AF50" s="210"/>
      <c r="AG50" s="210"/>
      <c r="AH50" s="210"/>
    </row>
    <row r="51" spans="2:34">
      <c r="B51" s="93"/>
      <c r="C51" s="93"/>
      <c r="D51" s="325" t="s">
        <v>116</v>
      </c>
      <c r="E51" s="1183">
        <f>'Heat Demand Model'!N39/($L$98/100)</f>
        <v>17355.282355686275</v>
      </c>
      <c r="F51" s="1183"/>
      <c r="G51" s="1184"/>
      <c r="H51" s="108"/>
      <c r="I51" s="150"/>
      <c r="P51" s="94"/>
      <c r="Q51" s="94"/>
      <c r="R51" s="94"/>
      <c r="S51" s="108"/>
      <c r="T51" s="205"/>
      <c r="U51" s="210"/>
      <c r="V51" s="210"/>
      <c r="W51" s="210"/>
      <c r="X51" s="210"/>
      <c r="Y51" s="210"/>
      <c r="Z51" s="210"/>
      <c r="AA51" s="210"/>
      <c r="AB51" s="210"/>
      <c r="AC51" s="210"/>
      <c r="AD51" s="210"/>
      <c r="AE51" s="210"/>
      <c r="AF51" s="210"/>
      <c r="AG51" s="210"/>
      <c r="AH51" s="210"/>
    </row>
    <row r="52" spans="2:34">
      <c r="B52" s="93"/>
      <c r="C52" s="93"/>
      <c r="D52" s="156" t="s">
        <v>115</v>
      </c>
      <c r="E52" s="1181">
        <f>'Heat Demand Model'!N40/($L$98/100)</f>
        <v>21516.937333561036</v>
      </c>
      <c r="F52" s="1181"/>
      <c r="G52" s="1182"/>
      <c r="H52" s="108"/>
      <c r="I52" s="150"/>
      <c r="P52" s="94"/>
      <c r="Q52" s="94"/>
      <c r="R52" s="94"/>
      <c r="S52" s="108"/>
      <c r="T52" s="205"/>
      <c r="U52" s="210"/>
      <c r="V52" s="210"/>
      <c r="W52" s="210"/>
      <c r="X52" s="210"/>
      <c r="Y52" s="210"/>
      <c r="Z52" s="210"/>
      <c r="AA52" s="210"/>
      <c r="AB52" s="210"/>
      <c r="AC52" s="210"/>
      <c r="AD52" s="210"/>
      <c r="AE52" s="210"/>
      <c r="AF52" s="210"/>
      <c r="AG52" s="210"/>
      <c r="AH52" s="210"/>
    </row>
    <row r="53" spans="2:34">
      <c r="B53" s="93"/>
      <c r="C53" s="93"/>
      <c r="D53" s="325" t="s">
        <v>114</v>
      </c>
      <c r="E53" s="1183">
        <f>'Heat Demand Model'!N41/($L$98/100)</f>
        <v>27302.166908845211</v>
      </c>
      <c r="F53" s="1183"/>
      <c r="G53" s="1184"/>
      <c r="H53" s="108"/>
      <c r="I53" s="150"/>
      <c r="P53" s="94"/>
      <c r="Q53" s="94"/>
      <c r="R53" s="94"/>
      <c r="S53" s="108"/>
      <c r="T53" s="205"/>
      <c r="U53" s="210"/>
      <c r="V53" s="210"/>
      <c r="W53" s="210"/>
      <c r="X53" s="210"/>
      <c r="Y53" s="210"/>
      <c r="Z53" s="210"/>
      <c r="AA53" s="210"/>
      <c r="AB53" s="210"/>
      <c r="AC53" s="210"/>
      <c r="AD53" s="210"/>
      <c r="AE53" s="210"/>
      <c r="AF53" s="210"/>
      <c r="AG53" s="210"/>
      <c r="AH53" s="210"/>
    </row>
    <row r="54" spans="2:34" ht="15">
      <c r="B54" s="93"/>
      <c r="C54" s="93"/>
      <c r="D54" s="174" t="s">
        <v>133</v>
      </c>
      <c r="E54" s="1243">
        <f>SUM(E42:E53)</f>
        <v>220503.20131881168</v>
      </c>
      <c r="F54" s="1243"/>
      <c r="G54" s="1243"/>
      <c r="H54" s="108"/>
      <c r="I54" s="150"/>
      <c r="P54" s="94"/>
      <c r="Q54" s="94"/>
      <c r="R54" s="94"/>
      <c r="S54" s="108"/>
      <c r="T54" s="205"/>
      <c r="U54" s="210"/>
      <c r="V54" s="210"/>
      <c r="W54" s="210"/>
      <c r="X54" s="210"/>
      <c r="Y54" s="210"/>
      <c r="Z54" s="210"/>
      <c r="AA54" s="210"/>
      <c r="AB54" s="210"/>
      <c r="AC54" s="210"/>
      <c r="AD54" s="210"/>
      <c r="AE54" s="210"/>
      <c r="AF54" s="210"/>
      <c r="AG54" s="210"/>
      <c r="AH54" s="210"/>
    </row>
    <row r="55" spans="2:34" ht="15" thickBot="1">
      <c r="B55" s="93"/>
      <c r="C55" s="93"/>
      <c r="D55" s="173"/>
      <c r="E55" s="1192"/>
      <c r="F55" s="1192"/>
      <c r="G55" s="1193"/>
      <c r="H55" s="108"/>
      <c r="I55" s="150"/>
      <c r="P55" s="94"/>
      <c r="Q55" s="94"/>
      <c r="R55" s="94"/>
      <c r="S55" s="108"/>
      <c r="T55" s="205"/>
      <c r="U55" s="210"/>
      <c r="V55" s="210"/>
      <c r="W55" s="210"/>
      <c r="X55" s="210"/>
      <c r="Y55" s="210"/>
      <c r="Z55" s="210"/>
      <c r="AA55" s="210"/>
      <c r="AB55" s="210"/>
      <c r="AC55" s="210"/>
      <c r="AD55" s="210"/>
      <c r="AE55" s="210"/>
      <c r="AF55" s="210"/>
      <c r="AG55" s="210"/>
      <c r="AH55" s="210"/>
    </row>
    <row r="56" spans="2:34" ht="15" thickBot="1">
      <c r="B56" s="93"/>
      <c r="C56" s="118"/>
      <c r="D56" s="111"/>
      <c r="E56" s="111"/>
      <c r="F56" s="111"/>
      <c r="G56" s="111"/>
      <c r="H56" s="112"/>
      <c r="I56" s="94"/>
      <c r="P56" s="94"/>
      <c r="Q56" s="94"/>
      <c r="R56" s="94"/>
      <c r="S56" s="108"/>
      <c r="T56" s="205"/>
      <c r="U56" s="210"/>
      <c r="V56" s="210"/>
      <c r="W56" s="210"/>
      <c r="X56" s="210"/>
      <c r="Y56" s="210"/>
      <c r="Z56" s="210"/>
      <c r="AA56" s="210"/>
      <c r="AB56" s="210"/>
      <c r="AC56" s="210"/>
      <c r="AD56" s="210"/>
      <c r="AE56" s="210"/>
      <c r="AF56" s="210"/>
      <c r="AG56" s="210"/>
      <c r="AH56" s="210"/>
    </row>
    <row r="57" spans="2:34">
      <c r="B57" s="93"/>
      <c r="C57" s="94"/>
      <c r="D57" s="94"/>
      <c r="E57" s="94"/>
      <c r="F57" s="94"/>
      <c r="G57" s="94"/>
      <c r="H57" s="94"/>
      <c r="I57" s="94"/>
      <c r="J57" s="350"/>
      <c r="K57" s="94"/>
      <c r="L57" s="94"/>
      <c r="M57" s="94"/>
      <c r="N57" s="94"/>
      <c r="O57" s="94"/>
      <c r="P57" s="94"/>
      <c r="Q57" s="94"/>
      <c r="R57" s="94"/>
      <c r="S57" s="108"/>
      <c r="T57" s="205"/>
      <c r="U57" s="210"/>
      <c r="V57" s="210"/>
      <c r="W57" s="210"/>
      <c r="X57" s="210"/>
      <c r="Y57" s="210"/>
      <c r="Z57" s="210"/>
      <c r="AA57" s="210"/>
      <c r="AB57" s="210"/>
      <c r="AC57" s="210"/>
      <c r="AD57" s="210"/>
      <c r="AE57" s="210"/>
      <c r="AF57" s="210"/>
      <c r="AG57" s="210"/>
      <c r="AH57" s="210"/>
    </row>
    <row r="58" spans="2:34">
      <c r="B58" s="93"/>
      <c r="C58" s="94"/>
      <c r="D58" s="94"/>
      <c r="E58" s="94"/>
      <c r="F58" s="94"/>
      <c r="G58" s="94"/>
      <c r="H58" s="94"/>
      <c r="I58" s="94"/>
      <c r="J58" s="94"/>
      <c r="K58" s="94"/>
      <c r="L58" s="94"/>
      <c r="M58" s="94"/>
      <c r="N58" s="94"/>
      <c r="O58" s="94"/>
      <c r="P58" s="94"/>
      <c r="Q58" s="94"/>
      <c r="R58" s="94"/>
      <c r="S58" s="108"/>
      <c r="T58" s="205"/>
      <c r="U58" s="210"/>
      <c r="V58" s="210"/>
      <c r="W58" s="210"/>
      <c r="X58" s="210"/>
      <c r="Y58" s="210"/>
      <c r="Z58" s="210"/>
      <c r="AA58" s="210"/>
      <c r="AB58" s="210"/>
      <c r="AC58" s="210"/>
      <c r="AD58" s="210"/>
      <c r="AE58" s="210"/>
      <c r="AF58" s="210"/>
      <c r="AG58" s="210"/>
      <c r="AH58" s="210"/>
    </row>
    <row r="59" spans="2:34" ht="15" thickBot="1">
      <c r="B59" s="118"/>
      <c r="C59" s="1218" t="s">
        <v>353</v>
      </c>
      <c r="D59" s="1219"/>
      <c r="E59" s="1219"/>
      <c r="F59" s="1219"/>
      <c r="G59" s="1219"/>
      <c r="H59" s="1219"/>
      <c r="I59" s="111"/>
      <c r="J59" s="111"/>
      <c r="K59" s="111"/>
      <c r="L59" s="111"/>
      <c r="M59" s="111"/>
      <c r="N59" s="111"/>
      <c r="O59" s="111"/>
      <c r="P59" s="111"/>
      <c r="Q59" s="111"/>
      <c r="R59" s="111"/>
      <c r="S59" s="112"/>
      <c r="T59" s="205"/>
      <c r="U59" s="210"/>
      <c r="V59" s="210"/>
      <c r="W59" s="210"/>
      <c r="X59" s="210"/>
      <c r="Y59" s="210"/>
      <c r="Z59" s="210"/>
      <c r="AA59" s="210"/>
      <c r="AB59" s="210"/>
      <c r="AC59" s="210"/>
      <c r="AD59" s="210"/>
      <c r="AE59" s="210"/>
      <c r="AF59" s="210"/>
      <c r="AG59" s="210"/>
      <c r="AH59" s="210"/>
    </row>
    <row r="60" spans="2:34" s="202" customFormat="1">
      <c r="T60" s="205"/>
      <c r="U60" s="210"/>
      <c r="V60" s="210"/>
      <c r="W60" s="210"/>
      <c r="X60" s="210"/>
      <c r="Y60" s="210"/>
      <c r="Z60" s="210"/>
      <c r="AA60" s="210"/>
      <c r="AB60" s="210"/>
      <c r="AC60" s="210"/>
      <c r="AD60" s="210"/>
      <c r="AE60" s="210"/>
      <c r="AF60" s="210"/>
      <c r="AG60" s="210"/>
      <c r="AH60" s="210"/>
    </row>
    <row r="61" spans="2:34" s="202" customFormat="1">
      <c r="T61" s="205"/>
      <c r="U61" s="210"/>
      <c r="V61" s="210"/>
      <c r="W61" s="210"/>
      <c r="X61" s="210"/>
      <c r="Y61" s="210"/>
      <c r="Z61" s="210"/>
      <c r="AA61" s="210"/>
      <c r="AB61" s="210"/>
      <c r="AC61" s="210"/>
      <c r="AD61" s="210"/>
      <c r="AE61" s="210"/>
      <c r="AF61" s="210"/>
      <c r="AG61" s="210"/>
      <c r="AH61" s="210"/>
    </row>
    <row r="62" spans="2:34" s="202" customFormat="1">
      <c r="T62" s="205"/>
      <c r="U62" s="210"/>
      <c r="V62" s="210"/>
      <c r="W62" s="210"/>
      <c r="X62" s="210"/>
      <c r="Y62" s="210"/>
      <c r="Z62" s="210"/>
      <c r="AA62" s="210"/>
      <c r="AB62" s="210"/>
      <c r="AC62" s="210"/>
      <c r="AD62" s="210"/>
      <c r="AE62" s="210"/>
      <c r="AF62" s="210"/>
      <c r="AG62" s="210"/>
      <c r="AH62" s="210"/>
    </row>
    <row r="63" spans="2:34" s="202" customFormat="1">
      <c r="T63" s="205"/>
      <c r="U63" s="210"/>
      <c r="V63" s="210"/>
      <c r="W63" s="210"/>
      <c r="X63" s="210"/>
      <c r="Y63" s="210"/>
      <c r="Z63" s="210"/>
      <c r="AA63" s="210"/>
      <c r="AB63" s="210"/>
      <c r="AC63" s="210"/>
      <c r="AD63" s="210"/>
      <c r="AE63" s="210"/>
      <c r="AF63" s="210"/>
      <c r="AG63" s="210"/>
      <c r="AH63" s="210"/>
    </row>
    <row r="64" spans="2:34" s="202" customFormat="1">
      <c r="T64" s="205"/>
      <c r="U64" s="210"/>
      <c r="V64" s="210"/>
      <c r="W64" s="210"/>
      <c r="X64" s="210"/>
      <c r="Y64" s="210"/>
      <c r="Z64" s="210"/>
      <c r="AA64" s="210"/>
      <c r="AB64" s="210"/>
      <c r="AC64" s="210"/>
      <c r="AD64" s="210"/>
      <c r="AE64" s="210"/>
      <c r="AF64" s="210"/>
      <c r="AG64" s="210"/>
      <c r="AH64" s="210"/>
    </row>
    <row r="65" spans="20:34" s="202" customFormat="1">
      <c r="T65" s="205"/>
      <c r="U65" s="210"/>
      <c r="V65" s="210"/>
      <c r="W65" s="210"/>
      <c r="X65" s="210"/>
      <c r="Y65" s="210"/>
      <c r="Z65" s="210"/>
      <c r="AA65" s="210"/>
      <c r="AB65" s="210"/>
      <c r="AC65" s="210"/>
      <c r="AD65" s="210"/>
      <c r="AE65" s="210"/>
      <c r="AF65" s="210"/>
      <c r="AG65" s="210"/>
      <c r="AH65" s="210"/>
    </row>
    <row r="66" spans="20:34" s="202" customFormat="1">
      <c r="T66" s="205"/>
      <c r="U66" s="210"/>
      <c r="V66" s="210"/>
      <c r="W66" s="210"/>
      <c r="X66" s="210"/>
      <c r="Y66" s="210"/>
      <c r="Z66" s="210"/>
      <c r="AA66" s="210"/>
      <c r="AB66" s="210"/>
      <c r="AC66" s="210"/>
      <c r="AD66" s="210"/>
      <c r="AE66" s="210"/>
      <c r="AF66" s="210"/>
      <c r="AG66" s="210"/>
      <c r="AH66" s="210"/>
    </row>
    <row r="67" spans="20:34" s="202" customFormat="1">
      <c r="T67" s="205"/>
      <c r="U67" s="210"/>
      <c r="V67" s="210"/>
      <c r="W67" s="210"/>
      <c r="X67" s="210"/>
      <c r="Y67" s="210"/>
      <c r="Z67" s="210"/>
      <c r="AA67" s="210"/>
      <c r="AB67" s="210"/>
      <c r="AC67" s="210"/>
      <c r="AD67" s="210"/>
      <c r="AE67" s="210"/>
      <c r="AF67" s="210"/>
      <c r="AG67" s="210"/>
      <c r="AH67" s="210"/>
    </row>
    <row r="68" spans="20:34" s="202" customFormat="1">
      <c r="T68" s="205"/>
      <c r="U68" s="210"/>
      <c r="V68" s="210"/>
      <c r="W68" s="210"/>
      <c r="X68" s="210"/>
      <c r="Y68" s="210"/>
      <c r="Z68" s="210"/>
      <c r="AA68" s="210"/>
      <c r="AB68" s="210"/>
      <c r="AC68" s="210"/>
      <c r="AD68" s="210"/>
      <c r="AE68" s="210"/>
      <c r="AF68" s="210"/>
      <c r="AG68" s="210"/>
      <c r="AH68" s="210"/>
    </row>
    <row r="69" spans="20:34" s="202" customFormat="1">
      <c r="T69" s="205"/>
      <c r="U69" s="210"/>
      <c r="V69" s="210"/>
      <c r="W69" s="210"/>
      <c r="X69" s="210"/>
      <c r="Y69" s="210"/>
      <c r="Z69" s="210"/>
      <c r="AA69" s="210"/>
      <c r="AB69" s="210"/>
      <c r="AC69" s="210"/>
      <c r="AD69" s="210"/>
      <c r="AE69" s="210"/>
      <c r="AF69" s="210"/>
      <c r="AG69" s="210"/>
      <c r="AH69" s="210"/>
    </row>
    <row r="70" spans="20:34" s="202" customFormat="1">
      <c r="T70" s="205"/>
      <c r="U70" s="210"/>
      <c r="V70" s="210"/>
      <c r="W70" s="210"/>
      <c r="X70" s="210"/>
      <c r="Y70" s="210"/>
      <c r="Z70" s="210"/>
      <c r="AA70" s="210"/>
      <c r="AB70" s="210"/>
      <c r="AC70" s="210"/>
      <c r="AD70" s="210"/>
      <c r="AE70" s="210"/>
      <c r="AF70" s="210"/>
      <c r="AG70" s="210"/>
      <c r="AH70" s="210"/>
    </row>
    <row r="71" spans="20:34" s="202" customFormat="1">
      <c r="T71" s="205"/>
      <c r="U71" s="210"/>
      <c r="V71" s="210"/>
      <c r="W71" s="210"/>
      <c r="X71" s="210"/>
      <c r="Y71" s="210"/>
      <c r="Z71" s="210"/>
      <c r="AA71" s="210"/>
      <c r="AB71" s="210"/>
      <c r="AC71" s="210"/>
      <c r="AD71" s="210"/>
      <c r="AE71" s="210"/>
      <c r="AF71" s="210"/>
      <c r="AG71" s="210"/>
      <c r="AH71" s="210"/>
    </row>
    <row r="72" spans="20:34" s="202" customFormat="1">
      <c r="T72" s="205"/>
      <c r="U72" s="210"/>
      <c r="V72" s="210"/>
      <c r="W72" s="210"/>
      <c r="X72" s="210"/>
      <c r="Y72" s="210"/>
      <c r="Z72" s="210"/>
      <c r="AA72" s="210"/>
      <c r="AB72" s="210"/>
      <c r="AC72" s="210"/>
      <c r="AD72" s="210"/>
      <c r="AE72" s="210"/>
      <c r="AF72" s="210"/>
      <c r="AG72" s="210"/>
      <c r="AH72" s="210"/>
    </row>
    <row r="73" spans="20:34" s="202" customFormat="1">
      <c r="T73" s="205"/>
      <c r="U73" s="210"/>
      <c r="V73" s="210"/>
      <c r="W73" s="210"/>
      <c r="X73" s="210"/>
      <c r="Y73" s="210"/>
      <c r="Z73" s="210"/>
      <c r="AA73" s="210"/>
      <c r="AB73" s="210"/>
      <c r="AC73" s="210"/>
      <c r="AD73" s="210"/>
      <c r="AE73" s="210"/>
      <c r="AF73" s="210"/>
      <c r="AG73" s="210"/>
      <c r="AH73" s="210"/>
    </row>
    <row r="74" spans="20:34" s="202" customFormat="1">
      <c r="T74" s="205"/>
      <c r="U74" s="210"/>
      <c r="V74" s="210"/>
      <c r="W74" s="210"/>
      <c r="X74" s="210"/>
      <c r="Y74" s="210"/>
      <c r="Z74" s="210"/>
      <c r="AA74" s="210"/>
      <c r="AB74" s="210"/>
      <c r="AC74" s="210"/>
      <c r="AD74" s="210"/>
      <c r="AE74" s="210"/>
      <c r="AF74" s="210"/>
      <c r="AG74" s="210"/>
      <c r="AH74" s="210"/>
    </row>
    <row r="75" spans="20:34" s="202" customFormat="1">
      <c r="T75" s="205"/>
      <c r="U75" s="210"/>
      <c r="V75" s="210"/>
      <c r="W75" s="210"/>
      <c r="X75" s="210"/>
      <c r="Y75" s="210"/>
      <c r="Z75" s="210"/>
      <c r="AA75" s="210"/>
      <c r="AB75" s="210"/>
      <c r="AC75" s="210"/>
      <c r="AD75" s="210"/>
      <c r="AE75" s="210"/>
      <c r="AF75" s="210"/>
      <c r="AG75" s="210"/>
      <c r="AH75" s="210"/>
    </row>
    <row r="76" spans="20:34" s="202" customFormat="1">
      <c r="T76" s="205"/>
      <c r="U76" s="210"/>
      <c r="V76" s="210"/>
      <c r="W76" s="210"/>
      <c r="X76" s="210"/>
      <c r="Y76" s="210"/>
      <c r="Z76" s="210"/>
      <c r="AA76" s="210"/>
      <c r="AB76" s="210"/>
      <c r="AC76" s="210"/>
      <c r="AD76" s="210"/>
      <c r="AE76" s="210"/>
      <c r="AF76" s="210"/>
      <c r="AG76" s="210"/>
      <c r="AH76" s="210"/>
    </row>
    <row r="77" spans="20:34" s="202" customFormat="1">
      <c r="T77" s="205"/>
      <c r="U77" s="210"/>
      <c r="V77" s="210"/>
      <c r="W77" s="210"/>
      <c r="X77" s="210"/>
      <c r="Y77" s="210"/>
      <c r="Z77" s="210"/>
      <c r="AA77" s="210"/>
      <c r="AB77" s="210"/>
      <c r="AC77" s="210"/>
      <c r="AD77" s="210"/>
      <c r="AE77" s="210"/>
      <c r="AF77" s="210"/>
      <c r="AG77" s="210"/>
      <c r="AH77" s="210"/>
    </row>
    <row r="78" spans="20:34" s="202" customFormat="1">
      <c r="T78" s="205"/>
      <c r="U78" s="210"/>
      <c r="V78" s="210"/>
      <c r="W78" s="210"/>
      <c r="X78" s="210"/>
      <c r="Y78" s="210"/>
      <c r="Z78" s="210"/>
      <c r="AA78" s="210"/>
      <c r="AB78" s="210"/>
      <c r="AC78" s="210"/>
      <c r="AD78" s="210"/>
      <c r="AE78" s="210"/>
      <c r="AF78" s="210"/>
      <c r="AG78" s="210"/>
      <c r="AH78" s="210"/>
    </row>
    <row r="79" spans="20:34" s="202" customFormat="1">
      <c r="T79" s="205"/>
      <c r="U79" s="210"/>
      <c r="V79" s="210"/>
      <c r="W79" s="210"/>
      <c r="X79" s="210"/>
      <c r="Y79" s="210"/>
      <c r="Z79" s="210"/>
      <c r="AA79" s="210"/>
      <c r="AB79" s="210"/>
      <c r="AC79" s="210"/>
      <c r="AD79" s="210"/>
      <c r="AE79" s="210"/>
      <c r="AF79" s="210"/>
      <c r="AG79" s="210"/>
      <c r="AH79" s="210"/>
    </row>
    <row r="80" spans="20:34" s="202" customFormat="1">
      <c r="T80" s="205"/>
      <c r="U80" s="210"/>
      <c r="V80" s="210"/>
      <c r="W80" s="210"/>
      <c r="X80" s="210"/>
      <c r="Y80" s="210"/>
      <c r="Z80" s="210"/>
      <c r="AA80" s="210"/>
      <c r="AB80" s="210"/>
      <c r="AC80" s="210"/>
      <c r="AD80" s="210"/>
      <c r="AE80" s="210"/>
      <c r="AF80" s="210"/>
      <c r="AG80" s="210"/>
      <c r="AH80" s="210"/>
    </row>
    <row r="81" spans="1:34" s="202" customFormat="1">
      <c r="T81" s="205"/>
      <c r="U81" s="210"/>
      <c r="V81" s="210"/>
      <c r="W81" s="210"/>
      <c r="X81" s="210"/>
      <c r="Y81" s="210"/>
      <c r="Z81" s="210"/>
      <c r="AA81" s="210"/>
      <c r="AB81" s="210"/>
      <c r="AC81" s="210"/>
      <c r="AD81" s="210"/>
      <c r="AE81" s="210"/>
      <c r="AF81" s="210"/>
      <c r="AG81" s="210"/>
      <c r="AH81" s="210"/>
    </row>
    <row r="82" spans="1:34" s="202" customFormat="1">
      <c r="T82" s="205"/>
      <c r="U82" s="210"/>
      <c r="V82" s="210"/>
      <c r="W82" s="210"/>
      <c r="X82" s="210"/>
      <c r="Y82" s="210"/>
      <c r="Z82" s="210"/>
      <c r="AA82" s="210"/>
      <c r="AB82" s="210"/>
      <c r="AC82" s="210"/>
      <c r="AD82" s="210"/>
      <c r="AE82" s="210"/>
      <c r="AF82" s="210"/>
      <c r="AG82" s="210"/>
      <c r="AH82" s="210"/>
    </row>
    <row r="83" spans="1:34" s="448" customFormat="1" hidden="1">
      <c r="T83" s="449"/>
      <c r="U83" s="450"/>
      <c r="V83" s="450"/>
      <c r="W83" s="450"/>
      <c r="X83" s="450"/>
      <c r="Y83" s="450"/>
      <c r="Z83" s="450"/>
      <c r="AA83" s="450"/>
      <c r="AB83" s="450"/>
      <c r="AC83" s="450"/>
      <c r="AD83" s="450"/>
      <c r="AE83" s="450"/>
      <c r="AF83" s="450"/>
      <c r="AG83" s="450"/>
      <c r="AH83" s="450"/>
    </row>
    <row r="84" spans="1:34" s="448" customFormat="1" hidden="1">
      <c r="T84" s="449"/>
      <c r="U84" s="450"/>
      <c r="V84" s="450"/>
      <c r="W84" s="450"/>
      <c r="X84" s="450"/>
      <c r="Y84" s="450"/>
      <c r="Z84" s="450"/>
      <c r="AA84" s="450"/>
      <c r="AB84" s="450"/>
      <c r="AC84" s="450"/>
      <c r="AD84" s="450"/>
      <c r="AE84" s="450"/>
      <c r="AF84" s="450"/>
      <c r="AG84" s="450"/>
      <c r="AH84" s="450"/>
    </row>
    <row r="85" spans="1:34" s="451" customFormat="1" hidden="1">
      <c r="A85" s="448"/>
      <c r="T85" s="448"/>
      <c r="U85" s="450"/>
      <c r="V85" s="450"/>
      <c r="W85" s="450"/>
      <c r="X85" s="450"/>
      <c r="Y85" s="450"/>
      <c r="Z85" s="450"/>
      <c r="AA85" s="450"/>
      <c r="AB85" s="450"/>
      <c r="AC85" s="450"/>
      <c r="AD85" s="450"/>
      <c r="AE85" s="450"/>
      <c r="AF85" s="450"/>
      <c r="AG85" s="450"/>
      <c r="AH85" s="450"/>
    </row>
    <row r="86" spans="1:34" s="451" customFormat="1" ht="15" hidden="1" thickBot="1">
      <c r="A86" s="448"/>
      <c r="B86" s="452" t="s">
        <v>412</v>
      </c>
      <c r="L86" s="451" t="s">
        <v>380</v>
      </c>
      <c r="T86" s="448"/>
      <c r="U86" s="450"/>
      <c r="V86" s="450"/>
      <c r="W86" s="450"/>
      <c r="X86" s="450"/>
      <c r="Y86" s="450"/>
      <c r="Z86" s="450"/>
      <c r="AA86" s="450"/>
      <c r="AB86" s="450"/>
      <c r="AC86" s="450"/>
      <c r="AD86" s="450"/>
      <c r="AE86" s="450"/>
      <c r="AF86" s="450"/>
      <c r="AG86" s="450"/>
      <c r="AH86" s="450"/>
    </row>
    <row r="87" spans="1:34" s="451" customFormat="1" ht="15" hidden="1" thickBot="1">
      <c r="A87" s="448"/>
      <c r="B87" s="453"/>
      <c r="C87" s="454"/>
      <c r="D87" s="454"/>
      <c r="E87" s="454"/>
      <c r="F87" s="454"/>
      <c r="G87" s="454"/>
      <c r="H87" s="454"/>
      <c r="I87" s="454"/>
      <c r="J87" s="455"/>
      <c r="L87" s="456" t="s">
        <v>224</v>
      </c>
      <c r="M87" s="454"/>
      <c r="N87" s="454"/>
      <c r="O87" s="454"/>
      <c r="P87" s="454"/>
      <c r="Q87" s="454"/>
      <c r="R87" s="454"/>
      <c r="S87" s="455"/>
      <c r="T87" s="448"/>
      <c r="U87" s="450"/>
      <c r="V87" s="450"/>
      <c r="W87" s="450"/>
      <c r="X87" s="450"/>
      <c r="Y87" s="450"/>
      <c r="Z87" s="450"/>
      <c r="AA87" s="450"/>
      <c r="AB87" s="450"/>
      <c r="AC87" s="450"/>
      <c r="AD87" s="450"/>
      <c r="AE87" s="450"/>
      <c r="AF87" s="450"/>
      <c r="AG87" s="450"/>
      <c r="AH87" s="450"/>
    </row>
    <row r="88" spans="1:34" s="451" customFormat="1" ht="15" hidden="1" thickBot="1">
      <c r="A88" s="448"/>
      <c r="B88" s="457"/>
      <c r="C88" s="458"/>
      <c r="D88" s="458"/>
      <c r="E88" s="458"/>
      <c r="F88" s="458"/>
      <c r="G88" s="458"/>
      <c r="H88" s="458"/>
      <c r="I88" s="458"/>
      <c r="J88" s="459"/>
      <c r="L88" s="460" t="s">
        <v>223</v>
      </c>
      <c r="M88" s="461"/>
      <c r="N88" s="462">
        <f>IF(D8="Automatic",E9,E10)</f>
        <v>30</v>
      </c>
      <c r="O88" s="463"/>
      <c r="P88" s="458"/>
      <c r="Q88" s="458"/>
      <c r="R88" s="458"/>
      <c r="S88" s="459"/>
      <c r="T88" s="448"/>
      <c r="U88" s="450"/>
      <c r="V88" s="450"/>
      <c r="W88" s="450"/>
      <c r="X88" s="450"/>
      <c r="Y88" s="450"/>
      <c r="Z88" s="450"/>
      <c r="AA88" s="450"/>
      <c r="AB88" s="450"/>
      <c r="AC88" s="450"/>
      <c r="AD88" s="450"/>
      <c r="AE88" s="450"/>
      <c r="AF88" s="450"/>
      <c r="AG88" s="450"/>
      <c r="AH88" s="450"/>
    </row>
    <row r="89" spans="1:34" s="451" customFormat="1" hidden="1">
      <c r="A89" s="448"/>
      <c r="B89" s="457"/>
      <c r="C89" s="458"/>
      <c r="D89" s="458"/>
      <c r="E89" s="458"/>
      <c r="F89" s="458"/>
      <c r="G89" s="458"/>
      <c r="H89" s="458"/>
      <c r="I89" s="458"/>
      <c r="J89" s="459"/>
      <c r="L89" s="464"/>
      <c r="M89" s="463"/>
      <c r="N89" s="463"/>
      <c r="O89" s="463"/>
      <c r="P89" s="463"/>
      <c r="Q89" s="458"/>
      <c r="R89" s="458"/>
      <c r="S89" s="459"/>
      <c r="T89" s="448"/>
      <c r="U89" s="450"/>
      <c r="V89" s="450"/>
      <c r="W89" s="450"/>
      <c r="X89" s="450"/>
      <c r="Y89" s="450"/>
      <c r="Z89" s="450"/>
      <c r="AA89" s="450"/>
      <c r="AB89" s="450"/>
      <c r="AC89" s="450"/>
      <c r="AD89" s="450"/>
      <c r="AE89" s="450"/>
      <c r="AF89" s="450"/>
      <c r="AG89" s="450"/>
      <c r="AH89" s="450"/>
    </row>
    <row r="90" spans="1:34" s="451" customFormat="1" ht="15" hidden="1" thickBot="1">
      <c r="A90" s="448"/>
      <c r="B90" s="457"/>
      <c r="C90" s="458"/>
      <c r="D90" s="458"/>
      <c r="E90" s="458"/>
      <c r="F90" s="458"/>
      <c r="G90" s="458" t="s">
        <v>200</v>
      </c>
      <c r="H90" s="458"/>
      <c r="I90" s="458"/>
      <c r="J90" s="459" t="s">
        <v>205</v>
      </c>
      <c r="L90" s="457" t="s">
        <v>208</v>
      </c>
      <c r="M90" s="458"/>
      <c r="N90" s="458"/>
      <c r="O90" s="458"/>
      <c r="P90" s="458"/>
      <c r="Q90" s="458"/>
      <c r="R90" s="458"/>
      <c r="S90" s="459"/>
      <c r="T90" s="448"/>
      <c r="U90" s="450"/>
      <c r="V90" s="450"/>
      <c r="W90" s="450"/>
      <c r="X90" s="450"/>
      <c r="Y90" s="450"/>
      <c r="Z90" s="450"/>
      <c r="AA90" s="450"/>
      <c r="AB90" s="450"/>
      <c r="AC90" s="450"/>
      <c r="AD90" s="450"/>
      <c r="AE90" s="450"/>
      <c r="AF90" s="450"/>
      <c r="AG90" s="450"/>
      <c r="AH90" s="450"/>
    </row>
    <row r="91" spans="1:34" s="451" customFormat="1" ht="15" hidden="1" thickBot="1">
      <c r="A91" s="448"/>
      <c r="B91" s="457"/>
      <c r="C91" s="458"/>
      <c r="D91" s="465" t="s">
        <v>183</v>
      </c>
      <c r="E91" s="458"/>
      <c r="F91" s="458"/>
      <c r="G91" s="1198">
        <f>AVERAGE(D25:D36)</f>
        <v>26.126989337500003</v>
      </c>
      <c r="H91" s="1199"/>
      <c r="I91" s="458"/>
      <c r="J91" s="466">
        <f>N$88</f>
        <v>30</v>
      </c>
      <c r="L91" s="460" t="s">
        <v>223</v>
      </c>
      <c r="M91" s="461"/>
      <c r="N91" s="462">
        <f>IF(J8="Automatic",IF($E$5=1,0,E108),IF($E$5=1,0,K10))</f>
        <v>0</v>
      </c>
      <c r="O91" s="458"/>
      <c r="P91" s="458"/>
      <c r="Q91" s="458"/>
      <c r="R91" s="458"/>
      <c r="S91" s="459"/>
      <c r="T91" s="448"/>
      <c r="U91" s="450"/>
      <c r="V91" s="450"/>
      <c r="W91" s="450"/>
      <c r="X91" s="450"/>
      <c r="Y91" s="450"/>
      <c r="Z91" s="450"/>
      <c r="AA91" s="450"/>
      <c r="AB91" s="450"/>
      <c r="AC91" s="450"/>
      <c r="AD91" s="450"/>
      <c r="AE91" s="450"/>
      <c r="AF91" s="450"/>
      <c r="AG91" s="450"/>
      <c r="AH91" s="450"/>
    </row>
    <row r="92" spans="1:34" s="451" customFormat="1" ht="15" hidden="1" thickBot="1">
      <c r="A92" s="448"/>
      <c r="B92" s="1178" t="s">
        <v>199</v>
      </c>
      <c r="C92" s="1179"/>
      <c r="D92" s="467">
        <f>AVERAGE(D25:D36)</f>
        <v>26.126989337500003</v>
      </c>
      <c r="E92" s="458"/>
      <c r="F92" s="458"/>
      <c r="G92" s="1185">
        <f>AVERAGE(D25:D36)</f>
        <v>26.126989337500003</v>
      </c>
      <c r="H92" s="1186"/>
      <c r="I92" s="458"/>
      <c r="J92" s="466">
        <f t="shared" ref="J92:J102" si="0">N$88</f>
        <v>30</v>
      </c>
      <c r="L92" s="464"/>
      <c r="M92" s="463"/>
      <c r="N92" s="463"/>
      <c r="O92" s="463"/>
      <c r="P92" s="463"/>
      <c r="Q92" s="458"/>
      <c r="R92" s="458"/>
      <c r="S92" s="459"/>
      <c r="T92" s="448"/>
      <c r="U92" s="450"/>
      <c r="V92" s="450"/>
      <c r="W92" s="450"/>
      <c r="X92" s="450"/>
      <c r="Y92" s="450"/>
      <c r="Z92" s="450"/>
      <c r="AA92" s="450"/>
      <c r="AB92" s="450"/>
      <c r="AC92" s="450"/>
      <c r="AD92" s="450"/>
      <c r="AE92" s="450"/>
      <c r="AF92" s="450"/>
      <c r="AG92" s="450"/>
      <c r="AH92" s="450"/>
    </row>
    <row r="93" spans="1:34" s="451" customFormat="1" ht="15" hidden="1" thickBot="1">
      <c r="A93" s="448"/>
      <c r="B93" s="453" t="s">
        <v>201</v>
      </c>
      <c r="C93" s="454"/>
      <c r="D93" s="467">
        <f>IF(D31*E11&gt;D92,D31,D92*E11)</f>
        <v>18.341127650000004</v>
      </c>
      <c r="E93" s="458"/>
      <c r="F93" s="458"/>
      <c r="G93" s="1185">
        <f t="shared" ref="G93:G102" si="1">AVERAGE($D$25:$D$36)</f>
        <v>26.126989337500003</v>
      </c>
      <c r="H93" s="1186"/>
      <c r="I93" s="458"/>
      <c r="J93" s="466">
        <f t="shared" si="0"/>
        <v>30</v>
      </c>
      <c r="L93" s="460" t="s">
        <v>211</v>
      </c>
      <c r="M93" s="461"/>
      <c r="N93" s="468">
        <f>N91/K11</f>
        <v>0</v>
      </c>
      <c r="O93" s="469"/>
      <c r="P93" s="458"/>
      <c r="Q93" s="458"/>
      <c r="R93" s="458"/>
      <c r="S93" s="459"/>
      <c r="T93" s="448"/>
      <c r="U93" s="450"/>
      <c r="V93" s="450"/>
      <c r="W93" s="450"/>
      <c r="X93" s="450"/>
      <c r="Y93" s="450"/>
      <c r="Z93" s="450"/>
      <c r="AA93" s="450"/>
      <c r="AB93" s="450"/>
      <c r="AC93" s="450"/>
      <c r="AD93" s="450"/>
      <c r="AE93" s="450"/>
      <c r="AF93" s="450"/>
      <c r="AG93" s="450"/>
      <c r="AH93" s="450"/>
    </row>
    <row r="94" spans="1:34" s="451" customFormat="1" ht="15" hidden="1" thickBot="1">
      <c r="A94" s="448"/>
      <c r="B94" s="1257" t="s">
        <v>219</v>
      </c>
      <c r="C94" s="1258"/>
      <c r="D94" s="472">
        <f>D93*E11</f>
        <v>55.023382950000013</v>
      </c>
      <c r="E94" s="458"/>
      <c r="F94" s="458"/>
      <c r="G94" s="1185">
        <f t="shared" si="1"/>
        <v>26.126989337500003</v>
      </c>
      <c r="H94" s="1186"/>
      <c r="I94" s="458"/>
      <c r="J94" s="466">
        <f t="shared" si="0"/>
        <v>30</v>
      </c>
      <c r="L94" s="473"/>
      <c r="M94" s="474"/>
      <c r="N94" s="474"/>
      <c r="O94" s="474"/>
      <c r="P94" s="474"/>
      <c r="Q94" s="474"/>
      <c r="R94" s="474"/>
      <c r="S94" s="475"/>
      <c r="T94" s="448"/>
      <c r="U94" s="450"/>
      <c r="V94" s="450"/>
      <c r="W94" s="450"/>
      <c r="X94" s="450"/>
      <c r="Y94" s="450"/>
      <c r="Z94" s="450"/>
      <c r="AA94" s="450"/>
      <c r="AB94" s="450"/>
      <c r="AC94" s="450"/>
      <c r="AD94" s="450"/>
      <c r="AE94" s="450"/>
      <c r="AF94" s="450"/>
      <c r="AG94" s="450"/>
      <c r="AH94" s="450"/>
    </row>
    <row r="95" spans="1:34" s="451" customFormat="1" ht="15" hidden="1" thickBot="1">
      <c r="A95" s="448"/>
      <c r="B95" s="1257" t="s">
        <v>220</v>
      </c>
      <c r="C95" s="1258"/>
      <c r="D95" s="472">
        <f>(IF(D94&gt;LARGE(D25,1),LARGE(D25,1),D94))</f>
        <v>32.567257099999999</v>
      </c>
      <c r="E95" s="458"/>
      <c r="F95" s="458"/>
      <c r="G95" s="1185">
        <f t="shared" si="1"/>
        <v>26.126989337500003</v>
      </c>
      <c r="H95" s="1186"/>
      <c r="I95" s="458"/>
      <c r="J95" s="466">
        <f t="shared" si="0"/>
        <v>30</v>
      </c>
      <c r="T95" s="448"/>
      <c r="U95" s="450"/>
      <c r="V95" s="450"/>
      <c r="W95" s="450"/>
      <c r="X95" s="450"/>
      <c r="Y95" s="450"/>
      <c r="Z95" s="450"/>
      <c r="AA95" s="450"/>
      <c r="AB95" s="450"/>
      <c r="AC95" s="450"/>
      <c r="AD95" s="450"/>
      <c r="AE95" s="450"/>
      <c r="AF95" s="450"/>
      <c r="AG95" s="450"/>
      <c r="AH95" s="450"/>
    </row>
    <row r="96" spans="1:34" s="451" customFormat="1" ht="15" hidden="1" thickBot="1">
      <c r="A96" s="448"/>
      <c r="B96" s="470" t="s">
        <v>225</v>
      </c>
      <c r="C96" s="471"/>
      <c r="D96" s="465">
        <f>FLOOR(D95,IF(D95&lt;50,5,IF(D95&lt;100,10,IF(D95&lt;1000,50,500))))</f>
        <v>30</v>
      </c>
      <c r="E96" s="458"/>
      <c r="F96" s="458"/>
      <c r="G96" s="1185">
        <f t="shared" si="1"/>
        <v>26.126989337500003</v>
      </c>
      <c r="H96" s="1186"/>
      <c r="I96" s="458"/>
      <c r="J96" s="466">
        <f t="shared" si="0"/>
        <v>30</v>
      </c>
      <c r="T96" s="448"/>
      <c r="U96" s="450"/>
      <c r="V96" s="450"/>
      <c r="W96" s="450"/>
      <c r="X96" s="450"/>
      <c r="Y96" s="450"/>
      <c r="Z96" s="450"/>
      <c r="AA96" s="450"/>
      <c r="AB96" s="450"/>
      <c r="AC96" s="450"/>
      <c r="AD96" s="450"/>
      <c r="AE96" s="450"/>
      <c r="AF96" s="450"/>
      <c r="AG96" s="450"/>
      <c r="AH96" s="450"/>
    </row>
    <row r="97" spans="1:34" s="451" customFormat="1" ht="15" hidden="1" thickBot="1">
      <c r="A97" s="448"/>
      <c r="B97" s="1259" t="s">
        <v>221</v>
      </c>
      <c r="C97" s="1260"/>
      <c r="D97" s="476">
        <f>IF(D94&gt;D25,D96/E11,D93)</f>
        <v>10</v>
      </c>
      <c r="E97" s="458"/>
      <c r="F97" s="458"/>
      <c r="G97" s="1185">
        <f t="shared" si="1"/>
        <v>26.126989337500003</v>
      </c>
      <c r="H97" s="1186"/>
      <c r="I97" s="458"/>
      <c r="J97" s="466">
        <f t="shared" si="0"/>
        <v>30</v>
      </c>
      <c r="L97" s="453" t="s">
        <v>278</v>
      </c>
      <c r="M97" s="454"/>
      <c r="N97" s="454"/>
      <c r="O97" s="454"/>
      <c r="P97" s="454"/>
      <c r="Q97" s="454"/>
      <c r="R97" s="454"/>
      <c r="S97" s="455"/>
      <c r="T97" s="448"/>
      <c r="U97" s="450"/>
      <c r="V97" s="450"/>
      <c r="W97" s="450"/>
      <c r="X97" s="450"/>
      <c r="Y97" s="450"/>
      <c r="Z97" s="450"/>
      <c r="AA97" s="450"/>
      <c r="AB97" s="450"/>
      <c r="AC97" s="450"/>
      <c r="AD97" s="450"/>
      <c r="AE97" s="450"/>
      <c r="AF97" s="450"/>
      <c r="AG97" s="450"/>
      <c r="AH97" s="450"/>
    </row>
    <row r="98" spans="1:34" s="451" customFormat="1" ht="15" hidden="1" thickBot="1">
      <c r="A98" s="448"/>
      <c r="B98" s="457"/>
      <c r="C98" s="458"/>
      <c r="D98" s="458"/>
      <c r="E98" s="458"/>
      <c r="F98" s="458"/>
      <c r="G98" s="1185">
        <f t="shared" si="1"/>
        <v>26.126989337500003</v>
      </c>
      <c r="H98" s="1186"/>
      <c r="I98" s="458"/>
      <c r="J98" s="466">
        <f t="shared" si="0"/>
        <v>30</v>
      </c>
      <c r="L98" s="1224">
        <f>IF(E5=1,E12,(E12*N88/N91+K12)/(N88/N91+1))</f>
        <v>80</v>
      </c>
      <c r="M98" s="1207"/>
      <c r="N98" s="458"/>
      <c r="O98" s="458"/>
      <c r="P98" s="458"/>
      <c r="Q98" s="458"/>
      <c r="R98" s="458"/>
      <c r="S98" s="459"/>
      <c r="T98" s="448"/>
      <c r="U98" s="450"/>
      <c r="V98" s="450"/>
      <c r="W98" s="450"/>
      <c r="X98" s="450"/>
      <c r="Y98" s="450"/>
      <c r="Z98" s="450"/>
      <c r="AA98" s="450"/>
      <c r="AB98" s="450"/>
      <c r="AC98" s="450"/>
      <c r="AD98" s="450"/>
      <c r="AE98" s="450"/>
      <c r="AF98" s="450"/>
      <c r="AG98" s="450"/>
      <c r="AH98" s="450"/>
    </row>
    <row r="99" spans="1:34" s="451" customFormat="1" ht="15" hidden="1" thickBot="1">
      <c r="A99" s="448"/>
      <c r="B99" s="457"/>
      <c r="C99" s="458"/>
      <c r="D99" s="458"/>
      <c r="E99" s="458"/>
      <c r="F99" s="458"/>
      <c r="G99" s="1185">
        <f t="shared" si="1"/>
        <v>26.126989337500003</v>
      </c>
      <c r="H99" s="1186"/>
      <c r="I99" s="458"/>
      <c r="J99" s="466">
        <f t="shared" si="0"/>
        <v>30</v>
      </c>
      <c r="L99" s="473"/>
      <c r="M99" s="474"/>
      <c r="N99" s="474"/>
      <c r="O99" s="474"/>
      <c r="P99" s="474"/>
      <c r="Q99" s="474"/>
      <c r="R99" s="474"/>
      <c r="S99" s="475"/>
      <c r="T99" s="448"/>
      <c r="U99" s="450"/>
      <c r="V99" s="450"/>
      <c r="W99" s="450"/>
      <c r="X99" s="450"/>
      <c r="Y99" s="450"/>
      <c r="Z99" s="450"/>
      <c r="AA99" s="450"/>
      <c r="AB99" s="450"/>
      <c r="AC99" s="450"/>
      <c r="AD99" s="450"/>
      <c r="AE99" s="450"/>
      <c r="AF99" s="450"/>
      <c r="AG99" s="450"/>
      <c r="AH99" s="450"/>
    </row>
    <row r="100" spans="1:34" s="451" customFormat="1" ht="15" hidden="1" thickBot="1">
      <c r="A100" s="448"/>
      <c r="B100" s="457" t="s">
        <v>437</v>
      </c>
      <c r="C100" s="458"/>
      <c r="D100" s="458"/>
      <c r="E100" s="1194">
        <f>IF(LARGE(D25:D36,1)-N88&gt;0,LARGE(D25:D36,1)-N88,0)</f>
        <v>2.5672570999999991</v>
      </c>
      <c r="F100" s="1195"/>
      <c r="G100" s="1185">
        <f t="shared" si="1"/>
        <v>26.126989337500003</v>
      </c>
      <c r="H100" s="1186"/>
      <c r="I100" s="458"/>
      <c r="J100" s="466">
        <f t="shared" si="0"/>
        <v>30</v>
      </c>
      <c r="T100" s="448"/>
      <c r="U100" s="450"/>
      <c r="V100" s="450"/>
      <c r="W100" s="450"/>
      <c r="X100" s="450"/>
      <c r="Y100" s="450"/>
      <c r="Z100" s="450"/>
      <c r="AA100" s="450"/>
      <c r="AB100" s="450"/>
      <c r="AC100" s="450"/>
      <c r="AD100" s="450"/>
      <c r="AE100" s="450"/>
      <c r="AF100" s="450"/>
      <c r="AG100" s="450"/>
      <c r="AH100" s="450"/>
    </row>
    <row r="101" spans="1:34" s="451" customFormat="1" ht="15" hidden="1" thickBot="1">
      <c r="A101" s="448"/>
      <c r="B101" s="457"/>
      <c r="C101" s="458"/>
      <c r="D101" s="458"/>
      <c r="E101" s="458"/>
      <c r="F101" s="458"/>
      <c r="G101" s="1185">
        <f t="shared" si="1"/>
        <v>26.126989337500003</v>
      </c>
      <c r="H101" s="1186"/>
      <c r="I101" s="458"/>
      <c r="J101" s="466">
        <f t="shared" si="0"/>
        <v>30</v>
      </c>
      <c r="T101" s="448"/>
      <c r="U101" s="450"/>
      <c r="V101" s="450"/>
      <c r="W101" s="450"/>
      <c r="X101" s="450"/>
      <c r="Y101" s="450"/>
      <c r="Z101" s="450"/>
      <c r="AA101" s="450"/>
      <c r="AB101" s="450"/>
      <c r="AC101" s="450"/>
      <c r="AD101" s="450"/>
      <c r="AE101" s="450"/>
      <c r="AF101" s="450"/>
      <c r="AG101" s="450"/>
      <c r="AH101" s="450"/>
    </row>
    <row r="102" spans="1:34" s="451" customFormat="1" ht="15" hidden="1" thickBot="1">
      <c r="A102" s="448"/>
      <c r="B102" s="457"/>
      <c r="C102" s="458"/>
      <c r="D102" s="458"/>
      <c r="E102" s="458"/>
      <c r="F102" s="458"/>
      <c r="G102" s="1196">
        <f t="shared" si="1"/>
        <v>26.126989337500003</v>
      </c>
      <c r="H102" s="1197"/>
      <c r="I102" s="458"/>
      <c r="J102" s="466">
        <f t="shared" si="0"/>
        <v>30</v>
      </c>
      <c r="T102" s="448"/>
      <c r="U102" s="450"/>
      <c r="V102" s="450"/>
      <c r="W102" s="450"/>
      <c r="X102" s="450"/>
      <c r="Y102" s="450"/>
      <c r="Z102" s="450"/>
      <c r="AA102" s="450"/>
      <c r="AB102" s="450"/>
      <c r="AC102" s="450"/>
      <c r="AD102" s="450"/>
      <c r="AE102" s="450"/>
      <c r="AF102" s="450"/>
      <c r="AG102" s="450"/>
      <c r="AH102" s="450"/>
    </row>
    <row r="103" spans="1:34" s="451" customFormat="1" ht="15" hidden="1" thickBot="1">
      <c r="A103" s="448"/>
      <c r="B103" s="473"/>
      <c r="C103" s="474"/>
      <c r="D103" s="474"/>
      <c r="E103" s="474"/>
      <c r="F103" s="474"/>
      <c r="G103" s="474"/>
      <c r="H103" s="474"/>
      <c r="I103" s="474"/>
      <c r="J103" s="475"/>
      <c r="T103" s="448"/>
      <c r="U103" s="450"/>
      <c r="V103" s="450"/>
      <c r="W103" s="450"/>
      <c r="X103" s="450"/>
      <c r="Y103" s="450"/>
      <c r="Z103" s="450"/>
      <c r="AA103" s="450"/>
      <c r="AB103" s="450"/>
      <c r="AC103" s="450"/>
      <c r="AD103" s="450"/>
      <c r="AE103" s="450"/>
      <c r="AF103" s="450"/>
      <c r="AG103" s="450"/>
      <c r="AH103" s="450"/>
    </row>
    <row r="104" spans="1:34" s="451" customFormat="1" hidden="1">
      <c r="A104" s="448"/>
      <c r="T104" s="448"/>
      <c r="U104" s="450"/>
      <c r="V104" s="450"/>
      <c r="W104" s="450"/>
      <c r="X104" s="450"/>
      <c r="Y104" s="450"/>
      <c r="Z104" s="450"/>
      <c r="AA104" s="450"/>
      <c r="AB104" s="450"/>
      <c r="AC104" s="450"/>
      <c r="AD104" s="450"/>
      <c r="AE104" s="450"/>
      <c r="AF104" s="450"/>
      <c r="AG104" s="450"/>
      <c r="AH104" s="450"/>
    </row>
    <row r="105" spans="1:34" s="451" customFormat="1" ht="15" hidden="1" thickBot="1">
      <c r="A105" s="448"/>
      <c r="B105" s="477" t="s">
        <v>208</v>
      </c>
      <c r="T105" s="448"/>
      <c r="U105" s="450"/>
      <c r="V105" s="450"/>
      <c r="W105" s="450"/>
      <c r="X105" s="450"/>
      <c r="Y105" s="450"/>
      <c r="Z105" s="450"/>
      <c r="AA105" s="450"/>
      <c r="AB105" s="450"/>
      <c r="AC105" s="450"/>
      <c r="AD105" s="450"/>
      <c r="AE105" s="450"/>
      <c r="AF105" s="450"/>
      <c r="AG105" s="450"/>
      <c r="AH105" s="450"/>
    </row>
    <row r="106" spans="1:34" s="451" customFormat="1" ht="15" hidden="1" thickBot="1">
      <c r="A106" s="448"/>
      <c r="B106" s="453"/>
      <c r="C106" s="454"/>
      <c r="D106" s="454"/>
      <c r="E106" s="454"/>
      <c r="F106" s="454"/>
      <c r="G106" s="454"/>
      <c r="H106" s="454"/>
      <c r="I106" s="455"/>
      <c r="J106" s="478"/>
      <c r="K106" s="454"/>
      <c r="L106" s="455"/>
      <c r="T106" s="448"/>
      <c r="U106" s="450"/>
      <c r="V106" s="450"/>
      <c r="W106" s="450"/>
      <c r="X106" s="450"/>
      <c r="Y106" s="450"/>
      <c r="Z106" s="450"/>
      <c r="AA106" s="450"/>
      <c r="AB106" s="450"/>
      <c r="AC106" s="450"/>
      <c r="AD106" s="450"/>
      <c r="AE106" s="450"/>
      <c r="AF106" s="450"/>
      <c r="AG106" s="450"/>
      <c r="AH106" s="450"/>
    </row>
    <row r="107" spans="1:34" s="451" customFormat="1" hidden="1">
      <c r="A107" s="448"/>
      <c r="B107" s="457" t="s">
        <v>209</v>
      </c>
      <c r="C107" s="458"/>
      <c r="D107" s="458"/>
      <c r="E107" s="1198">
        <f>IF($E$5=1,0,E100)</f>
        <v>0</v>
      </c>
      <c r="F107" s="1199"/>
      <c r="G107" s="458"/>
      <c r="H107" s="458"/>
      <c r="I107" s="459" t="s">
        <v>212</v>
      </c>
      <c r="J107" s="1205" t="str">
        <f>IF($E$5=1," ","Main Boiler + Secondary")</f>
        <v xml:space="preserve"> </v>
      </c>
      <c r="K107" s="1206"/>
      <c r="L107" s="1206"/>
      <c r="T107" s="448"/>
      <c r="U107" s="450"/>
      <c r="V107" s="450"/>
      <c r="W107" s="450"/>
      <c r="X107" s="450"/>
      <c r="Y107" s="450"/>
      <c r="Z107" s="450"/>
      <c r="AA107" s="450"/>
      <c r="AB107" s="450"/>
      <c r="AC107" s="450"/>
      <c r="AD107" s="450"/>
      <c r="AE107" s="450"/>
      <c r="AF107" s="450"/>
      <c r="AG107" s="450"/>
      <c r="AH107" s="450"/>
    </row>
    <row r="108" spans="1:34" s="451" customFormat="1" ht="15" hidden="1" thickBot="1">
      <c r="A108" s="448"/>
      <c r="B108" s="457" t="s">
        <v>210</v>
      </c>
      <c r="C108" s="458"/>
      <c r="D108" s="458"/>
      <c r="E108" s="1201">
        <f>FLOOR(E107,IF(E107&lt;50,10,IF(E107&lt;100,10,IF(E107&lt;1000,50,500))))</f>
        <v>0</v>
      </c>
      <c r="F108" s="1202"/>
      <c r="G108" s="458"/>
      <c r="H108" s="1207" t="s">
        <v>213</v>
      </c>
      <c r="I108" s="1208"/>
      <c r="J108" s="1200">
        <f>IF($E$5=1,0,N91+N88)</f>
        <v>0</v>
      </c>
      <c r="K108" s="1186"/>
      <c r="L108" s="1186"/>
      <c r="T108" s="448"/>
      <c r="U108" s="450"/>
      <c r="V108" s="450"/>
      <c r="W108" s="450"/>
      <c r="X108" s="450"/>
      <c r="Y108" s="450"/>
      <c r="Z108" s="450"/>
      <c r="AA108" s="450"/>
      <c r="AB108" s="450"/>
      <c r="AC108" s="450"/>
      <c r="AD108" s="450"/>
      <c r="AE108" s="450"/>
      <c r="AF108" s="450"/>
      <c r="AG108" s="450"/>
      <c r="AH108" s="450"/>
    </row>
    <row r="109" spans="1:34" s="451" customFormat="1" ht="15" hidden="1" thickBot="1">
      <c r="A109" s="448"/>
      <c r="B109" s="473"/>
      <c r="C109" s="474"/>
      <c r="D109" s="474"/>
      <c r="E109" s="474"/>
      <c r="F109" s="474"/>
      <c r="G109" s="474"/>
      <c r="H109" s="474"/>
      <c r="I109" s="475"/>
      <c r="J109" s="1185">
        <f>$J$108</f>
        <v>0</v>
      </c>
      <c r="K109" s="1204"/>
      <c r="L109" s="1186"/>
      <c r="T109" s="448"/>
      <c r="U109" s="450"/>
      <c r="V109" s="450"/>
      <c r="W109" s="450"/>
      <c r="X109" s="450"/>
      <c r="Y109" s="450"/>
      <c r="Z109" s="450"/>
      <c r="AA109" s="450"/>
      <c r="AB109" s="450"/>
      <c r="AC109" s="450"/>
      <c r="AD109" s="450"/>
      <c r="AE109" s="450"/>
      <c r="AF109" s="450"/>
      <c r="AG109" s="450"/>
      <c r="AH109" s="450"/>
    </row>
    <row r="110" spans="1:34" s="451" customFormat="1" hidden="1">
      <c r="A110" s="448"/>
      <c r="J110" s="1185">
        <f t="shared" ref="J110:J119" si="2">$J$108</f>
        <v>0</v>
      </c>
      <c r="K110" s="1204"/>
      <c r="L110" s="1186"/>
      <c r="T110" s="448"/>
      <c r="U110" s="450"/>
      <c r="V110" s="450"/>
      <c r="W110" s="450"/>
      <c r="X110" s="450"/>
      <c r="Y110" s="450"/>
      <c r="Z110" s="450"/>
      <c r="AA110" s="450"/>
      <c r="AB110" s="450"/>
      <c r="AC110" s="450"/>
      <c r="AD110" s="450"/>
      <c r="AE110" s="450"/>
      <c r="AF110" s="450"/>
      <c r="AG110" s="450"/>
      <c r="AH110" s="450"/>
    </row>
    <row r="111" spans="1:34" s="451" customFormat="1" ht="15" hidden="1" thickBot="1">
      <c r="A111" s="448"/>
      <c r="J111" s="1185">
        <f t="shared" si="2"/>
        <v>0</v>
      </c>
      <c r="K111" s="1204"/>
      <c r="L111" s="1186"/>
      <c r="T111" s="448"/>
      <c r="U111" s="450"/>
      <c r="V111" s="450"/>
      <c r="W111" s="450"/>
      <c r="X111" s="450"/>
      <c r="Y111" s="450"/>
      <c r="Z111" s="450"/>
      <c r="AA111" s="450"/>
      <c r="AB111" s="450"/>
      <c r="AC111" s="450"/>
      <c r="AD111" s="450"/>
      <c r="AE111" s="450"/>
      <c r="AF111" s="450"/>
      <c r="AG111" s="450"/>
      <c r="AH111" s="450"/>
    </row>
    <row r="112" spans="1:34" s="451" customFormat="1" hidden="1">
      <c r="A112" s="448"/>
      <c r="B112" s="453" t="s">
        <v>214</v>
      </c>
      <c r="C112" s="454"/>
      <c r="D112" s="454"/>
      <c r="E112" s="454"/>
      <c r="F112" s="454"/>
      <c r="G112" s="454"/>
      <c r="H112" s="455"/>
      <c r="J112" s="1185">
        <f t="shared" si="2"/>
        <v>0</v>
      </c>
      <c r="K112" s="1204"/>
      <c r="L112" s="1186"/>
      <c r="T112" s="448"/>
      <c r="U112" s="450"/>
      <c r="V112" s="450"/>
      <c r="W112" s="450"/>
      <c r="X112" s="450"/>
      <c r="Y112" s="450"/>
      <c r="Z112" s="450"/>
      <c r="AA112" s="450"/>
      <c r="AB112" s="450"/>
      <c r="AC112" s="450"/>
      <c r="AD112" s="450"/>
      <c r="AE112" s="450"/>
      <c r="AF112" s="450"/>
      <c r="AG112" s="450"/>
      <c r="AH112" s="450"/>
    </row>
    <row r="113" spans="1:34" s="451" customFormat="1" hidden="1">
      <c r="A113" s="448"/>
      <c r="B113" s="457" t="s">
        <v>215</v>
      </c>
      <c r="C113" s="458"/>
      <c r="D113" s="458"/>
      <c r="E113" s="458"/>
      <c r="F113" s="458"/>
      <c r="G113" s="458"/>
      <c r="H113" s="459"/>
      <c r="J113" s="1185">
        <f t="shared" si="2"/>
        <v>0</v>
      </c>
      <c r="K113" s="1204"/>
      <c r="L113" s="1186"/>
      <c r="T113" s="448"/>
      <c r="U113" s="450"/>
      <c r="V113" s="450"/>
      <c r="W113" s="450"/>
      <c r="X113" s="450"/>
      <c r="Y113" s="450"/>
      <c r="Z113" s="450"/>
      <c r="AA113" s="450"/>
      <c r="AB113" s="450"/>
      <c r="AC113" s="450"/>
      <c r="AD113" s="450"/>
      <c r="AE113" s="450"/>
      <c r="AF113" s="450"/>
      <c r="AG113" s="450"/>
      <c r="AH113" s="450"/>
    </row>
    <row r="114" spans="1:34" s="451" customFormat="1" hidden="1">
      <c r="A114" s="448"/>
      <c r="B114" s="457" t="s">
        <v>216</v>
      </c>
      <c r="C114" s="480">
        <f>E13</f>
        <v>10</v>
      </c>
      <c r="D114" s="458"/>
      <c r="E114" s="458"/>
      <c r="F114" s="458"/>
      <c r="G114" s="458"/>
      <c r="H114" s="459"/>
      <c r="J114" s="1185">
        <f t="shared" si="2"/>
        <v>0</v>
      </c>
      <c r="K114" s="1204"/>
      <c r="L114" s="1186"/>
      <c r="T114" s="448"/>
      <c r="U114" s="450"/>
      <c r="V114" s="450"/>
      <c r="W114" s="450"/>
      <c r="X114" s="450"/>
      <c r="Y114" s="450"/>
      <c r="Z114" s="450"/>
      <c r="AA114" s="450"/>
      <c r="AB114" s="450"/>
      <c r="AC114" s="450"/>
      <c r="AD114" s="450"/>
      <c r="AE114" s="450"/>
      <c r="AF114" s="450"/>
      <c r="AG114" s="450"/>
      <c r="AH114" s="450"/>
    </row>
    <row r="115" spans="1:34" s="451" customFormat="1" hidden="1">
      <c r="A115" s="448"/>
      <c r="B115" s="457" t="s">
        <v>217</v>
      </c>
      <c r="C115" s="480" t="str">
        <f>K13</f>
        <v xml:space="preserve"> </v>
      </c>
      <c r="D115" s="458"/>
      <c r="E115" s="458"/>
      <c r="F115" s="458"/>
      <c r="G115" s="458"/>
      <c r="H115" s="459"/>
      <c r="J115" s="1185">
        <f t="shared" si="2"/>
        <v>0</v>
      </c>
      <c r="K115" s="1204"/>
      <c r="L115" s="1186"/>
      <c r="T115" s="448"/>
      <c r="U115" s="450"/>
      <c r="V115" s="450"/>
      <c r="W115" s="450"/>
      <c r="X115" s="450"/>
      <c r="Y115" s="450"/>
      <c r="Z115" s="450"/>
      <c r="AA115" s="450"/>
      <c r="AB115" s="450"/>
      <c r="AC115" s="450"/>
      <c r="AD115" s="450"/>
      <c r="AE115" s="450"/>
      <c r="AF115" s="450"/>
      <c r="AG115" s="450"/>
      <c r="AH115" s="450"/>
    </row>
    <row r="116" spans="1:34" s="451" customFormat="1" hidden="1">
      <c r="A116" s="448"/>
      <c r="B116" s="457" t="s">
        <v>218</v>
      </c>
      <c r="C116" s="481">
        <f>SMALL(C114:C115,1)</f>
        <v>10</v>
      </c>
      <c r="D116" s="458"/>
      <c r="E116" s="458"/>
      <c r="F116" s="458"/>
      <c r="G116" s="458"/>
      <c r="H116" s="459"/>
      <c r="J116" s="1185">
        <f t="shared" si="2"/>
        <v>0</v>
      </c>
      <c r="K116" s="1204"/>
      <c r="L116" s="1186"/>
      <c r="T116" s="448"/>
      <c r="U116" s="450"/>
      <c r="V116" s="450"/>
      <c r="W116" s="450"/>
      <c r="X116" s="450"/>
      <c r="Y116" s="450"/>
      <c r="Z116" s="450"/>
      <c r="AA116" s="450"/>
      <c r="AB116" s="450"/>
      <c r="AC116" s="450"/>
      <c r="AD116" s="450"/>
      <c r="AE116" s="450"/>
      <c r="AF116" s="450"/>
      <c r="AG116" s="450"/>
      <c r="AH116" s="450"/>
    </row>
    <row r="117" spans="1:34" s="451" customFormat="1" hidden="1">
      <c r="A117" s="448"/>
      <c r="B117" s="457"/>
      <c r="C117" s="481">
        <f>$C$116</f>
        <v>10</v>
      </c>
      <c r="D117" s="458"/>
      <c r="E117" s="458"/>
      <c r="F117" s="458"/>
      <c r="G117" s="458"/>
      <c r="H117" s="459"/>
      <c r="J117" s="1185">
        <f t="shared" si="2"/>
        <v>0</v>
      </c>
      <c r="K117" s="1204"/>
      <c r="L117" s="1186"/>
      <c r="T117" s="448"/>
      <c r="U117" s="450"/>
      <c r="V117" s="450"/>
      <c r="W117" s="450"/>
      <c r="X117" s="450"/>
      <c r="Y117" s="450"/>
      <c r="Z117" s="450"/>
      <c r="AA117" s="450"/>
      <c r="AB117" s="450"/>
      <c r="AC117" s="450"/>
      <c r="AD117" s="450"/>
      <c r="AE117" s="450"/>
      <c r="AF117" s="450"/>
      <c r="AG117" s="450"/>
      <c r="AH117" s="450"/>
    </row>
    <row r="118" spans="1:34" s="451" customFormat="1" hidden="1">
      <c r="A118" s="448"/>
      <c r="B118" s="457"/>
      <c r="C118" s="481">
        <f t="shared" ref="C118:C127" si="3">$C$116</f>
        <v>10</v>
      </c>
      <c r="D118" s="458"/>
      <c r="E118" s="458"/>
      <c r="F118" s="458"/>
      <c r="G118" s="458"/>
      <c r="H118" s="459"/>
      <c r="J118" s="1185">
        <f t="shared" si="2"/>
        <v>0</v>
      </c>
      <c r="K118" s="1204"/>
      <c r="L118" s="1186"/>
      <c r="T118" s="448"/>
      <c r="U118" s="450"/>
      <c r="V118" s="450"/>
      <c r="W118" s="450"/>
      <c r="X118" s="450"/>
      <c r="Y118" s="450"/>
      <c r="Z118" s="450"/>
      <c r="AA118" s="450"/>
      <c r="AB118" s="450"/>
      <c r="AC118" s="450"/>
      <c r="AD118" s="450"/>
      <c r="AE118" s="450"/>
      <c r="AF118" s="450"/>
      <c r="AG118" s="450"/>
      <c r="AH118" s="450"/>
    </row>
    <row r="119" spans="1:34" s="451" customFormat="1" ht="15" hidden="1" thickBot="1">
      <c r="A119" s="448"/>
      <c r="B119" s="457"/>
      <c r="C119" s="481">
        <f t="shared" si="3"/>
        <v>10</v>
      </c>
      <c r="D119" s="458"/>
      <c r="E119" s="458"/>
      <c r="F119" s="458"/>
      <c r="G119" s="458"/>
      <c r="H119" s="459"/>
      <c r="J119" s="1196">
        <f t="shared" si="2"/>
        <v>0</v>
      </c>
      <c r="K119" s="1203"/>
      <c r="L119" s="1197"/>
      <c r="T119" s="448"/>
      <c r="U119" s="450"/>
      <c r="V119" s="450"/>
      <c r="W119" s="450"/>
      <c r="X119" s="450"/>
      <c r="Y119" s="450"/>
      <c r="Z119" s="450"/>
      <c r="AA119" s="450"/>
      <c r="AB119" s="450"/>
      <c r="AC119" s="450"/>
      <c r="AD119" s="450"/>
      <c r="AE119" s="450"/>
      <c r="AF119" s="450"/>
      <c r="AG119" s="450"/>
      <c r="AH119" s="450"/>
    </row>
    <row r="120" spans="1:34" s="451" customFormat="1" hidden="1">
      <c r="A120" s="448"/>
      <c r="B120" s="457"/>
      <c r="C120" s="481">
        <f t="shared" si="3"/>
        <v>10</v>
      </c>
      <c r="D120" s="458"/>
      <c r="E120" s="458"/>
      <c r="F120" s="458"/>
      <c r="G120" s="458"/>
      <c r="H120" s="459"/>
      <c r="T120" s="448"/>
      <c r="U120" s="450"/>
      <c r="V120" s="450"/>
      <c r="W120" s="450"/>
      <c r="X120" s="450"/>
      <c r="Y120" s="450"/>
      <c r="Z120" s="450"/>
      <c r="AA120" s="450"/>
      <c r="AB120" s="450"/>
      <c r="AC120" s="450"/>
      <c r="AD120" s="450"/>
      <c r="AE120" s="450"/>
      <c r="AF120" s="450"/>
      <c r="AG120" s="450"/>
      <c r="AH120" s="450"/>
    </row>
    <row r="121" spans="1:34" s="451" customFormat="1" hidden="1">
      <c r="A121" s="448"/>
      <c r="B121" s="457"/>
      <c r="C121" s="481">
        <f t="shared" si="3"/>
        <v>10</v>
      </c>
      <c r="D121" s="458"/>
      <c r="E121" s="458"/>
      <c r="F121" s="458"/>
      <c r="G121" s="458"/>
      <c r="H121" s="459"/>
      <c r="T121" s="448"/>
      <c r="U121" s="450"/>
      <c r="V121" s="450"/>
      <c r="W121" s="450"/>
      <c r="X121" s="450"/>
      <c r="Y121" s="450"/>
      <c r="Z121" s="450"/>
      <c r="AA121" s="450"/>
      <c r="AB121" s="450"/>
      <c r="AC121" s="450"/>
      <c r="AD121" s="450"/>
      <c r="AE121" s="450"/>
      <c r="AF121" s="450"/>
      <c r="AG121" s="450"/>
      <c r="AH121" s="450"/>
    </row>
    <row r="122" spans="1:34" s="451" customFormat="1" hidden="1">
      <c r="A122" s="448"/>
      <c r="B122" s="457"/>
      <c r="C122" s="481">
        <f t="shared" si="3"/>
        <v>10</v>
      </c>
      <c r="D122" s="458"/>
      <c r="E122" s="458"/>
      <c r="F122" s="458"/>
      <c r="G122" s="458"/>
      <c r="H122" s="459"/>
      <c r="T122" s="448"/>
      <c r="U122" s="450"/>
      <c r="V122" s="450"/>
      <c r="W122" s="450"/>
      <c r="X122" s="450"/>
      <c r="Y122" s="450"/>
      <c r="Z122" s="450"/>
      <c r="AA122" s="450"/>
      <c r="AB122" s="450"/>
      <c r="AC122" s="450"/>
      <c r="AD122" s="450"/>
      <c r="AE122" s="450"/>
      <c r="AF122" s="450"/>
      <c r="AG122" s="450"/>
      <c r="AH122" s="450"/>
    </row>
    <row r="123" spans="1:34" s="451" customFormat="1" hidden="1">
      <c r="A123" s="448"/>
      <c r="B123" s="457"/>
      <c r="C123" s="481">
        <f t="shared" si="3"/>
        <v>10</v>
      </c>
      <c r="D123" s="458"/>
      <c r="E123" s="458"/>
      <c r="F123" s="458"/>
      <c r="G123" s="458"/>
      <c r="H123" s="459"/>
      <c r="T123" s="448"/>
      <c r="U123" s="450"/>
      <c r="V123" s="450"/>
      <c r="W123" s="450"/>
      <c r="X123" s="450"/>
      <c r="Y123" s="450"/>
      <c r="Z123" s="450"/>
      <c r="AA123" s="450"/>
      <c r="AB123" s="450"/>
      <c r="AC123" s="450"/>
      <c r="AD123" s="450"/>
      <c r="AE123" s="450"/>
      <c r="AF123" s="450"/>
      <c r="AG123" s="450"/>
      <c r="AH123" s="450"/>
    </row>
    <row r="124" spans="1:34" s="451" customFormat="1" hidden="1">
      <c r="A124" s="448"/>
      <c r="B124" s="457"/>
      <c r="C124" s="481">
        <f t="shared" si="3"/>
        <v>10</v>
      </c>
      <c r="D124" s="458"/>
      <c r="E124" s="458"/>
      <c r="F124" s="458"/>
      <c r="G124" s="458"/>
      <c r="H124" s="459"/>
      <c r="T124" s="448"/>
      <c r="U124" s="450"/>
      <c r="V124" s="450"/>
      <c r="W124" s="450"/>
      <c r="X124" s="450"/>
      <c r="Y124" s="450"/>
      <c r="Z124" s="450"/>
      <c r="AA124" s="450"/>
      <c r="AB124" s="450"/>
      <c r="AC124" s="450"/>
      <c r="AD124" s="450"/>
      <c r="AE124" s="450"/>
      <c r="AF124" s="450"/>
      <c r="AG124" s="450"/>
      <c r="AH124" s="450"/>
    </row>
    <row r="125" spans="1:34" s="451" customFormat="1" hidden="1">
      <c r="A125" s="448"/>
      <c r="B125" s="457"/>
      <c r="C125" s="481">
        <f t="shared" si="3"/>
        <v>10</v>
      </c>
      <c r="D125" s="458"/>
      <c r="E125" s="458"/>
      <c r="F125" s="458"/>
      <c r="G125" s="458"/>
      <c r="H125" s="459"/>
      <c r="T125" s="448"/>
      <c r="U125" s="450"/>
      <c r="V125" s="450"/>
      <c r="W125" s="450"/>
      <c r="X125" s="450"/>
      <c r="Y125" s="450"/>
      <c r="Z125" s="450"/>
      <c r="AA125" s="450"/>
      <c r="AB125" s="450"/>
      <c r="AC125" s="450"/>
      <c r="AD125" s="450"/>
      <c r="AE125" s="450"/>
      <c r="AF125" s="450"/>
      <c r="AG125" s="450"/>
      <c r="AH125" s="450"/>
    </row>
    <row r="126" spans="1:34" s="451" customFormat="1" hidden="1">
      <c r="A126" s="448"/>
      <c r="B126" s="457"/>
      <c r="C126" s="481">
        <f t="shared" si="3"/>
        <v>10</v>
      </c>
      <c r="D126" s="458"/>
      <c r="E126" s="458"/>
      <c r="F126" s="458"/>
      <c r="G126" s="458"/>
      <c r="H126" s="459"/>
      <c r="T126" s="448"/>
      <c r="U126" s="450"/>
      <c r="V126" s="450"/>
      <c r="W126" s="450"/>
      <c r="X126" s="450"/>
      <c r="Y126" s="450"/>
      <c r="Z126" s="450"/>
      <c r="AA126" s="450"/>
      <c r="AB126" s="450"/>
      <c r="AC126" s="450"/>
      <c r="AD126" s="450"/>
      <c r="AE126" s="450"/>
      <c r="AF126" s="450"/>
      <c r="AG126" s="450"/>
      <c r="AH126" s="450"/>
    </row>
    <row r="127" spans="1:34" s="451" customFormat="1" hidden="1">
      <c r="A127" s="448"/>
      <c r="B127" s="457"/>
      <c r="C127" s="481">
        <f t="shared" si="3"/>
        <v>10</v>
      </c>
      <c r="D127" s="458"/>
      <c r="E127" s="458"/>
      <c r="F127" s="458"/>
      <c r="G127" s="458"/>
      <c r="H127" s="459"/>
      <c r="T127" s="448"/>
      <c r="U127" s="450"/>
      <c r="V127" s="450"/>
      <c r="W127" s="450"/>
      <c r="X127" s="450"/>
      <c r="Y127" s="450"/>
      <c r="Z127" s="450"/>
      <c r="AA127" s="450"/>
      <c r="AB127" s="450"/>
      <c r="AC127" s="450"/>
      <c r="AD127" s="450"/>
      <c r="AE127" s="450"/>
      <c r="AF127" s="450"/>
      <c r="AG127" s="450"/>
      <c r="AH127" s="450"/>
    </row>
    <row r="128" spans="1:34" s="451" customFormat="1" ht="15" hidden="1" thickBot="1">
      <c r="A128" s="448"/>
      <c r="B128" s="473"/>
      <c r="C128" s="474"/>
      <c r="D128" s="474"/>
      <c r="E128" s="474"/>
      <c r="F128" s="474"/>
      <c r="G128" s="474"/>
      <c r="H128" s="475"/>
      <c r="T128" s="448"/>
      <c r="U128" s="450"/>
      <c r="V128" s="450"/>
      <c r="W128" s="450"/>
      <c r="X128" s="450"/>
      <c r="Y128" s="450"/>
      <c r="Z128" s="450"/>
      <c r="AA128" s="450"/>
      <c r="AB128" s="450"/>
      <c r="AC128" s="450"/>
      <c r="AD128" s="450"/>
      <c r="AE128" s="450"/>
      <c r="AF128" s="450"/>
      <c r="AG128" s="450"/>
      <c r="AH128" s="450"/>
    </row>
    <row r="129" spans="1:34" s="451" customFormat="1" hidden="1">
      <c r="A129" s="448"/>
      <c r="T129" s="448"/>
      <c r="U129" s="450"/>
      <c r="V129" s="450"/>
      <c r="W129" s="450"/>
      <c r="X129" s="450"/>
      <c r="Y129" s="450"/>
      <c r="Z129" s="450"/>
      <c r="AA129" s="450"/>
      <c r="AB129" s="450"/>
      <c r="AC129" s="450"/>
      <c r="AD129" s="450"/>
      <c r="AE129" s="450"/>
      <c r="AF129" s="450"/>
      <c r="AG129" s="450"/>
      <c r="AH129" s="450"/>
    </row>
    <row r="130" spans="1:34" s="451" customFormat="1" hidden="1">
      <c r="A130" s="448"/>
      <c r="T130" s="448"/>
      <c r="U130" s="450"/>
      <c r="V130" s="450"/>
      <c r="W130" s="450"/>
      <c r="X130" s="450"/>
      <c r="Y130" s="450"/>
      <c r="Z130" s="450"/>
      <c r="AA130" s="450"/>
      <c r="AB130" s="450"/>
      <c r="AC130" s="450"/>
      <c r="AD130" s="450"/>
      <c r="AE130" s="450"/>
      <c r="AF130" s="450"/>
      <c r="AG130" s="450"/>
      <c r="AH130" s="450"/>
    </row>
    <row r="131" spans="1:34" s="451" customFormat="1" ht="15" hidden="1" thickBot="1">
      <c r="A131" s="448"/>
      <c r="B131" s="451" t="s">
        <v>348</v>
      </c>
      <c r="T131" s="448"/>
      <c r="U131" s="450"/>
      <c r="V131" s="450"/>
      <c r="W131" s="450"/>
      <c r="X131" s="450"/>
      <c r="Y131" s="450"/>
      <c r="Z131" s="450"/>
      <c r="AA131" s="450"/>
      <c r="AB131" s="450"/>
      <c r="AC131" s="450"/>
      <c r="AD131" s="450"/>
      <c r="AE131" s="450"/>
      <c r="AF131" s="450"/>
      <c r="AG131" s="450"/>
      <c r="AH131" s="450"/>
    </row>
    <row r="132" spans="1:34" s="451" customFormat="1" ht="15" hidden="1" thickBot="1">
      <c r="A132" s="448"/>
      <c r="B132" s="453" t="s">
        <v>350</v>
      </c>
      <c r="C132" s="482" t="s">
        <v>349</v>
      </c>
      <c r="D132" s="455"/>
      <c r="T132" s="448"/>
      <c r="U132" s="450"/>
      <c r="V132" s="450"/>
      <c r="W132" s="450"/>
      <c r="X132" s="450"/>
      <c r="Y132" s="450"/>
      <c r="Z132" s="450"/>
      <c r="AA132" s="450"/>
      <c r="AB132" s="450"/>
      <c r="AC132" s="450"/>
      <c r="AD132" s="450"/>
      <c r="AE132" s="450"/>
      <c r="AF132" s="450"/>
      <c r="AG132" s="450"/>
      <c r="AH132" s="450"/>
    </row>
    <row r="133" spans="1:34" s="451" customFormat="1" ht="15" hidden="1" thickBot="1">
      <c r="A133" s="448"/>
      <c r="B133" s="483">
        <v>30000</v>
      </c>
      <c r="C133" s="484">
        <v>360</v>
      </c>
      <c r="D133" s="459"/>
      <c r="T133" s="448"/>
      <c r="U133" s="450"/>
      <c r="V133" s="450"/>
      <c r="W133" s="450"/>
      <c r="X133" s="450"/>
      <c r="Y133" s="450"/>
      <c r="Z133" s="450"/>
      <c r="AA133" s="450"/>
      <c r="AB133" s="450"/>
      <c r="AC133" s="450"/>
      <c r="AD133" s="450"/>
      <c r="AE133" s="450"/>
      <c r="AF133" s="450"/>
      <c r="AG133" s="450"/>
      <c r="AH133" s="450"/>
    </row>
    <row r="134" spans="1:34" s="451" customFormat="1" ht="15" hidden="1" thickBot="1">
      <c r="A134" s="448"/>
      <c r="B134" s="485">
        <v>5000</v>
      </c>
      <c r="C134" s="479">
        <v>225</v>
      </c>
      <c r="D134" s="459"/>
      <c r="T134" s="448"/>
      <c r="U134" s="450"/>
      <c r="V134" s="450"/>
      <c r="W134" s="450"/>
      <c r="X134" s="450"/>
      <c r="Y134" s="450"/>
      <c r="Z134" s="450"/>
      <c r="AA134" s="450"/>
      <c r="AB134" s="450"/>
      <c r="AC134" s="450"/>
      <c r="AD134" s="450"/>
      <c r="AE134" s="450"/>
      <c r="AF134" s="450"/>
      <c r="AG134" s="450"/>
      <c r="AH134" s="450"/>
    </row>
    <row r="135" spans="1:34" s="451" customFormat="1" ht="15" hidden="1" thickBot="1">
      <c r="A135" s="448"/>
      <c r="B135" s="483">
        <v>300</v>
      </c>
      <c r="C135" s="484">
        <v>410</v>
      </c>
      <c r="D135" s="459">
        <v>500</v>
      </c>
      <c r="T135" s="448"/>
      <c r="U135" s="450"/>
      <c r="V135" s="450"/>
      <c r="W135" s="450"/>
      <c r="X135" s="450"/>
      <c r="Y135" s="450"/>
      <c r="Z135" s="450"/>
      <c r="AA135" s="450"/>
      <c r="AB135" s="450"/>
      <c r="AC135" s="450"/>
      <c r="AD135" s="450"/>
      <c r="AE135" s="450"/>
      <c r="AF135" s="450"/>
      <c r="AG135" s="450"/>
      <c r="AH135" s="450"/>
    </row>
    <row r="136" spans="1:34" s="451" customFormat="1" hidden="1">
      <c r="A136" s="448"/>
      <c r="B136" s="457"/>
      <c r="C136" s="479"/>
      <c r="D136" s="459"/>
      <c r="T136" s="448"/>
      <c r="U136" s="450"/>
      <c r="V136" s="450"/>
      <c r="W136" s="450"/>
      <c r="X136" s="450"/>
      <c r="Y136" s="450"/>
      <c r="Z136" s="450"/>
      <c r="AA136" s="450"/>
      <c r="AB136" s="450"/>
      <c r="AC136" s="450"/>
      <c r="AD136" s="450"/>
      <c r="AE136" s="450"/>
      <c r="AF136" s="450"/>
      <c r="AG136" s="450"/>
      <c r="AH136" s="450"/>
    </row>
    <row r="137" spans="1:34" s="451" customFormat="1" hidden="1">
      <c r="A137" s="448"/>
      <c r="B137" s="457"/>
      <c r="C137" s="479"/>
      <c r="D137" s="459"/>
      <c r="T137" s="448"/>
      <c r="U137" s="450"/>
      <c r="V137" s="450"/>
      <c r="W137" s="450"/>
      <c r="X137" s="450"/>
      <c r="Y137" s="450"/>
      <c r="Z137" s="450"/>
      <c r="AA137" s="450"/>
      <c r="AB137" s="450"/>
      <c r="AC137" s="450"/>
      <c r="AD137" s="450"/>
      <c r="AE137" s="450"/>
      <c r="AF137" s="450"/>
      <c r="AG137" s="450"/>
      <c r="AH137" s="450"/>
    </row>
    <row r="138" spans="1:34" s="451" customFormat="1" hidden="1">
      <c r="A138" s="448"/>
      <c r="B138" s="457" t="s">
        <v>351</v>
      </c>
      <c r="C138" s="479">
        <f>IF(N88&lt;B135,C135*N88,IF(N88&lt;B134,C134*N88,C133*N88))</f>
        <v>12300</v>
      </c>
      <c r="D138" s="459"/>
      <c r="T138" s="448"/>
      <c r="U138" s="450"/>
      <c r="V138" s="450"/>
      <c r="W138" s="450"/>
      <c r="X138" s="450"/>
      <c r="Y138" s="450"/>
      <c r="Z138" s="450"/>
      <c r="AA138" s="450"/>
      <c r="AB138" s="450"/>
      <c r="AC138" s="450"/>
      <c r="AD138" s="450"/>
      <c r="AE138" s="450"/>
      <c r="AF138" s="450"/>
      <c r="AG138" s="450"/>
      <c r="AH138" s="450"/>
    </row>
    <row r="139" spans="1:34" s="451" customFormat="1" ht="15" hidden="1" thickBot="1">
      <c r="A139" s="448"/>
      <c r="B139" s="473" t="s">
        <v>352</v>
      </c>
      <c r="C139" s="486">
        <f>IF(N91&lt;B135,C135*N91,IF(N91&lt;B134,C134*N91,C133*N91))</f>
        <v>0</v>
      </c>
      <c r="D139" s="475"/>
      <c r="T139" s="448"/>
      <c r="U139" s="450"/>
      <c r="V139" s="450"/>
      <c r="W139" s="450"/>
      <c r="X139" s="450"/>
      <c r="Y139" s="450"/>
      <c r="Z139" s="450"/>
      <c r="AA139" s="450"/>
      <c r="AB139" s="450"/>
      <c r="AC139" s="450"/>
      <c r="AD139" s="450"/>
      <c r="AE139" s="450"/>
      <c r="AF139" s="450"/>
      <c r="AG139" s="450"/>
      <c r="AH139" s="450"/>
    </row>
    <row r="140" spans="1:34" s="451" customFormat="1" hidden="1">
      <c r="A140" s="448"/>
      <c r="T140" s="448"/>
      <c r="U140" s="450"/>
      <c r="V140" s="450"/>
      <c r="W140" s="450"/>
      <c r="X140" s="450"/>
      <c r="Y140" s="450"/>
      <c r="Z140" s="450"/>
      <c r="AA140" s="450"/>
      <c r="AB140" s="450"/>
      <c r="AC140" s="450"/>
      <c r="AD140" s="450"/>
      <c r="AE140" s="450"/>
      <c r="AF140" s="450"/>
      <c r="AG140" s="450"/>
      <c r="AH140" s="450"/>
    </row>
    <row r="141" spans="1:34" s="451" customFormat="1" hidden="1">
      <c r="A141" s="448"/>
      <c r="T141" s="448"/>
    </row>
    <row r="142" spans="1:34" s="451" customFormat="1" hidden="1">
      <c r="A142" s="448"/>
      <c r="T142" s="448"/>
    </row>
    <row r="143" spans="1:34" s="451" customFormat="1" hidden="1">
      <c r="A143" s="448"/>
      <c r="T143" s="448"/>
    </row>
    <row r="144" spans="1:34" s="451" customFormat="1" hidden="1">
      <c r="A144" s="448"/>
      <c r="B144" s="451" t="s">
        <v>410</v>
      </c>
      <c r="T144" s="448"/>
    </row>
    <row r="145" spans="1:20" s="451" customFormat="1" hidden="1">
      <c r="A145" s="448"/>
      <c r="T145" s="448"/>
    </row>
  </sheetData>
  <sheetProtection password="B1AA" sheet="1" selectLockedCells="1"/>
  <mergeCells count="72">
    <mergeCell ref="G98:H98"/>
    <mergeCell ref="G95:H95"/>
    <mergeCell ref="G93:H93"/>
    <mergeCell ref="B94:C94"/>
    <mergeCell ref="B95:C95"/>
    <mergeCell ref="G94:H94"/>
    <mergeCell ref="B97:C97"/>
    <mergeCell ref="G97:H97"/>
    <mergeCell ref="G96:H96"/>
    <mergeCell ref="E10:F10"/>
    <mergeCell ref="J40:M43"/>
    <mergeCell ref="M18:M19"/>
    <mergeCell ref="E51:G51"/>
    <mergeCell ref="E44:G44"/>
    <mergeCell ref="K12:L12"/>
    <mergeCell ref="C14:C15"/>
    <mergeCell ref="C18:D18"/>
    <mergeCell ref="L98:M98"/>
    <mergeCell ref="N8:R8"/>
    <mergeCell ref="K9:L9"/>
    <mergeCell ref="E9:F9"/>
    <mergeCell ref="E13:F13"/>
    <mergeCell ref="N16:S19"/>
    <mergeCell ref="I18:J19"/>
    <mergeCell ref="E12:F12"/>
    <mergeCell ref="E18:F18"/>
    <mergeCell ref="I14:J14"/>
    <mergeCell ref="K10:L10"/>
    <mergeCell ref="I20:M20"/>
    <mergeCell ref="E50:G50"/>
    <mergeCell ref="E52:G52"/>
    <mergeCell ref="K13:L13"/>
    <mergeCell ref="F25:G25"/>
    <mergeCell ref="E19:F19"/>
    <mergeCell ref="K18:L19"/>
    <mergeCell ref="E46:G46"/>
    <mergeCell ref="G99:H99"/>
    <mergeCell ref="J118:L118"/>
    <mergeCell ref="J116:L116"/>
    <mergeCell ref="J117:L117"/>
    <mergeCell ref="J107:L107"/>
    <mergeCell ref="J115:L115"/>
    <mergeCell ref="H108:I108"/>
    <mergeCell ref="J109:L109"/>
    <mergeCell ref="J110:L110"/>
    <mergeCell ref="G100:H100"/>
    <mergeCell ref="G101:H101"/>
    <mergeCell ref="J119:L119"/>
    <mergeCell ref="J113:L113"/>
    <mergeCell ref="J114:L114"/>
    <mergeCell ref="J111:L111"/>
    <mergeCell ref="J112:L112"/>
    <mergeCell ref="E100:F100"/>
    <mergeCell ref="G102:H102"/>
    <mergeCell ref="E107:F107"/>
    <mergeCell ref="J108:L108"/>
    <mergeCell ref="E108:F108"/>
    <mergeCell ref="B92:C92"/>
    <mergeCell ref="C20:D20"/>
    <mergeCell ref="E48:G48"/>
    <mergeCell ref="E53:G53"/>
    <mergeCell ref="G92:H92"/>
    <mergeCell ref="C40:H40"/>
    <mergeCell ref="E49:G49"/>
    <mergeCell ref="E42:G42"/>
    <mergeCell ref="E43:G43"/>
    <mergeCell ref="E45:G45"/>
    <mergeCell ref="E55:G55"/>
    <mergeCell ref="G91:H91"/>
    <mergeCell ref="C59:H59"/>
    <mergeCell ref="E54:G54"/>
    <mergeCell ref="E47:G47"/>
  </mergeCells>
  <phoneticPr fontId="26" type="noConversion"/>
  <dataValidations count="2">
    <dataValidation type="list" allowBlank="1" showInputMessage="1" showErrorMessage="1" sqref="E5:E6 H4 K5:K6">
      <formula1>"1,2"</formula1>
    </dataValidation>
    <dataValidation type="list" allowBlank="1" showInputMessage="1" showErrorMessage="1" sqref="D8 J8">
      <formula1>"Automatic,Defined By User"</formula1>
    </dataValidation>
  </dataValidations>
  <hyperlinks>
    <hyperlink ref="J40:M43" location="'Fuel Comparator and Consumption'!A1" display="Fuel Consumption Data"/>
    <hyperlink ref="C14:C15" location="'Main Menu'!A1" display="RETURN TO MAIN MENU"/>
  </hyperlink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15</vt:i4>
      </vt:variant>
    </vt:vector>
  </HeadingPairs>
  <TitlesOfParts>
    <vt:vector size="15" baseType="lpstr">
      <vt:lpstr>Welcome</vt:lpstr>
      <vt:lpstr>Main Menu</vt:lpstr>
      <vt:lpstr>Heat Demand Model</vt:lpstr>
      <vt:lpstr>User Input</vt:lpstr>
      <vt:lpstr>Temperature Data Scotland</vt:lpstr>
      <vt:lpstr>Degree days C.F and HWS</vt:lpstr>
      <vt:lpstr>Woodchip</vt:lpstr>
      <vt:lpstr>Pellet</vt:lpstr>
      <vt:lpstr>Boiler </vt:lpstr>
      <vt:lpstr>Fuel Comparator and Consumption</vt:lpstr>
      <vt:lpstr>Storage options</vt:lpstr>
      <vt:lpstr>Thermal Buffer</vt:lpstr>
      <vt:lpstr>Funding</vt:lpstr>
      <vt:lpstr>WoodChip CO2 calculator</vt:lpstr>
      <vt:lpstr>Results</vt:lpstr>
    </vt:vector>
  </TitlesOfParts>
  <Company>Sony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LucasLira</dc:creator>
  <cp:lastModifiedBy>LucasLira</cp:lastModifiedBy>
  <cp:lastPrinted>2008-02-26T12:49:06Z</cp:lastPrinted>
  <dcterms:created xsi:type="dcterms:W3CDTF">2008-02-08T23:18:20Z</dcterms:created>
  <dcterms:modified xsi:type="dcterms:W3CDTF">2008-06-27T08:08:23Z</dcterms:modified>
</cp:coreProperties>
</file>