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wnloads\"/>
    </mc:Choice>
  </mc:AlternateContent>
  <bookViews>
    <workbookView xWindow="0" yWindow="0" windowWidth="23040" windowHeight="9060"/>
  </bookViews>
  <sheets>
    <sheet name="INDEX" sheetId="26" r:id="rId1"/>
    <sheet name="GUI" sheetId="27" r:id="rId2"/>
    <sheet name="PRs Analysis" sheetId="7" r:id="rId3"/>
    <sheet name="Business as Usual PR" sheetId="11" r:id="rId4"/>
    <sheet name="Intermediate Limit PR" sheetId="6" r:id="rId5"/>
    <sheet name="Upper Limit  PR" sheetId="2" r:id="rId6"/>
    <sheet name="Nº Cars Projection" sheetId="20" r:id="rId7"/>
    <sheet name="Scenarios" sheetId="10" r:id="rId8"/>
    <sheet name="Demand " sheetId="16" r:id="rId9"/>
    <sheet name="Grid" sheetId="17" r:id="rId10"/>
    <sheet name="Charging " sheetId="5" r:id="rId11"/>
    <sheet name="Tax Revenue Lost" sheetId="21" r:id="rId12"/>
    <sheet name="Lithium and REE" sheetId="25" r:id="rId13"/>
    <sheet name="CO2" sheetId="23" r:id="rId14"/>
    <sheet name="NOx " sheetId="22" r:id="rId15"/>
  </sheets>
  <definedNames>
    <definedName name="_xlnm._FilterDatabase" localSheetId="4" hidden="1">'Intermediate Limit PR'!$C$19:$C$41</definedName>
    <definedName name="_xlnm._FilterDatabase" localSheetId="5" hidden="1">'Upper Limit  PR'!$J$62:$J$65</definedName>
    <definedName name="Z_6CD3DBEE_3ADC_5D4E_9E8E_2656A4A55EE6_.wvu.FilterData" localSheetId="4" hidden="1">'Intermediate Limit PR'!$C$19:$C$41</definedName>
  </definedNames>
  <calcPr calcId="171027"/>
  <customWorkbookViews>
    <customWorkbookView name="Louise Comrie - Personal View" guid="{6CD3DBEE-3ADC-5D4E-9E8E-2656A4A55EE6}" mergeInterval="0" personalView="1" yWindow="23" windowWidth="1366" windowHeight="674" activeSheetId="5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27" l="1"/>
  <c r="B70" i="27"/>
  <c r="B71" i="27"/>
  <c r="B72" i="27"/>
  <c r="B73" i="27"/>
  <c r="B74" i="27"/>
  <c r="B75" i="27"/>
  <c r="B76" i="27"/>
  <c r="B77" i="27"/>
  <c r="B78" i="27"/>
  <c r="B79" i="27"/>
  <c r="B80" i="27"/>
  <c r="B81" i="27"/>
  <c r="B82" i="27"/>
  <c r="B83" i="27"/>
  <c r="B84" i="27"/>
  <c r="B85" i="27"/>
  <c r="A3" i="21" l="1"/>
  <c r="H50" i="21"/>
  <c r="I50" i="21" s="1"/>
  <c r="H51" i="21"/>
  <c r="I51" i="21"/>
  <c r="J51" i="21"/>
  <c r="S51" i="21"/>
  <c r="U51" i="21" s="1"/>
  <c r="R52" i="21"/>
  <c r="R53" i="21"/>
  <c r="H55" i="21"/>
  <c r="H56" i="21"/>
  <c r="H57" i="21"/>
  <c r="H58" i="21"/>
  <c r="H59" i="21"/>
  <c r="H60" i="21"/>
  <c r="H61" i="21"/>
  <c r="H62" i="21"/>
  <c r="J50" i="21" l="1"/>
  <c r="S50" i="21" s="1"/>
  <c r="U50" i="21" s="1"/>
  <c r="U52" i="21" s="1"/>
  <c r="AW62" i="25" l="1"/>
  <c r="AW65" i="25" s="1"/>
  <c r="AR62" i="25"/>
  <c r="AR65" i="25" s="1"/>
  <c r="AM62" i="25"/>
  <c r="AM65" i="25" s="1"/>
  <c r="AG62" i="25"/>
  <c r="AG65" i="25" s="1"/>
  <c r="AB62" i="25"/>
  <c r="AB65" i="25" s="1"/>
  <c r="AW11" i="25"/>
  <c r="AX11" i="25"/>
  <c r="AY11" i="25"/>
  <c r="AW12" i="25"/>
  <c r="AX12" i="25"/>
  <c r="AY12" i="25"/>
  <c r="AW13" i="25"/>
  <c r="AX13" i="25"/>
  <c r="AY13" i="25"/>
  <c r="AW14" i="25"/>
  <c r="AX14" i="25"/>
  <c r="AY14" i="25"/>
  <c r="AW15" i="25"/>
  <c r="AX15" i="25"/>
  <c r="AY15" i="25"/>
  <c r="AW16" i="25"/>
  <c r="AX16" i="25"/>
  <c r="AY16" i="25"/>
  <c r="AW17" i="25"/>
  <c r="AX17" i="25"/>
  <c r="AY17" i="25"/>
  <c r="AW18" i="25"/>
  <c r="AX18" i="25"/>
  <c r="AY18" i="25"/>
  <c r="AW19" i="25"/>
  <c r="AX19" i="25"/>
  <c r="AY19" i="25"/>
  <c r="AW20" i="25"/>
  <c r="AX20" i="25"/>
  <c r="AY20" i="25"/>
  <c r="AW21" i="25"/>
  <c r="AX21" i="25"/>
  <c r="AY21" i="25"/>
  <c r="AW22" i="25"/>
  <c r="AX22" i="25"/>
  <c r="AY22" i="25"/>
  <c r="AW23" i="25"/>
  <c r="AX23" i="25"/>
  <c r="AY23" i="25"/>
  <c r="AW24" i="25"/>
  <c r="AX24" i="25"/>
  <c r="AY24" i="25"/>
  <c r="AW25" i="25"/>
  <c r="AX25" i="25"/>
  <c r="AY25" i="25"/>
  <c r="AW26" i="25"/>
  <c r="AX26" i="25"/>
  <c r="AY26" i="25"/>
  <c r="AW27" i="25"/>
  <c r="AX27" i="25"/>
  <c r="AY27" i="25"/>
  <c r="AW28" i="25"/>
  <c r="AX28" i="25"/>
  <c r="AY28" i="25"/>
  <c r="AW29" i="25"/>
  <c r="AX29" i="25"/>
  <c r="AY29" i="25"/>
  <c r="AW30" i="25"/>
  <c r="AX30" i="25"/>
  <c r="AY30" i="25"/>
  <c r="AW31" i="25"/>
  <c r="AX31" i="25"/>
  <c r="AY31" i="25"/>
  <c r="AW32" i="25"/>
  <c r="AX32" i="25"/>
  <c r="AY32" i="25"/>
  <c r="AW33" i="25"/>
  <c r="AX33" i="25"/>
  <c r="AY33" i="25"/>
  <c r="AW34" i="25"/>
  <c r="AX34" i="25"/>
  <c r="AY34" i="25"/>
  <c r="AW35" i="25"/>
  <c r="AX35" i="25"/>
  <c r="AY35" i="25"/>
  <c r="AW36" i="25"/>
  <c r="AX36" i="25"/>
  <c r="AY36" i="25"/>
  <c r="AW37" i="25"/>
  <c r="AX37" i="25"/>
  <c r="AY37" i="25"/>
  <c r="AW38" i="25"/>
  <c r="AX38" i="25"/>
  <c r="AY38" i="25"/>
  <c r="AW39" i="25"/>
  <c r="AX39" i="25"/>
  <c r="AY39" i="25"/>
  <c r="AW40" i="25"/>
  <c r="AX40" i="25"/>
  <c r="AY40" i="25"/>
  <c r="AW41" i="25"/>
  <c r="AX41" i="25"/>
  <c r="AY41" i="25"/>
  <c r="AW42" i="25"/>
  <c r="AX42" i="25"/>
  <c r="AY42" i="25"/>
  <c r="AW43" i="25"/>
  <c r="AX43" i="25"/>
  <c r="AY43" i="25"/>
  <c r="AW44" i="25"/>
  <c r="AX44" i="25"/>
  <c r="AY44" i="25"/>
  <c r="AW45" i="25"/>
  <c r="AX45" i="25"/>
  <c r="AY45" i="25"/>
  <c r="AW46" i="25"/>
  <c r="AX46" i="25"/>
  <c r="AY46" i="25"/>
  <c r="AW47" i="25"/>
  <c r="AX47" i="25"/>
  <c r="AY47" i="25"/>
  <c r="AW48" i="25"/>
  <c r="AX48" i="25"/>
  <c r="AY48" i="25"/>
  <c r="AW49" i="25"/>
  <c r="AX49" i="25"/>
  <c r="AY49" i="25"/>
  <c r="AW50" i="25"/>
  <c r="AX50" i="25"/>
  <c r="AY50" i="25"/>
  <c r="AW51" i="25"/>
  <c r="AX51" i="25"/>
  <c r="AY51" i="25"/>
  <c r="AW52" i="25"/>
  <c r="AX52" i="25"/>
  <c r="AY52" i="25"/>
  <c r="AW53" i="25"/>
  <c r="AX53" i="25"/>
  <c r="AY53" i="25"/>
  <c r="AW54" i="25"/>
  <c r="AX54" i="25"/>
  <c r="AY54" i="25"/>
  <c r="AW55" i="25"/>
  <c r="AX55" i="25"/>
  <c r="AY55" i="25"/>
  <c r="AW56" i="25"/>
  <c r="AX56" i="25"/>
  <c r="AY56" i="25"/>
  <c r="AW57" i="25"/>
  <c r="AX57" i="25"/>
  <c r="AY57" i="25"/>
  <c r="AW58" i="25"/>
  <c r="AX58" i="25"/>
  <c r="AY58" i="25"/>
  <c r="AW59" i="25"/>
  <c r="AX59" i="25"/>
  <c r="AY59" i="25"/>
  <c r="AY10" i="25"/>
  <c r="AX10" i="25"/>
  <c r="AW10" i="25"/>
  <c r="AR11" i="25"/>
  <c r="AS11" i="25"/>
  <c r="AT11" i="25"/>
  <c r="AR12" i="25"/>
  <c r="AS12" i="25"/>
  <c r="AT12" i="25"/>
  <c r="AR13" i="25"/>
  <c r="AS13" i="25"/>
  <c r="AT13" i="25"/>
  <c r="AR14" i="25"/>
  <c r="AS14" i="25"/>
  <c r="AT14" i="25"/>
  <c r="AR15" i="25"/>
  <c r="AS15" i="25"/>
  <c r="AT15" i="25"/>
  <c r="AR16" i="25"/>
  <c r="AS16" i="25"/>
  <c r="AT16" i="25"/>
  <c r="AR17" i="25"/>
  <c r="AS17" i="25"/>
  <c r="AT17" i="25"/>
  <c r="AR18" i="25"/>
  <c r="AS18" i="25"/>
  <c r="AT18" i="25"/>
  <c r="AR19" i="25"/>
  <c r="AS19" i="25"/>
  <c r="AT19" i="25"/>
  <c r="AR20" i="25"/>
  <c r="AS20" i="25"/>
  <c r="AT20" i="25"/>
  <c r="AR21" i="25"/>
  <c r="AS21" i="25"/>
  <c r="AT21" i="25"/>
  <c r="AR22" i="25"/>
  <c r="AS22" i="25"/>
  <c r="AT22" i="25"/>
  <c r="AR23" i="25"/>
  <c r="AS23" i="25"/>
  <c r="AT23" i="25"/>
  <c r="AR24" i="25"/>
  <c r="AS24" i="25"/>
  <c r="AT24" i="25"/>
  <c r="AR25" i="25"/>
  <c r="AS25" i="25"/>
  <c r="AT25" i="25"/>
  <c r="AR26" i="25"/>
  <c r="AS26" i="25"/>
  <c r="AT26" i="25"/>
  <c r="AR27" i="25"/>
  <c r="AS27" i="25"/>
  <c r="AT27" i="25"/>
  <c r="AR28" i="25"/>
  <c r="AS28" i="25"/>
  <c r="AT28" i="25"/>
  <c r="AR29" i="25"/>
  <c r="AS29" i="25"/>
  <c r="AT29" i="25"/>
  <c r="AR30" i="25"/>
  <c r="AS30" i="25"/>
  <c r="AT30" i="25"/>
  <c r="AR31" i="25"/>
  <c r="AS31" i="25"/>
  <c r="AT31" i="25"/>
  <c r="AR32" i="25"/>
  <c r="AS32" i="25"/>
  <c r="AT32" i="25"/>
  <c r="AR33" i="25"/>
  <c r="AS33" i="25"/>
  <c r="AT33" i="25"/>
  <c r="AR34" i="25"/>
  <c r="AS34" i="25"/>
  <c r="AT34" i="25"/>
  <c r="AR35" i="25"/>
  <c r="AS35" i="25"/>
  <c r="AT35" i="25"/>
  <c r="AR36" i="25"/>
  <c r="AS36" i="25"/>
  <c r="AT36" i="25"/>
  <c r="AR37" i="25"/>
  <c r="AS37" i="25"/>
  <c r="AT37" i="25"/>
  <c r="AR38" i="25"/>
  <c r="AS38" i="25"/>
  <c r="AT38" i="25"/>
  <c r="AR39" i="25"/>
  <c r="AS39" i="25"/>
  <c r="AT39" i="25"/>
  <c r="AR40" i="25"/>
  <c r="AS40" i="25"/>
  <c r="AT40" i="25"/>
  <c r="AR41" i="25"/>
  <c r="AS41" i="25"/>
  <c r="AT41" i="25"/>
  <c r="AR42" i="25"/>
  <c r="AS42" i="25"/>
  <c r="AT42" i="25"/>
  <c r="AR43" i="25"/>
  <c r="AS43" i="25"/>
  <c r="AT43" i="25"/>
  <c r="AR44" i="25"/>
  <c r="AS44" i="25"/>
  <c r="AT44" i="25"/>
  <c r="AR45" i="25"/>
  <c r="AS45" i="25"/>
  <c r="AT45" i="25"/>
  <c r="AR46" i="25"/>
  <c r="AS46" i="25"/>
  <c r="AT46" i="25"/>
  <c r="AR47" i="25"/>
  <c r="AS47" i="25"/>
  <c r="AT47" i="25"/>
  <c r="AR48" i="25"/>
  <c r="AS48" i="25"/>
  <c r="AT48" i="25"/>
  <c r="AR49" i="25"/>
  <c r="AS49" i="25"/>
  <c r="AT49" i="25"/>
  <c r="AR50" i="25"/>
  <c r="AS50" i="25"/>
  <c r="AT50" i="25"/>
  <c r="AR51" i="25"/>
  <c r="AS51" i="25"/>
  <c r="AT51" i="25"/>
  <c r="AR52" i="25"/>
  <c r="AS52" i="25"/>
  <c r="AT52" i="25"/>
  <c r="AR53" i="25"/>
  <c r="AS53" i="25"/>
  <c r="AT53" i="25"/>
  <c r="AR54" i="25"/>
  <c r="AS54" i="25"/>
  <c r="AT54" i="25"/>
  <c r="AR55" i="25"/>
  <c r="AS55" i="25"/>
  <c r="AT55" i="25"/>
  <c r="AR56" i="25"/>
  <c r="AS56" i="25"/>
  <c r="AT56" i="25"/>
  <c r="AR57" i="25"/>
  <c r="AS57" i="25"/>
  <c r="AT57" i="25"/>
  <c r="AR58" i="25"/>
  <c r="AS58" i="25"/>
  <c r="AT58" i="25"/>
  <c r="AR59" i="25"/>
  <c r="AS59" i="25"/>
  <c r="AT59" i="25"/>
  <c r="AT10" i="25"/>
  <c r="AS10" i="25"/>
  <c r="AR10" i="25"/>
  <c r="AM11" i="25"/>
  <c r="AN11" i="25"/>
  <c r="AO11" i="25"/>
  <c r="AM12" i="25"/>
  <c r="AN12" i="25"/>
  <c r="AO12" i="25"/>
  <c r="AM13" i="25"/>
  <c r="AN13" i="25"/>
  <c r="AO13" i="25"/>
  <c r="AM14" i="25"/>
  <c r="AN14" i="25"/>
  <c r="AO14" i="25"/>
  <c r="AM15" i="25"/>
  <c r="AN15" i="25"/>
  <c r="AO15" i="25"/>
  <c r="AM16" i="25"/>
  <c r="AN16" i="25"/>
  <c r="AO16" i="25"/>
  <c r="AM17" i="25"/>
  <c r="AN17" i="25"/>
  <c r="AO17" i="25"/>
  <c r="AM18" i="25"/>
  <c r="AN18" i="25"/>
  <c r="AO18" i="25"/>
  <c r="AM19" i="25"/>
  <c r="AN19" i="25"/>
  <c r="AO19" i="25"/>
  <c r="AM20" i="25"/>
  <c r="AN20" i="25"/>
  <c r="AO20" i="25"/>
  <c r="AM21" i="25"/>
  <c r="AN21" i="25"/>
  <c r="AO21" i="25"/>
  <c r="AM22" i="25"/>
  <c r="AN22" i="25"/>
  <c r="AO22" i="25"/>
  <c r="AM23" i="25"/>
  <c r="AN23" i="25"/>
  <c r="AO23" i="25"/>
  <c r="AM24" i="25"/>
  <c r="AN24" i="25"/>
  <c r="AO24" i="25"/>
  <c r="AM25" i="25"/>
  <c r="AN25" i="25"/>
  <c r="AO25" i="25"/>
  <c r="AM26" i="25"/>
  <c r="AN26" i="25"/>
  <c r="AO26" i="25"/>
  <c r="AM27" i="25"/>
  <c r="AN27" i="25"/>
  <c r="AO27" i="25"/>
  <c r="AM28" i="25"/>
  <c r="AN28" i="25"/>
  <c r="AO28" i="25"/>
  <c r="AM29" i="25"/>
  <c r="AN29" i="25"/>
  <c r="AO29" i="25"/>
  <c r="AM30" i="25"/>
  <c r="AN30" i="25"/>
  <c r="AO30" i="25"/>
  <c r="AM31" i="25"/>
  <c r="AN31" i="25"/>
  <c r="AO31" i="25"/>
  <c r="AM32" i="25"/>
  <c r="AN32" i="25"/>
  <c r="AO32" i="25"/>
  <c r="AM33" i="25"/>
  <c r="AN33" i="25"/>
  <c r="AO33" i="25"/>
  <c r="AM34" i="25"/>
  <c r="AN34" i="25"/>
  <c r="AO34" i="25"/>
  <c r="AM35" i="25"/>
  <c r="AN35" i="25"/>
  <c r="AO35" i="25"/>
  <c r="AM36" i="25"/>
  <c r="AN36" i="25"/>
  <c r="AO36" i="25"/>
  <c r="AM37" i="25"/>
  <c r="AN37" i="25"/>
  <c r="AO37" i="25"/>
  <c r="AM38" i="25"/>
  <c r="AN38" i="25"/>
  <c r="AO38" i="25"/>
  <c r="AM39" i="25"/>
  <c r="AN39" i="25"/>
  <c r="AO39" i="25"/>
  <c r="AM40" i="25"/>
  <c r="AN40" i="25"/>
  <c r="AO40" i="25"/>
  <c r="AM41" i="25"/>
  <c r="AN41" i="25"/>
  <c r="AO41" i="25"/>
  <c r="AM42" i="25"/>
  <c r="AN42" i="25"/>
  <c r="AO42" i="25"/>
  <c r="AM43" i="25"/>
  <c r="AN43" i="25"/>
  <c r="AO43" i="25"/>
  <c r="AM44" i="25"/>
  <c r="AN44" i="25"/>
  <c r="AO44" i="25"/>
  <c r="AM45" i="25"/>
  <c r="AN45" i="25"/>
  <c r="AO45" i="25"/>
  <c r="AM46" i="25"/>
  <c r="AN46" i="25"/>
  <c r="AO46" i="25"/>
  <c r="AM47" i="25"/>
  <c r="AN47" i="25"/>
  <c r="AO47" i="25"/>
  <c r="AM48" i="25"/>
  <c r="AN48" i="25"/>
  <c r="AO48" i="25"/>
  <c r="AM49" i="25"/>
  <c r="AN49" i="25"/>
  <c r="AO49" i="25"/>
  <c r="AM50" i="25"/>
  <c r="AN50" i="25"/>
  <c r="AO50" i="25"/>
  <c r="AM51" i="25"/>
  <c r="AN51" i="25"/>
  <c r="AO51" i="25"/>
  <c r="AM52" i="25"/>
  <c r="AN52" i="25"/>
  <c r="AO52" i="25"/>
  <c r="AM53" i="25"/>
  <c r="AN53" i="25"/>
  <c r="AO53" i="25"/>
  <c r="AM54" i="25"/>
  <c r="AN54" i="25"/>
  <c r="AO54" i="25"/>
  <c r="AM55" i="25"/>
  <c r="AN55" i="25"/>
  <c r="AO55" i="25"/>
  <c r="AM56" i="25"/>
  <c r="AN56" i="25"/>
  <c r="AO56" i="25"/>
  <c r="AM57" i="25"/>
  <c r="AN57" i="25"/>
  <c r="AO57" i="25"/>
  <c r="AM58" i="25"/>
  <c r="AN58" i="25"/>
  <c r="AO58" i="25"/>
  <c r="AM59" i="25"/>
  <c r="AN59" i="25"/>
  <c r="AO59" i="25"/>
  <c r="AO10" i="25"/>
  <c r="AN10" i="25"/>
  <c r="AM10" i="25"/>
  <c r="AG11" i="25"/>
  <c r="AH11" i="25"/>
  <c r="AI11" i="25"/>
  <c r="AG12" i="25"/>
  <c r="AH12" i="25"/>
  <c r="AI12" i="25"/>
  <c r="AG13" i="25"/>
  <c r="AH13" i="25"/>
  <c r="AI13" i="25"/>
  <c r="AG14" i="25"/>
  <c r="AH14" i="25"/>
  <c r="AI14" i="25"/>
  <c r="AG15" i="25"/>
  <c r="AH15" i="25"/>
  <c r="AI15" i="25"/>
  <c r="AG16" i="25"/>
  <c r="AH16" i="25"/>
  <c r="AI16" i="25"/>
  <c r="AG17" i="25"/>
  <c r="AH17" i="25"/>
  <c r="AI17" i="25"/>
  <c r="AG18" i="25"/>
  <c r="AH18" i="25"/>
  <c r="AI18" i="25"/>
  <c r="AG19" i="25"/>
  <c r="AH19" i="25"/>
  <c r="AI19" i="25"/>
  <c r="AG20" i="25"/>
  <c r="AH20" i="25"/>
  <c r="AI20" i="25"/>
  <c r="AG21" i="25"/>
  <c r="AH21" i="25"/>
  <c r="AI21" i="25"/>
  <c r="AG22" i="25"/>
  <c r="AH22" i="25"/>
  <c r="AI22" i="25"/>
  <c r="AG23" i="25"/>
  <c r="AH23" i="25"/>
  <c r="AI23" i="25"/>
  <c r="AG24" i="25"/>
  <c r="AH24" i="25"/>
  <c r="AI24" i="25"/>
  <c r="AG25" i="25"/>
  <c r="AH25" i="25"/>
  <c r="AI25" i="25"/>
  <c r="AG26" i="25"/>
  <c r="AH26" i="25"/>
  <c r="AI26" i="25"/>
  <c r="AG27" i="25"/>
  <c r="AH27" i="25"/>
  <c r="AI27" i="25"/>
  <c r="AG28" i="25"/>
  <c r="AH28" i="25"/>
  <c r="AI28" i="25"/>
  <c r="AG29" i="25"/>
  <c r="AH29" i="25"/>
  <c r="AI29" i="25"/>
  <c r="AG30" i="25"/>
  <c r="AH30" i="25"/>
  <c r="AI30" i="25"/>
  <c r="AG31" i="25"/>
  <c r="AH31" i="25"/>
  <c r="AI31" i="25"/>
  <c r="AG32" i="25"/>
  <c r="AH32" i="25"/>
  <c r="AI32" i="25"/>
  <c r="AG33" i="25"/>
  <c r="AH33" i="25"/>
  <c r="AI33" i="25"/>
  <c r="AG34" i="25"/>
  <c r="AH34" i="25"/>
  <c r="AI34" i="25"/>
  <c r="AG35" i="25"/>
  <c r="AH35" i="25"/>
  <c r="AI35" i="25"/>
  <c r="AG36" i="25"/>
  <c r="AH36" i="25"/>
  <c r="AI36" i="25"/>
  <c r="AG37" i="25"/>
  <c r="AH37" i="25"/>
  <c r="AI37" i="25"/>
  <c r="AG38" i="25"/>
  <c r="AH38" i="25"/>
  <c r="AI38" i="25"/>
  <c r="AG39" i="25"/>
  <c r="AH39" i="25"/>
  <c r="AI39" i="25"/>
  <c r="AG40" i="25"/>
  <c r="AH40" i="25"/>
  <c r="AI40" i="25"/>
  <c r="AG41" i="25"/>
  <c r="AH41" i="25"/>
  <c r="AI41" i="25"/>
  <c r="AG42" i="25"/>
  <c r="AH42" i="25"/>
  <c r="AI42" i="25"/>
  <c r="AG43" i="25"/>
  <c r="AH43" i="25"/>
  <c r="AI43" i="25"/>
  <c r="AG44" i="25"/>
  <c r="AH44" i="25"/>
  <c r="AI44" i="25"/>
  <c r="AG45" i="25"/>
  <c r="AH45" i="25"/>
  <c r="AI45" i="25"/>
  <c r="AG46" i="25"/>
  <c r="AH46" i="25"/>
  <c r="AI46" i="25"/>
  <c r="AG47" i="25"/>
  <c r="AH47" i="25"/>
  <c r="AI47" i="25"/>
  <c r="AG48" i="25"/>
  <c r="AH48" i="25"/>
  <c r="AI48" i="25"/>
  <c r="AG49" i="25"/>
  <c r="AH49" i="25"/>
  <c r="AI49" i="25"/>
  <c r="AG50" i="25"/>
  <c r="AH50" i="25"/>
  <c r="AI50" i="25"/>
  <c r="AG51" i="25"/>
  <c r="AH51" i="25"/>
  <c r="AI51" i="25"/>
  <c r="AG52" i="25"/>
  <c r="AH52" i="25"/>
  <c r="AI52" i="25"/>
  <c r="AG53" i="25"/>
  <c r="AH53" i="25"/>
  <c r="AI53" i="25"/>
  <c r="AG54" i="25"/>
  <c r="AH54" i="25"/>
  <c r="AI54" i="25"/>
  <c r="AG55" i="25"/>
  <c r="AH55" i="25"/>
  <c r="AI55" i="25"/>
  <c r="AG56" i="25"/>
  <c r="AH56" i="25"/>
  <c r="AI56" i="25"/>
  <c r="AG57" i="25"/>
  <c r="AH57" i="25"/>
  <c r="AI57" i="25"/>
  <c r="AG58" i="25"/>
  <c r="AH58" i="25"/>
  <c r="AI58" i="25"/>
  <c r="AG59" i="25"/>
  <c r="AH59" i="25"/>
  <c r="AI59" i="25"/>
  <c r="AI10" i="25"/>
  <c r="AH10" i="25"/>
  <c r="AG10" i="25"/>
  <c r="AB11" i="25"/>
  <c r="AC11" i="25"/>
  <c r="AD11" i="25"/>
  <c r="AB12" i="25"/>
  <c r="AC12" i="25"/>
  <c r="AD12" i="25"/>
  <c r="AB13" i="25"/>
  <c r="AC13" i="25"/>
  <c r="AD13" i="25"/>
  <c r="AB14" i="25"/>
  <c r="AC14" i="25"/>
  <c r="AD14" i="25"/>
  <c r="AB15" i="25"/>
  <c r="AC15" i="25"/>
  <c r="AD15" i="25"/>
  <c r="AB16" i="25"/>
  <c r="AC16" i="25"/>
  <c r="AD16" i="25"/>
  <c r="AB17" i="25"/>
  <c r="AC17" i="25"/>
  <c r="AD17" i="25"/>
  <c r="AB18" i="25"/>
  <c r="AC18" i="25"/>
  <c r="AD18" i="25"/>
  <c r="AB19" i="25"/>
  <c r="AC19" i="25"/>
  <c r="AD19" i="25"/>
  <c r="AB20" i="25"/>
  <c r="AC20" i="25"/>
  <c r="AD20" i="25"/>
  <c r="AB21" i="25"/>
  <c r="AC21" i="25"/>
  <c r="AD21" i="25"/>
  <c r="AB22" i="25"/>
  <c r="AC22" i="25"/>
  <c r="AD22" i="25"/>
  <c r="AB23" i="25"/>
  <c r="AC23" i="25"/>
  <c r="AD23" i="25"/>
  <c r="AB24" i="25"/>
  <c r="AC24" i="25"/>
  <c r="AD24" i="25"/>
  <c r="AB25" i="25"/>
  <c r="AC25" i="25"/>
  <c r="AD25" i="25"/>
  <c r="AB26" i="25"/>
  <c r="AC26" i="25"/>
  <c r="AD26" i="25"/>
  <c r="AB27" i="25"/>
  <c r="AC27" i="25"/>
  <c r="AD27" i="25"/>
  <c r="AB28" i="25"/>
  <c r="AC28" i="25"/>
  <c r="AD28" i="25"/>
  <c r="AB29" i="25"/>
  <c r="AC29" i="25"/>
  <c r="AD29" i="25"/>
  <c r="AB30" i="25"/>
  <c r="AC30" i="25"/>
  <c r="AD30" i="25"/>
  <c r="AB31" i="25"/>
  <c r="AC31" i="25"/>
  <c r="AD31" i="25"/>
  <c r="AB32" i="25"/>
  <c r="AC32" i="25"/>
  <c r="AD32" i="25"/>
  <c r="AB33" i="25"/>
  <c r="AC33" i="25"/>
  <c r="AD33" i="25"/>
  <c r="AB34" i="25"/>
  <c r="AC34" i="25"/>
  <c r="AD34" i="25"/>
  <c r="AB35" i="25"/>
  <c r="AC35" i="25"/>
  <c r="AD35" i="25"/>
  <c r="AB36" i="25"/>
  <c r="AC36" i="25"/>
  <c r="AD36" i="25"/>
  <c r="AB37" i="25"/>
  <c r="AC37" i="25"/>
  <c r="AD37" i="25"/>
  <c r="AB38" i="25"/>
  <c r="AC38" i="25"/>
  <c r="AD38" i="25"/>
  <c r="AB39" i="25"/>
  <c r="AC39" i="25"/>
  <c r="AD39" i="25"/>
  <c r="AB40" i="25"/>
  <c r="AC40" i="25"/>
  <c r="AD40" i="25"/>
  <c r="AB41" i="25"/>
  <c r="AC41" i="25"/>
  <c r="AD41" i="25"/>
  <c r="AB42" i="25"/>
  <c r="AC42" i="25"/>
  <c r="AD42" i="25"/>
  <c r="AB43" i="25"/>
  <c r="AC43" i="25"/>
  <c r="AD43" i="25"/>
  <c r="AB44" i="25"/>
  <c r="AC44" i="25"/>
  <c r="AD44" i="25"/>
  <c r="AB45" i="25"/>
  <c r="AC45" i="25"/>
  <c r="AD45" i="25"/>
  <c r="AB46" i="25"/>
  <c r="AC46" i="25"/>
  <c r="AD46" i="25"/>
  <c r="AB47" i="25"/>
  <c r="AC47" i="25"/>
  <c r="AD47" i="25"/>
  <c r="AB48" i="25"/>
  <c r="AC48" i="25"/>
  <c r="AD48" i="25"/>
  <c r="AB49" i="25"/>
  <c r="AC49" i="25"/>
  <c r="AD49" i="25"/>
  <c r="AB50" i="25"/>
  <c r="AC50" i="25"/>
  <c r="AD50" i="25"/>
  <c r="AB51" i="25"/>
  <c r="AC51" i="25"/>
  <c r="AD51" i="25"/>
  <c r="AB52" i="25"/>
  <c r="AC52" i="25"/>
  <c r="AD52" i="25"/>
  <c r="AB53" i="25"/>
  <c r="AC53" i="25"/>
  <c r="AD53" i="25"/>
  <c r="AB54" i="25"/>
  <c r="AC54" i="25"/>
  <c r="AD54" i="25"/>
  <c r="AB55" i="25"/>
  <c r="AC55" i="25"/>
  <c r="AD55" i="25"/>
  <c r="AB56" i="25"/>
  <c r="AC56" i="25"/>
  <c r="AD56" i="25"/>
  <c r="AB57" i="25"/>
  <c r="AC57" i="25"/>
  <c r="AD57" i="25"/>
  <c r="AB58" i="25"/>
  <c r="AC58" i="25"/>
  <c r="AD58" i="25"/>
  <c r="AB59" i="25"/>
  <c r="AC59" i="25"/>
  <c r="AD59" i="25"/>
  <c r="AD10" i="25"/>
  <c r="AC10" i="25"/>
  <c r="AB10" i="25"/>
  <c r="W11" i="25"/>
  <c r="X11" i="25"/>
  <c r="Y11" i="25"/>
  <c r="W12" i="25"/>
  <c r="X12" i="25"/>
  <c r="Y12" i="25"/>
  <c r="W13" i="25"/>
  <c r="X13" i="25"/>
  <c r="Y13" i="25"/>
  <c r="W14" i="25"/>
  <c r="X14" i="25"/>
  <c r="Y14" i="25"/>
  <c r="W15" i="25"/>
  <c r="X15" i="25"/>
  <c r="Y15" i="25"/>
  <c r="W16" i="25"/>
  <c r="X16" i="25"/>
  <c r="Y16" i="25"/>
  <c r="W17" i="25"/>
  <c r="X17" i="25"/>
  <c r="Y17" i="25"/>
  <c r="W18" i="25"/>
  <c r="X18" i="25"/>
  <c r="Y18" i="25"/>
  <c r="W19" i="25"/>
  <c r="X19" i="25"/>
  <c r="Y19" i="25"/>
  <c r="W20" i="25"/>
  <c r="X20" i="25"/>
  <c r="Y20" i="25"/>
  <c r="W21" i="25"/>
  <c r="X21" i="25"/>
  <c r="Y21" i="25"/>
  <c r="W22" i="25"/>
  <c r="X22" i="25"/>
  <c r="Y22" i="25"/>
  <c r="W23" i="25"/>
  <c r="X23" i="25"/>
  <c r="Y23" i="25"/>
  <c r="W24" i="25"/>
  <c r="X24" i="25"/>
  <c r="Y24" i="25"/>
  <c r="W25" i="25"/>
  <c r="X25" i="25"/>
  <c r="Y25" i="25"/>
  <c r="W26" i="25"/>
  <c r="X26" i="25"/>
  <c r="Y26" i="25"/>
  <c r="W27" i="25"/>
  <c r="X27" i="25"/>
  <c r="Y27" i="25"/>
  <c r="W28" i="25"/>
  <c r="X28" i="25"/>
  <c r="Y28" i="25"/>
  <c r="W29" i="25"/>
  <c r="X29" i="25"/>
  <c r="Y29" i="25"/>
  <c r="W30" i="25"/>
  <c r="X30" i="25"/>
  <c r="Y30" i="25"/>
  <c r="W31" i="25"/>
  <c r="X31" i="25"/>
  <c r="Y31" i="25"/>
  <c r="W32" i="25"/>
  <c r="X32" i="25"/>
  <c r="Y32" i="25"/>
  <c r="W33" i="25"/>
  <c r="X33" i="25"/>
  <c r="Y33" i="25"/>
  <c r="W34" i="25"/>
  <c r="X34" i="25"/>
  <c r="Y34" i="25"/>
  <c r="W35" i="25"/>
  <c r="X35" i="25"/>
  <c r="Y35" i="25"/>
  <c r="W36" i="25"/>
  <c r="X36" i="25"/>
  <c r="Y36" i="25"/>
  <c r="W37" i="25"/>
  <c r="X37" i="25"/>
  <c r="Y37" i="25"/>
  <c r="W38" i="25"/>
  <c r="X38" i="25"/>
  <c r="Y38" i="25"/>
  <c r="W39" i="25"/>
  <c r="X39" i="25"/>
  <c r="Y39" i="25"/>
  <c r="W40" i="25"/>
  <c r="X40" i="25"/>
  <c r="Y40" i="25"/>
  <c r="W41" i="25"/>
  <c r="X41" i="25"/>
  <c r="Y41" i="25"/>
  <c r="W42" i="25"/>
  <c r="X42" i="25"/>
  <c r="Y42" i="25"/>
  <c r="W43" i="25"/>
  <c r="X43" i="25"/>
  <c r="Y43" i="25"/>
  <c r="W44" i="25"/>
  <c r="X44" i="25"/>
  <c r="Y44" i="25"/>
  <c r="W45" i="25"/>
  <c r="X45" i="25"/>
  <c r="Y45" i="25"/>
  <c r="W46" i="25"/>
  <c r="X46" i="25"/>
  <c r="Y46" i="25"/>
  <c r="W47" i="25"/>
  <c r="X47" i="25"/>
  <c r="Y47" i="25"/>
  <c r="W48" i="25"/>
  <c r="X48" i="25"/>
  <c r="Y48" i="25"/>
  <c r="W49" i="25"/>
  <c r="X49" i="25"/>
  <c r="Y49" i="25"/>
  <c r="W50" i="25"/>
  <c r="X50" i="25"/>
  <c r="Y50" i="25"/>
  <c r="W51" i="25"/>
  <c r="X51" i="25"/>
  <c r="Y51" i="25"/>
  <c r="W52" i="25"/>
  <c r="X52" i="25"/>
  <c r="Y52" i="25"/>
  <c r="W53" i="25"/>
  <c r="X53" i="25"/>
  <c r="Y53" i="25"/>
  <c r="W54" i="25"/>
  <c r="X54" i="25"/>
  <c r="Y54" i="25"/>
  <c r="W55" i="25"/>
  <c r="X55" i="25"/>
  <c r="Y55" i="25"/>
  <c r="W56" i="25"/>
  <c r="X56" i="25"/>
  <c r="Y56" i="25"/>
  <c r="W57" i="25"/>
  <c r="X57" i="25"/>
  <c r="Y57" i="25"/>
  <c r="W58" i="25"/>
  <c r="X58" i="25"/>
  <c r="Y58" i="25"/>
  <c r="W59" i="25"/>
  <c r="X59" i="25"/>
  <c r="Y59" i="25"/>
  <c r="Y10" i="25"/>
  <c r="X10" i="25"/>
  <c r="W10" i="25"/>
  <c r="P11" i="25"/>
  <c r="Q11" i="25"/>
  <c r="R11" i="25"/>
  <c r="P12" i="25"/>
  <c r="Q12" i="25"/>
  <c r="R12" i="25"/>
  <c r="P13" i="25"/>
  <c r="Q13" i="25"/>
  <c r="R13" i="25"/>
  <c r="P14" i="25"/>
  <c r="Q14" i="25"/>
  <c r="R14" i="25"/>
  <c r="P15" i="25"/>
  <c r="Q15" i="25"/>
  <c r="R15" i="25"/>
  <c r="P16" i="25"/>
  <c r="Q16" i="25"/>
  <c r="R16" i="25"/>
  <c r="P17" i="25"/>
  <c r="Q17" i="25"/>
  <c r="R17" i="25"/>
  <c r="P18" i="25"/>
  <c r="Q18" i="25"/>
  <c r="R18" i="25"/>
  <c r="P19" i="25"/>
  <c r="Q19" i="25"/>
  <c r="R19" i="25"/>
  <c r="P20" i="25"/>
  <c r="Q20" i="25"/>
  <c r="R20" i="25"/>
  <c r="P21" i="25"/>
  <c r="Q21" i="25"/>
  <c r="R21" i="25"/>
  <c r="P22" i="25"/>
  <c r="Q22" i="25"/>
  <c r="R22" i="25"/>
  <c r="P23" i="25"/>
  <c r="Q23" i="25"/>
  <c r="R23" i="25"/>
  <c r="P24" i="25"/>
  <c r="Q24" i="25"/>
  <c r="R24" i="25"/>
  <c r="P25" i="25"/>
  <c r="Q25" i="25"/>
  <c r="R25" i="25"/>
  <c r="P26" i="25"/>
  <c r="Q26" i="25"/>
  <c r="R26" i="25"/>
  <c r="P27" i="25"/>
  <c r="Q27" i="25"/>
  <c r="R27" i="25"/>
  <c r="P28" i="25"/>
  <c r="Q28" i="25"/>
  <c r="R28" i="25"/>
  <c r="P29" i="25"/>
  <c r="Q29" i="25"/>
  <c r="R29" i="25"/>
  <c r="P30" i="25"/>
  <c r="Q30" i="25"/>
  <c r="R30" i="25"/>
  <c r="P31" i="25"/>
  <c r="Q31" i="25"/>
  <c r="R31" i="25"/>
  <c r="P32" i="25"/>
  <c r="Q32" i="25"/>
  <c r="R32" i="25"/>
  <c r="P33" i="25"/>
  <c r="Q33" i="25"/>
  <c r="R33" i="25"/>
  <c r="P34" i="25"/>
  <c r="Q34" i="25"/>
  <c r="R34" i="25"/>
  <c r="P35" i="25"/>
  <c r="Q35" i="25"/>
  <c r="R35" i="25"/>
  <c r="P36" i="25"/>
  <c r="Q36" i="25"/>
  <c r="R36" i="25"/>
  <c r="P37" i="25"/>
  <c r="Q37" i="25"/>
  <c r="R37" i="25"/>
  <c r="P38" i="25"/>
  <c r="Q38" i="25"/>
  <c r="R38" i="25"/>
  <c r="P39" i="25"/>
  <c r="Q39" i="25"/>
  <c r="R39" i="25"/>
  <c r="P40" i="25"/>
  <c r="Q40" i="25"/>
  <c r="R40" i="25"/>
  <c r="P41" i="25"/>
  <c r="Q41" i="25"/>
  <c r="R41" i="25"/>
  <c r="P42" i="25"/>
  <c r="Q42" i="25"/>
  <c r="R42" i="25"/>
  <c r="P43" i="25"/>
  <c r="Q43" i="25"/>
  <c r="R43" i="25"/>
  <c r="P44" i="25"/>
  <c r="Q44" i="25"/>
  <c r="R44" i="25"/>
  <c r="P45" i="25"/>
  <c r="Q45" i="25"/>
  <c r="R45" i="25"/>
  <c r="P46" i="25"/>
  <c r="Q46" i="25"/>
  <c r="R46" i="25"/>
  <c r="P47" i="25"/>
  <c r="Q47" i="25"/>
  <c r="R47" i="25"/>
  <c r="P48" i="25"/>
  <c r="Q48" i="25"/>
  <c r="R48" i="25"/>
  <c r="P49" i="25"/>
  <c r="Q49" i="25"/>
  <c r="R49" i="25"/>
  <c r="P50" i="25"/>
  <c r="Q50" i="25"/>
  <c r="R50" i="25"/>
  <c r="P51" i="25"/>
  <c r="Q51" i="25"/>
  <c r="R51" i="25"/>
  <c r="P52" i="25"/>
  <c r="Q52" i="25"/>
  <c r="R52" i="25"/>
  <c r="P53" i="25"/>
  <c r="Q53" i="25"/>
  <c r="R53" i="25"/>
  <c r="P54" i="25"/>
  <c r="Q54" i="25"/>
  <c r="R54" i="25"/>
  <c r="P55" i="25"/>
  <c r="Q55" i="25"/>
  <c r="R55" i="25"/>
  <c r="P56" i="25"/>
  <c r="Q56" i="25"/>
  <c r="R56" i="25"/>
  <c r="P57" i="25"/>
  <c r="Q57" i="25"/>
  <c r="R57" i="25"/>
  <c r="P58" i="25"/>
  <c r="Q58" i="25"/>
  <c r="R58" i="25"/>
  <c r="P59" i="25"/>
  <c r="Q59" i="25"/>
  <c r="R59" i="25"/>
  <c r="R10" i="25"/>
  <c r="Q10" i="25"/>
  <c r="P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H10" i="25"/>
  <c r="G10" i="25"/>
  <c r="F10" i="25"/>
  <c r="D4" i="22"/>
  <c r="E4" i="22"/>
  <c r="F4" i="22"/>
  <c r="X62" i="25" l="1"/>
  <c r="AI62" i="25"/>
  <c r="F62" i="25"/>
  <c r="F65" i="25" s="1"/>
  <c r="L62" i="25"/>
  <c r="Y62" i="25"/>
  <c r="AX62" i="25"/>
  <c r="G62" i="25"/>
  <c r="AD62" i="25"/>
  <c r="AY62" i="25"/>
  <c r="H62" i="25"/>
  <c r="K62" i="25"/>
  <c r="K65" i="25" s="1"/>
  <c r="M62" i="25"/>
  <c r="W62" i="25"/>
  <c r="W65" i="25" s="1"/>
  <c r="AC62" i="25"/>
  <c r="AH62" i="25"/>
  <c r="AO62" i="25"/>
  <c r="AN62" i="25"/>
  <c r="AS62" i="25"/>
  <c r="AT62" i="25"/>
  <c r="R62" i="25"/>
  <c r="P62" i="25"/>
  <c r="P65" i="25" s="1"/>
  <c r="Q62" i="25"/>
  <c r="F10" i="17"/>
  <c r="G10" i="17" s="1"/>
  <c r="C18" i="17"/>
  <c r="D18" i="17" s="1"/>
  <c r="C36" i="17"/>
  <c r="D36" i="17" s="1"/>
  <c r="D53" i="16"/>
  <c r="D61" i="16"/>
  <c r="G57" i="16"/>
  <c r="D54" i="16"/>
  <c r="D55" i="16"/>
  <c r="D56" i="16"/>
  <c r="D57" i="16"/>
  <c r="D58" i="16"/>
  <c r="D59" i="16"/>
  <c r="D6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N53" i="27"/>
  <c r="N54" i="27"/>
  <c r="N55" i="27"/>
  <c r="N56" i="27"/>
  <c r="N57" i="27"/>
  <c r="N58" i="27"/>
  <c r="N59" i="27"/>
  <c r="N60" i="27"/>
  <c r="N61" i="27"/>
  <c r="N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J64" i="27"/>
  <c r="F65" i="27"/>
  <c r="F66" i="27"/>
  <c r="F67" i="27"/>
  <c r="F68" i="27"/>
  <c r="J68" i="27"/>
  <c r="F69" i="27"/>
  <c r="F70" i="27"/>
  <c r="F71" i="27"/>
  <c r="F72" i="27"/>
  <c r="J72" i="27"/>
  <c r="F73" i="27"/>
  <c r="F74" i="27"/>
  <c r="F75" i="27"/>
  <c r="F76" i="27"/>
  <c r="J76" i="27"/>
  <c r="F77" i="27"/>
  <c r="F78" i="27"/>
  <c r="F79" i="27"/>
  <c r="F80" i="27"/>
  <c r="J80" i="27"/>
  <c r="F81" i="27"/>
  <c r="F82" i="27"/>
  <c r="F83" i="27"/>
  <c r="F84" i="27"/>
  <c r="F85" i="27"/>
  <c r="F52" i="27"/>
  <c r="J85" i="27"/>
  <c r="J56" i="27"/>
  <c r="J54" i="27"/>
  <c r="J53" i="27"/>
  <c r="J55" i="27"/>
  <c r="J57" i="27"/>
  <c r="J61" i="27"/>
  <c r="J62" i="27"/>
  <c r="J66" i="27"/>
  <c r="J70" i="27"/>
  <c r="J74" i="27"/>
  <c r="J78" i="27"/>
  <c r="J82" i="27"/>
  <c r="J58" i="27"/>
  <c r="J60" i="27"/>
  <c r="J63" i="27"/>
  <c r="J67" i="27"/>
  <c r="J71" i="27"/>
  <c r="J75" i="27"/>
  <c r="J79" i="27"/>
  <c r="J59" i="27"/>
  <c r="J65" i="27"/>
  <c r="J69" i="27"/>
  <c r="J73" i="27"/>
  <c r="J77" i="27"/>
  <c r="J81" i="27"/>
  <c r="J84" i="27"/>
  <c r="J83" i="27"/>
  <c r="N47" i="27"/>
  <c r="N48" i="27"/>
  <c r="N49" i="27"/>
  <c r="N50" i="27"/>
  <c r="N51" i="27"/>
  <c r="N4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36" i="27"/>
  <c r="T51" i="27"/>
  <c r="U51" i="27"/>
  <c r="T47" i="27"/>
  <c r="U47" i="27"/>
  <c r="T43" i="27"/>
  <c r="U43" i="27"/>
  <c r="T39" i="27"/>
  <c r="U39" i="27"/>
  <c r="U50" i="27"/>
  <c r="T50" i="27"/>
  <c r="U46" i="27"/>
  <c r="T46" i="27"/>
  <c r="U42" i="27"/>
  <c r="T42" i="27"/>
  <c r="U38" i="27"/>
  <c r="T38" i="27"/>
  <c r="U49" i="27"/>
  <c r="T49" i="27"/>
  <c r="U45" i="27"/>
  <c r="T45" i="27"/>
  <c r="U41" i="27"/>
  <c r="T41" i="27"/>
  <c r="T37" i="27"/>
  <c r="U37" i="27"/>
  <c r="T36" i="27"/>
  <c r="U36" i="27"/>
  <c r="U48" i="27"/>
  <c r="T48" i="27"/>
  <c r="U44" i="27"/>
  <c r="T44" i="27"/>
  <c r="U40" i="27"/>
  <c r="T40" i="27"/>
  <c r="O9" i="25"/>
  <c r="J9" i="25"/>
  <c r="B15" i="22"/>
  <c r="B15" i="23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E4" i="23"/>
  <c r="E5" i="23" s="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3" i="11"/>
  <c r="D3" i="6"/>
  <c r="C3" i="6"/>
  <c r="D3" i="2"/>
  <c r="C3" i="2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77" i="6"/>
  <c r="C122" i="6"/>
  <c r="C121" i="6"/>
  <c r="C120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B98" i="6"/>
  <c r="B99" i="6"/>
  <c r="B35" i="6"/>
  <c r="L23" i="10"/>
  <c r="B100" i="6"/>
  <c r="B101" i="6"/>
  <c r="B102" i="6"/>
  <c r="B38" i="6"/>
  <c r="L26" i="10"/>
  <c r="AH26" i="10" s="1"/>
  <c r="B103" i="6"/>
  <c r="B104" i="6"/>
  <c r="B40" i="6"/>
  <c r="L28" i="10"/>
  <c r="AH28" i="10"/>
  <c r="B105" i="6"/>
  <c r="B106" i="6"/>
  <c r="B107" i="6"/>
  <c r="B43" i="6"/>
  <c r="L31" i="10"/>
  <c r="M31" i="10" s="1"/>
  <c r="B108" i="6"/>
  <c r="B109" i="6"/>
  <c r="B45" i="6"/>
  <c r="L33" i="10"/>
  <c r="AH33" i="10" s="1"/>
  <c r="AI33" i="10" s="1"/>
  <c r="R34" i="5" s="1"/>
  <c r="S34" i="5" s="1"/>
  <c r="B110" i="6"/>
  <c r="B46" i="6"/>
  <c r="L34" i="10"/>
  <c r="AH34" i="10" s="1"/>
  <c r="BC34" i="10" s="1"/>
  <c r="BD34" i="10" s="1"/>
  <c r="AB35" i="5" s="1"/>
  <c r="B111" i="6"/>
  <c r="B47" i="6"/>
  <c r="L35" i="10"/>
  <c r="AH35" i="10" s="1"/>
  <c r="B112" i="6"/>
  <c r="B48" i="6"/>
  <c r="L36" i="10"/>
  <c r="B113" i="6"/>
  <c r="B114" i="6"/>
  <c r="B115" i="6"/>
  <c r="B51" i="6"/>
  <c r="L39" i="10"/>
  <c r="AH39" i="10"/>
  <c r="BC39" i="10" s="1"/>
  <c r="BD39" i="10" s="1"/>
  <c r="AB40" i="5" s="1"/>
  <c r="B116" i="6"/>
  <c r="B52" i="6"/>
  <c r="L40" i="10"/>
  <c r="M40" i="10" s="1"/>
  <c r="AH40" i="10"/>
  <c r="BC40" i="10"/>
  <c r="BD40" i="10" s="1"/>
  <c r="B97" i="6"/>
  <c r="B33" i="6"/>
  <c r="L21" i="10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77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B93" i="2"/>
  <c r="B28" i="2"/>
  <c r="Q16" i="10"/>
  <c r="AM16" i="10" s="1"/>
  <c r="BH16" i="10" s="1"/>
  <c r="BI16" i="10" s="1"/>
  <c r="B94" i="2"/>
  <c r="B29" i="2"/>
  <c r="Q17" i="10"/>
  <c r="B95" i="2"/>
  <c r="B96" i="2"/>
  <c r="B31" i="2"/>
  <c r="Q19" i="10"/>
  <c r="AM19" i="10" s="1"/>
  <c r="B97" i="2"/>
  <c r="B98" i="2"/>
  <c r="B33" i="2"/>
  <c r="Q21" i="10"/>
  <c r="B99" i="2"/>
  <c r="B34" i="2"/>
  <c r="Q22" i="10"/>
  <c r="B100" i="2"/>
  <c r="B101" i="2"/>
  <c r="B36" i="2"/>
  <c r="Q24" i="10"/>
  <c r="AM24" i="10" s="1"/>
  <c r="B102" i="2"/>
  <c r="B103" i="2"/>
  <c r="B104" i="2"/>
  <c r="B39" i="2"/>
  <c r="Q27" i="10"/>
  <c r="B105" i="2"/>
  <c r="B40" i="2"/>
  <c r="Q28" i="10"/>
  <c r="B106" i="2"/>
  <c r="B41" i="2"/>
  <c r="Q29" i="10"/>
  <c r="B107" i="2"/>
  <c r="B42" i="2"/>
  <c r="Q30" i="10"/>
  <c r="AM30" i="10" s="1"/>
  <c r="AN30" i="10" s="1"/>
  <c r="U31" i="5" s="1"/>
  <c r="V31" i="5" s="1"/>
  <c r="B108" i="2"/>
  <c r="B109" i="2"/>
  <c r="B44" i="2"/>
  <c r="Q32" i="10"/>
  <c r="R32" i="10" s="1"/>
  <c r="B110" i="2"/>
  <c r="B45" i="2"/>
  <c r="Q33" i="10"/>
  <c r="B111" i="2"/>
  <c r="B46" i="2"/>
  <c r="Q34" i="10"/>
  <c r="R34" i="10" s="1"/>
  <c r="AM33" i="22" s="1"/>
  <c r="AQ33" i="22" s="1"/>
  <c r="B112" i="2"/>
  <c r="B47" i="2"/>
  <c r="Q35" i="10"/>
  <c r="R35" i="10" s="1"/>
  <c r="J36" i="21" s="1"/>
  <c r="K36" i="21" s="1"/>
  <c r="B113" i="2"/>
  <c r="B48" i="2"/>
  <c r="Q36" i="10"/>
  <c r="R36" i="10" s="1"/>
  <c r="AM35" i="22" s="1"/>
  <c r="AQ35" i="22" s="1"/>
  <c r="B114" i="2"/>
  <c r="B115" i="2"/>
  <c r="B50" i="2"/>
  <c r="Q38" i="10"/>
  <c r="AM38" i="10" s="1"/>
  <c r="AN38" i="10" s="1"/>
  <c r="U39" i="5" s="1"/>
  <c r="V39" i="5" s="1"/>
  <c r="B116" i="2"/>
  <c r="B117" i="2"/>
  <c r="B52" i="2"/>
  <c r="Q40" i="10"/>
  <c r="B92" i="2"/>
  <c r="B27" i="2"/>
  <c r="Q15" i="10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78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DD7" i="23"/>
  <c r="DD8" i="23"/>
  <c r="DD9" i="23"/>
  <c r="DD6" i="23"/>
  <c r="BW7" i="23"/>
  <c r="BW8" i="23"/>
  <c r="BW9" i="23"/>
  <c r="BW6" i="23"/>
  <c r="AP7" i="23"/>
  <c r="AP8" i="23"/>
  <c r="AP9" i="23"/>
  <c r="AP6" i="23"/>
  <c r="DD39" i="23"/>
  <c r="BW39" i="23"/>
  <c r="AP39" i="23"/>
  <c r="DD38" i="23"/>
  <c r="BW38" i="23"/>
  <c r="AP38" i="23"/>
  <c r="DD37" i="23"/>
  <c r="BW37" i="23"/>
  <c r="AP37" i="23"/>
  <c r="DD36" i="23"/>
  <c r="BW36" i="23"/>
  <c r="AP36" i="23"/>
  <c r="DD35" i="23"/>
  <c r="BW35" i="23"/>
  <c r="AP35" i="23"/>
  <c r="DD34" i="23"/>
  <c r="BW34" i="23"/>
  <c r="AP34" i="23"/>
  <c r="DD33" i="23"/>
  <c r="BW33" i="23"/>
  <c r="AP33" i="23"/>
  <c r="DD32" i="23"/>
  <c r="BW32" i="23"/>
  <c r="AP32" i="23"/>
  <c r="DD31" i="23"/>
  <c r="BW31" i="23"/>
  <c r="AP31" i="23"/>
  <c r="DD30" i="23"/>
  <c r="BW30" i="23"/>
  <c r="AP30" i="23"/>
  <c r="DD29" i="23"/>
  <c r="BW29" i="23"/>
  <c r="AP29" i="23"/>
  <c r="DD28" i="23"/>
  <c r="BW28" i="23"/>
  <c r="AP28" i="23"/>
  <c r="DD27" i="23"/>
  <c r="BW27" i="23"/>
  <c r="AP27" i="23"/>
  <c r="DD26" i="23"/>
  <c r="BW26" i="23"/>
  <c r="AP26" i="23"/>
  <c r="DD25" i="23"/>
  <c r="BW25" i="23"/>
  <c r="AP25" i="23"/>
  <c r="DD24" i="23"/>
  <c r="BW24" i="23"/>
  <c r="AP24" i="23"/>
  <c r="DD23" i="23"/>
  <c r="BW23" i="23"/>
  <c r="AP23" i="23"/>
  <c r="DD22" i="23"/>
  <c r="BW22" i="23"/>
  <c r="AP22" i="23"/>
  <c r="DD21" i="23"/>
  <c r="BW21" i="23"/>
  <c r="AP21" i="23"/>
  <c r="DD20" i="23"/>
  <c r="BW20" i="23"/>
  <c r="AP20" i="23"/>
  <c r="DD19" i="23"/>
  <c r="BW19" i="23"/>
  <c r="AP19" i="23"/>
  <c r="DD18" i="23"/>
  <c r="BW18" i="23"/>
  <c r="AP18" i="23"/>
  <c r="DD17" i="23"/>
  <c r="BW17" i="23"/>
  <c r="AP17" i="23"/>
  <c r="DD16" i="23"/>
  <c r="BW16" i="23"/>
  <c r="AP16" i="23"/>
  <c r="DD15" i="23"/>
  <c r="BW15" i="23"/>
  <c r="AP15" i="23"/>
  <c r="DD14" i="23"/>
  <c r="BW14" i="23"/>
  <c r="AP14" i="23"/>
  <c r="DD13" i="23"/>
  <c r="BW13" i="23"/>
  <c r="AP13" i="23"/>
  <c r="DD12" i="23"/>
  <c r="BW12" i="23"/>
  <c r="AP12" i="23"/>
  <c r="DD11" i="23"/>
  <c r="BW11" i="23"/>
  <c r="AP11" i="23"/>
  <c r="DD10" i="23"/>
  <c r="BW10" i="23"/>
  <c r="AP10" i="23"/>
  <c r="D4" i="23"/>
  <c r="C4" i="23"/>
  <c r="C5" i="23" s="1"/>
  <c r="B4" i="16"/>
  <c r="B4" i="17"/>
  <c r="AP6" i="22"/>
  <c r="AP7" i="22"/>
  <c r="AP8" i="22"/>
  <c r="AP9" i="22"/>
  <c r="AP10" i="22"/>
  <c r="AP11" i="22"/>
  <c r="AP12" i="22"/>
  <c r="AP13" i="22"/>
  <c r="AP14" i="22"/>
  <c r="AP15" i="22"/>
  <c r="AP16" i="22"/>
  <c r="AP17" i="22"/>
  <c r="AP18" i="22"/>
  <c r="AP19" i="22"/>
  <c r="AP20" i="22"/>
  <c r="AP21" i="22"/>
  <c r="AP22" i="22"/>
  <c r="AP23" i="22"/>
  <c r="AP24" i="22"/>
  <c r="AP25" i="22"/>
  <c r="AP26" i="22"/>
  <c r="AP27" i="22"/>
  <c r="AP28" i="22"/>
  <c r="AP29" i="22"/>
  <c r="AP30" i="22"/>
  <c r="AP31" i="22"/>
  <c r="AP32" i="22"/>
  <c r="AP33" i="22"/>
  <c r="AP34" i="22"/>
  <c r="AP35" i="22"/>
  <c r="AP36" i="22"/>
  <c r="AP37" i="22"/>
  <c r="AP38" i="22"/>
  <c r="AP39" i="22"/>
  <c r="DD7" i="22"/>
  <c r="DD8" i="22"/>
  <c r="DD9" i="22"/>
  <c r="DD10" i="22"/>
  <c r="DD11" i="22"/>
  <c r="DD12" i="22"/>
  <c r="DD13" i="22"/>
  <c r="DD14" i="22"/>
  <c r="DD15" i="22"/>
  <c r="DD16" i="22"/>
  <c r="DD17" i="22"/>
  <c r="DD18" i="22"/>
  <c r="DD19" i="22"/>
  <c r="DD20" i="22"/>
  <c r="DD21" i="22"/>
  <c r="DD22" i="22"/>
  <c r="DD23" i="22"/>
  <c r="DD24" i="22"/>
  <c r="DD25" i="22"/>
  <c r="DD26" i="22"/>
  <c r="DD27" i="22"/>
  <c r="DD28" i="22"/>
  <c r="DD29" i="22"/>
  <c r="DD30" i="22"/>
  <c r="DD31" i="22"/>
  <c r="DD32" i="22"/>
  <c r="DD33" i="22"/>
  <c r="DD34" i="22"/>
  <c r="DD35" i="22"/>
  <c r="DD36" i="22"/>
  <c r="DD37" i="22"/>
  <c r="DD38" i="22"/>
  <c r="DD39" i="22"/>
  <c r="BW7" i="22"/>
  <c r="BW8" i="22"/>
  <c r="BW9" i="22"/>
  <c r="BW10" i="22"/>
  <c r="BW11" i="22"/>
  <c r="BW12" i="22"/>
  <c r="BW13" i="22"/>
  <c r="BW14" i="22"/>
  <c r="BW15" i="22"/>
  <c r="BW16" i="22"/>
  <c r="BW17" i="22"/>
  <c r="BW18" i="22"/>
  <c r="BW19" i="22"/>
  <c r="BW20" i="22"/>
  <c r="BW21" i="22"/>
  <c r="BW22" i="22"/>
  <c r="BW23" i="22"/>
  <c r="BW24" i="22"/>
  <c r="BW25" i="22"/>
  <c r="BW26" i="22"/>
  <c r="BW27" i="22"/>
  <c r="BW28" i="22"/>
  <c r="BW29" i="22"/>
  <c r="BW30" i="22"/>
  <c r="BW31" i="22"/>
  <c r="BW32" i="22"/>
  <c r="BW33" i="22"/>
  <c r="BW34" i="22"/>
  <c r="BW35" i="22"/>
  <c r="BW36" i="22"/>
  <c r="BW37" i="22"/>
  <c r="BW38" i="22"/>
  <c r="BW39" i="22"/>
  <c r="DD6" i="22"/>
  <c r="BW6" i="22"/>
  <c r="F5" i="22"/>
  <c r="E5" i="22"/>
  <c r="D5" i="22"/>
  <c r="AV6" i="10"/>
  <c r="BF6" i="10"/>
  <c r="AA6" i="10"/>
  <c r="AK6" i="10"/>
  <c r="AU5" i="10"/>
  <c r="AV5" i="10"/>
  <c r="AU6" i="10"/>
  <c r="AU7" i="10"/>
  <c r="AU8" i="10"/>
  <c r="AU9" i="10"/>
  <c r="AU10" i="10"/>
  <c r="AU11" i="10"/>
  <c r="AU12" i="10"/>
  <c r="AU13" i="10"/>
  <c r="AU14" i="10"/>
  <c r="AU15" i="10"/>
  <c r="AU16" i="10"/>
  <c r="AU17" i="10"/>
  <c r="AU18" i="10"/>
  <c r="AU19" i="10"/>
  <c r="AU20" i="10"/>
  <c r="AU21" i="10"/>
  <c r="AU22" i="10"/>
  <c r="AU23" i="10"/>
  <c r="AU24" i="10"/>
  <c r="AU25" i="10"/>
  <c r="AU26" i="10"/>
  <c r="AU27" i="10"/>
  <c r="AU28" i="10"/>
  <c r="AU29" i="10"/>
  <c r="AU30" i="10"/>
  <c r="AU31" i="10"/>
  <c r="AU32" i="10"/>
  <c r="AU33" i="10"/>
  <c r="AU34" i="10"/>
  <c r="AU35" i="10"/>
  <c r="AU36" i="10"/>
  <c r="AU37" i="10"/>
  <c r="AU38" i="10"/>
  <c r="AU39" i="10"/>
  <c r="AU40" i="10"/>
  <c r="E6" i="10"/>
  <c r="O6" i="10"/>
  <c r="F8" i="20"/>
  <c r="AV10" i="10"/>
  <c r="CF9" i="23"/>
  <c r="F13" i="20"/>
  <c r="AV15" i="10"/>
  <c r="F18" i="20"/>
  <c r="AV20" i="10"/>
  <c r="CF19" i="23"/>
  <c r="F23" i="20"/>
  <c r="F28" i="20"/>
  <c r="AV30" i="10"/>
  <c r="CQ29" i="23"/>
  <c r="F33" i="20"/>
  <c r="AV35" i="10"/>
  <c r="DB34" i="22"/>
  <c r="F38" i="20"/>
  <c r="AV40" i="10"/>
  <c r="DB39" i="23"/>
  <c r="H66" i="20"/>
  <c r="H42" i="20"/>
  <c r="D28" i="20"/>
  <c r="AA30" i="10"/>
  <c r="BU29" i="22"/>
  <c r="E48" i="20"/>
  <c r="C5" i="20"/>
  <c r="B5" i="20"/>
  <c r="E7" i="10"/>
  <c r="O7" i="10"/>
  <c r="AA6" i="22"/>
  <c r="AE6" i="22"/>
  <c r="B65" i="20"/>
  <c r="C65" i="20"/>
  <c r="D65" i="20"/>
  <c r="E65" i="20"/>
  <c r="F65" i="20"/>
  <c r="G65" i="20"/>
  <c r="H65" i="20"/>
  <c r="B66" i="20"/>
  <c r="B42" i="20"/>
  <c r="C66" i="20"/>
  <c r="C42" i="20"/>
  <c r="D66" i="20"/>
  <c r="D42" i="20"/>
  <c r="D8" i="20"/>
  <c r="E66" i="20"/>
  <c r="E42" i="20"/>
  <c r="D13" i="20"/>
  <c r="F66" i="20"/>
  <c r="F42" i="20"/>
  <c r="D18" i="20"/>
  <c r="AA20" i="10"/>
  <c r="BU19" i="23"/>
  <c r="G66" i="20"/>
  <c r="G42" i="20"/>
  <c r="D23" i="20"/>
  <c r="B67" i="20"/>
  <c r="C67" i="20"/>
  <c r="D67" i="20"/>
  <c r="E67" i="20"/>
  <c r="F67" i="20"/>
  <c r="G67" i="20"/>
  <c r="H67" i="20"/>
  <c r="B68" i="20"/>
  <c r="C68" i="20"/>
  <c r="D68" i="20"/>
  <c r="E68" i="20"/>
  <c r="F68" i="20"/>
  <c r="G68" i="20"/>
  <c r="H68" i="20"/>
  <c r="B69" i="20"/>
  <c r="C69" i="20"/>
  <c r="D69" i="20"/>
  <c r="E69" i="20"/>
  <c r="F69" i="20"/>
  <c r="G69" i="20"/>
  <c r="H69" i="20"/>
  <c r="W71" i="20"/>
  <c r="X71" i="20"/>
  <c r="Y71" i="20"/>
  <c r="Z71" i="20"/>
  <c r="AA71" i="20"/>
  <c r="AB71" i="20"/>
  <c r="AC71" i="20"/>
  <c r="AD71" i="20"/>
  <c r="W78" i="20"/>
  <c r="X78" i="20"/>
  <c r="Y78" i="20"/>
  <c r="Z78" i="20"/>
  <c r="AA78" i="20"/>
  <c r="AB78" i="20"/>
  <c r="AC78" i="20"/>
  <c r="AD78" i="20"/>
  <c r="S98" i="20"/>
  <c r="T98" i="20"/>
  <c r="W98" i="20"/>
  <c r="Z98" i="20"/>
  <c r="S99" i="20"/>
  <c r="U99" i="20"/>
  <c r="W99" i="20"/>
  <c r="Z99" i="20"/>
  <c r="AA99" i="20"/>
  <c r="S100" i="20"/>
  <c r="W100" i="20"/>
  <c r="X100" i="20"/>
  <c r="Z100" i="20"/>
  <c r="S101" i="20"/>
  <c r="T101" i="20"/>
  <c r="W101" i="20"/>
  <c r="X101" i="20"/>
  <c r="Z101" i="20"/>
  <c r="AA101" i="20"/>
  <c r="S102" i="20"/>
  <c r="T102" i="20"/>
  <c r="W102" i="20"/>
  <c r="X102" i="20"/>
  <c r="Z102" i="20"/>
  <c r="S103" i="20"/>
  <c r="T103" i="20"/>
  <c r="W103" i="20"/>
  <c r="Z103" i="20"/>
  <c r="S104" i="20"/>
  <c r="U105" i="20"/>
  <c r="U104" i="20"/>
  <c r="W104" i="20"/>
  <c r="Z104" i="20"/>
  <c r="AA104" i="20"/>
  <c r="S105" i="20"/>
  <c r="T105" i="20"/>
  <c r="W105" i="20"/>
  <c r="X105" i="20"/>
  <c r="Z105" i="20"/>
  <c r="AA105" i="20"/>
  <c r="S106" i="20"/>
  <c r="T106" i="20"/>
  <c r="W106" i="20"/>
  <c r="Z106" i="20"/>
  <c r="AA106" i="20"/>
  <c r="S107" i="20"/>
  <c r="T107" i="20"/>
  <c r="W107" i="20"/>
  <c r="X108" i="20"/>
  <c r="Z107" i="20"/>
  <c r="S108" i="20"/>
  <c r="W108" i="20"/>
  <c r="Z108" i="20"/>
  <c r="AA108" i="20"/>
  <c r="S109" i="20"/>
  <c r="T109" i="20"/>
  <c r="W109" i="20"/>
  <c r="Z109" i="20"/>
  <c r="AA110" i="20"/>
  <c r="S110" i="20"/>
  <c r="T110" i="20"/>
  <c r="W110" i="20"/>
  <c r="X110" i="20"/>
  <c r="Z110" i="20"/>
  <c r="S111" i="20"/>
  <c r="U111" i="20"/>
  <c r="W111" i="20"/>
  <c r="X111" i="20"/>
  <c r="Z111" i="20"/>
  <c r="S112" i="20"/>
  <c r="T112" i="20"/>
  <c r="W112" i="20"/>
  <c r="Z112" i="20"/>
  <c r="AA112" i="20"/>
  <c r="S113" i="20"/>
  <c r="T113" i="20"/>
  <c r="U113" i="20"/>
  <c r="W113" i="20"/>
  <c r="Z113" i="20"/>
  <c r="S114" i="20"/>
  <c r="U114" i="20"/>
  <c r="T114" i="20"/>
  <c r="W114" i="20"/>
  <c r="Z114" i="20"/>
  <c r="S115" i="20"/>
  <c r="W115" i="20"/>
  <c r="Z115" i="20"/>
  <c r="AA115" i="20"/>
  <c r="S116" i="20"/>
  <c r="W116" i="20"/>
  <c r="X116" i="20"/>
  <c r="Z116" i="20"/>
  <c r="S117" i="20"/>
  <c r="W117" i="20"/>
  <c r="Z117" i="20"/>
  <c r="S118" i="20"/>
  <c r="T118" i="20"/>
  <c r="W118" i="20"/>
  <c r="X118" i="20"/>
  <c r="Z118" i="20"/>
  <c r="AA118" i="20"/>
  <c r="S119" i="20"/>
  <c r="U119" i="20"/>
  <c r="T119" i="20"/>
  <c r="W119" i="20"/>
  <c r="X119" i="20"/>
  <c r="Z119" i="20"/>
  <c r="S120" i="20"/>
  <c r="T120" i="20"/>
  <c r="W120" i="20"/>
  <c r="X120" i="20"/>
  <c r="Z120" i="20"/>
  <c r="AA120" i="20"/>
  <c r="X109" i="20"/>
  <c r="AA111" i="20"/>
  <c r="X107" i="20"/>
  <c r="F34" i="20"/>
  <c r="F35" i="20"/>
  <c r="F36" i="20"/>
  <c r="AV38" i="10"/>
  <c r="BF38" i="10"/>
  <c r="CO37" i="22"/>
  <c r="CS37" i="22" s="1"/>
  <c r="G36" i="20"/>
  <c r="F5" i="20"/>
  <c r="F6" i="20"/>
  <c r="F7" i="20"/>
  <c r="AA109" i="20"/>
  <c r="AA103" i="20"/>
  <c r="F29" i="20"/>
  <c r="AV31" i="10"/>
  <c r="CF30" i="23"/>
  <c r="G34" i="20"/>
  <c r="B3" i="5"/>
  <c r="D3" i="5"/>
  <c r="C7" i="5"/>
  <c r="B3" i="7"/>
  <c r="O33" i="7"/>
  <c r="B33" i="7"/>
  <c r="S33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P29" i="7"/>
  <c r="O30" i="7"/>
  <c r="O31" i="7"/>
  <c r="O32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4" i="7"/>
  <c r="M49" i="7"/>
  <c r="R49" i="7"/>
  <c r="I49" i="7"/>
  <c r="B49" i="7"/>
  <c r="M48" i="7"/>
  <c r="R48" i="7"/>
  <c r="I48" i="7"/>
  <c r="B48" i="7"/>
  <c r="S48" i="7"/>
  <c r="M47" i="7"/>
  <c r="R47" i="7"/>
  <c r="I47" i="7"/>
  <c r="B47" i="7"/>
  <c r="G47" i="7"/>
  <c r="M46" i="7"/>
  <c r="R46" i="7"/>
  <c r="I46" i="7"/>
  <c r="B46" i="7"/>
  <c r="G46" i="7"/>
  <c r="M45" i="7"/>
  <c r="R45" i="7"/>
  <c r="I45" i="7"/>
  <c r="B45" i="7"/>
  <c r="M44" i="7"/>
  <c r="R44" i="7"/>
  <c r="I44" i="7"/>
  <c r="B44" i="7"/>
  <c r="M43" i="7"/>
  <c r="R43" i="7"/>
  <c r="I43" i="7"/>
  <c r="J43" i="7"/>
  <c r="B43" i="7"/>
  <c r="G43" i="7"/>
  <c r="M42" i="7"/>
  <c r="R42" i="7"/>
  <c r="I42" i="7"/>
  <c r="B42" i="7"/>
  <c r="M41" i="7"/>
  <c r="R41" i="7"/>
  <c r="I41" i="7"/>
  <c r="B41" i="7"/>
  <c r="L41" i="7"/>
  <c r="M40" i="7"/>
  <c r="R40" i="7"/>
  <c r="I40" i="7"/>
  <c r="B40" i="7"/>
  <c r="G40" i="7"/>
  <c r="M39" i="7"/>
  <c r="R39" i="7"/>
  <c r="I39" i="7"/>
  <c r="B39" i="7"/>
  <c r="M38" i="7"/>
  <c r="R38" i="7"/>
  <c r="I38" i="7"/>
  <c r="B38" i="7"/>
  <c r="M37" i="7"/>
  <c r="R37" i="7"/>
  <c r="I37" i="7"/>
  <c r="B37" i="7"/>
  <c r="M36" i="7"/>
  <c r="R36" i="7"/>
  <c r="I36" i="7"/>
  <c r="B36" i="7"/>
  <c r="G36" i="7"/>
  <c r="M35" i="7"/>
  <c r="R35" i="7"/>
  <c r="I35" i="7"/>
  <c r="B35" i="7"/>
  <c r="M34" i="7"/>
  <c r="R34" i="7"/>
  <c r="I34" i="7"/>
  <c r="B34" i="7"/>
  <c r="S34" i="7"/>
  <c r="M33" i="7"/>
  <c r="R33" i="7"/>
  <c r="I33" i="7"/>
  <c r="M32" i="7"/>
  <c r="R32" i="7"/>
  <c r="I32" i="7"/>
  <c r="B32" i="7"/>
  <c r="L32" i="7"/>
  <c r="M31" i="7"/>
  <c r="R31" i="7"/>
  <c r="I31" i="7"/>
  <c r="B31" i="7"/>
  <c r="S31" i="7"/>
  <c r="M30" i="7"/>
  <c r="R30" i="7"/>
  <c r="I30" i="7"/>
  <c r="B30" i="7"/>
  <c r="S30" i="7"/>
  <c r="M29" i="7"/>
  <c r="R29" i="7"/>
  <c r="I29" i="7"/>
  <c r="B29" i="7"/>
  <c r="G29" i="7"/>
  <c r="M28" i="7"/>
  <c r="R28" i="7"/>
  <c r="I28" i="7"/>
  <c r="B28" i="7"/>
  <c r="M27" i="7"/>
  <c r="R27" i="7"/>
  <c r="I27" i="7"/>
  <c r="B27" i="7"/>
  <c r="L27" i="7"/>
  <c r="M26" i="7"/>
  <c r="R26" i="7"/>
  <c r="I26" i="7"/>
  <c r="B26" i="7"/>
  <c r="M25" i="7"/>
  <c r="R25" i="7"/>
  <c r="I25" i="7"/>
  <c r="I51" i="27"/>
  <c r="H82" i="11"/>
  <c r="P92" i="11"/>
  <c r="B25" i="7"/>
  <c r="M24" i="7"/>
  <c r="R24" i="7"/>
  <c r="I24" i="7"/>
  <c r="H81" i="11"/>
  <c r="D81" i="11"/>
  <c r="D17" i="11"/>
  <c r="B24" i="7"/>
  <c r="F50" i="27"/>
  <c r="M23" i="7"/>
  <c r="R23" i="7"/>
  <c r="I23" i="7"/>
  <c r="I49" i="27"/>
  <c r="B23" i="7"/>
  <c r="F49" i="27"/>
  <c r="M22" i="7"/>
  <c r="R22" i="7"/>
  <c r="I22" i="7"/>
  <c r="I48" i="27"/>
  <c r="B22" i="7"/>
  <c r="E23" i="7"/>
  <c r="M21" i="7"/>
  <c r="R21" i="7"/>
  <c r="I21" i="7"/>
  <c r="I78" i="6"/>
  <c r="B21" i="7"/>
  <c r="G21" i="7"/>
  <c r="M20" i="7"/>
  <c r="R20" i="7"/>
  <c r="I20" i="7"/>
  <c r="I46" i="27"/>
  <c r="I78" i="2"/>
  <c r="B20" i="7"/>
  <c r="M19" i="7"/>
  <c r="R19" i="7"/>
  <c r="I19" i="7"/>
  <c r="B19" i="7"/>
  <c r="F77" i="2"/>
  <c r="M18" i="7"/>
  <c r="R18" i="7"/>
  <c r="I18" i="7"/>
  <c r="B18" i="7"/>
  <c r="E75" i="11"/>
  <c r="Q75" i="11"/>
  <c r="M17" i="7"/>
  <c r="R17" i="7"/>
  <c r="I17" i="7"/>
  <c r="B17" i="7"/>
  <c r="E17" i="7"/>
  <c r="K17" i="7"/>
  <c r="M16" i="7"/>
  <c r="R16" i="7"/>
  <c r="I16" i="7"/>
  <c r="J16" i="7"/>
  <c r="B16" i="7"/>
  <c r="E73" i="11"/>
  <c r="M15" i="7"/>
  <c r="R15" i="7"/>
  <c r="I15" i="7"/>
  <c r="I41" i="27"/>
  <c r="I72" i="6"/>
  <c r="B15" i="7"/>
  <c r="M14" i="7"/>
  <c r="R14" i="7"/>
  <c r="I14" i="7"/>
  <c r="I40" i="27"/>
  <c r="B14" i="7"/>
  <c r="S14" i="7"/>
  <c r="M13" i="7"/>
  <c r="R13" i="7"/>
  <c r="I13" i="7"/>
  <c r="B13" i="7"/>
  <c r="F70" i="6"/>
  <c r="B128" i="6"/>
  <c r="M12" i="7"/>
  <c r="R12" i="7"/>
  <c r="I12" i="7"/>
  <c r="I70" i="2"/>
  <c r="B12" i="7"/>
  <c r="F38" i="27"/>
  <c r="M11" i="7"/>
  <c r="R11" i="7"/>
  <c r="I11" i="7"/>
  <c r="I69" i="2"/>
  <c r="B11" i="7"/>
  <c r="F37" i="27"/>
  <c r="M10" i="7"/>
  <c r="R10" i="7"/>
  <c r="I10" i="7"/>
  <c r="B10" i="7"/>
  <c r="F68" i="2"/>
  <c r="I9" i="7"/>
  <c r="B9" i="7"/>
  <c r="I8" i="7"/>
  <c r="B8" i="7"/>
  <c r="J8" i="7"/>
  <c r="I7" i="7"/>
  <c r="B7" i="7"/>
  <c r="I6" i="7"/>
  <c r="B6" i="7"/>
  <c r="P6" i="7"/>
  <c r="I5" i="7"/>
  <c r="B5" i="7"/>
  <c r="I4" i="7"/>
  <c r="B4" i="7"/>
  <c r="L24" i="7"/>
  <c r="L28" i="7"/>
  <c r="S24" i="7"/>
  <c r="S44" i="7"/>
  <c r="L45" i="7"/>
  <c r="P17" i="7"/>
  <c r="T104" i="20"/>
  <c r="U112" i="20"/>
  <c r="T111" i="20"/>
  <c r="L47" i="7"/>
  <c r="F9" i="20"/>
  <c r="G9" i="20"/>
  <c r="U110" i="20"/>
  <c r="U103" i="20"/>
  <c r="AA107" i="20"/>
  <c r="X117" i="20"/>
  <c r="AA117" i="20"/>
  <c r="U106" i="20"/>
  <c r="T99" i="20"/>
  <c r="F80" i="2"/>
  <c r="P80" i="2"/>
  <c r="S36" i="7"/>
  <c r="F14" i="20"/>
  <c r="AA116" i="20"/>
  <c r="F19" i="20"/>
  <c r="G19" i="20"/>
  <c r="F20" i="20"/>
  <c r="G20" i="20"/>
  <c r="X112" i="20"/>
  <c r="F96" i="6"/>
  <c r="E96" i="11"/>
  <c r="F97" i="2"/>
  <c r="F86" i="6"/>
  <c r="K86" i="6" s="1"/>
  <c r="H74" i="11"/>
  <c r="D74" i="11"/>
  <c r="D10" i="11"/>
  <c r="H77" i="11"/>
  <c r="P87" i="11"/>
  <c r="F69" i="2"/>
  <c r="P69" i="2"/>
  <c r="P43" i="7"/>
  <c r="G6" i="20"/>
  <c r="X106" i="20"/>
  <c r="U109" i="20"/>
  <c r="E106" i="11"/>
  <c r="H106" i="11" s="1"/>
  <c r="F106" i="6"/>
  <c r="G106" i="6" s="1"/>
  <c r="F107" i="2"/>
  <c r="H67" i="11"/>
  <c r="I67" i="6"/>
  <c r="H71" i="11"/>
  <c r="P81" i="11"/>
  <c r="I72" i="2"/>
  <c r="H72" i="11"/>
  <c r="P82" i="11"/>
  <c r="I73" i="2"/>
  <c r="F82" i="2"/>
  <c r="E81" i="11"/>
  <c r="Q81" i="11"/>
  <c r="F81" i="6"/>
  <c r="P81" i="6"/>
  <c r="I82" i="6"/>
  <c r="AV8" i="10"/>
  <c r="CQ7" i="23"/>
  <c r="T100" i="20"/>
  <c r="U120" i="20"/>
  <c r="T108" i="20"/>
  <c r="T116" i="20"/>
  <c r="S23" i="7"/>
  <c r="G23" i="7"/>
  <c r="F30" i="20"/>
  <c r="B6" i="20"/>
  <c r="AV25" i="10"/>
  <c r="DB24" i="22"/>
  <c r="F24" i="20"/>
  <c r="G29" i="20"/>
  <c r="G7" i="20"/>
  <c r="AV9" i="10"/>
  <c r="G8" i="20"/>
  <c r="U102" i="20"/>
  <c r="AA119" i="20"/>
  <c r="AV7" i="10"/>
  <c r="CF6" i="22"/>
  <c r="G5" i="20"/>
  <c r="AV36" i="10"/>
  <c r="CQ35" i="23"/>
  <c r="AA102" i="20"/>
  <c r="AA113" i="20"/>
  <c r="AA114" i="20"/>
  <c r="L30" i="7"/>
  <c r="F37" i="20"/>
  <c r="AV39" i="10"/>
  <c r="BF39" i="10"/>
  <c r="CO38" i="22"/>
  <c r="CS38" i="22" s="1"/>
  <c r="F10" i="20"/>
  <c r="U101" i="20"/>
  <c r="AV37" i="10"/>
  <c r="DB36" i="22"/>
  <c r="G35" i="20"/>
  <c r="X115" i="20"/>
  <c r="X114" i="20"/>
  <c r="D14" i="20"/>
  <c r="D9" i="20"/>
  <c r="AV11" i="10"/>
  <c r="CF10" i="22"/>
  <c r="AV21" i="10"/>
  <c r="BF21" i="10"/>
  <c r="CO20" i="22"/>
  <c r="AV22" i="10"/>
  <c r="BF22" i="10"/>
  <c r="CO21" i="22"/>
  <c r="CS21" i="22" s="1"/>
  <c r="F21" i="20"/>
  <c r="E87" i="11"/>
  <c r="F87" i="6"/>
  <c r="I87" i="6" s="1"/>
  <c r="E92" i="11"/>
  <c r="F93" i="2"/>
  <c r="G14" i="20"/>
  <c r="AV16" i="10"/>
  <c r="BF16" i="10"/>
  <c r="CO15" i="23"/>
  <c r="F15" i="20"/>
  <c r="E8" i="10"/>
  <c r="R7" i="22"/>
  <c r="B7" i="20"/>
  <c r="AV32" i="10"/>
  <c r="F31" i="20"/>
  <c r="G30" i="20"/>
  <c r="AV26" i="10"/>
  <c r="CQ25" i="23"/>
  <c r="F25" i="20"/>
  <c r="G24" i="20"/>
  <c r="E14" i="20"/>
  <c r="AA16" i="10"/>
  <c r="BU15" i="23"/>
  <c r="G10" i="20"/>
  <c r="E9" i="20"/>
  <c r="G37" i="20"/>
  <c r="G38" i="20"/>
  <c r="G21" i="20"/>
  <c r="F22" i="20"/>
  <c r="G23" i="20"/>
  <c r="AV23" i="10"/>
  <c r="CQ22" i="22"/>
  <c r="G15" i="20"/>
  <c r="AV17" i="10"/>
  <c r="DB16" i="23"/>
  <c r="F16" i="20"/>
  <c r="G25" i="20"/>
  <c r="AV27" i="10"/>
  <c r="CF26" i="23"/>
  <c r="F26" i="20"/>
  <c r="AV33" i="10"/>
  <c r="BF33" i="10"/>
  <c r="CO32" i="23"/>
  <c r="CS32" i="23" s="1"/>
  <c r="F32" i="20"/>
  <c r="G31" i="20"/>
  <c r="G16" i="20"/>
  <c r="AV18" i="10"/>
  <c r="F17" i="20"/>
  <c r="G22" i="20"/>
  <c r="AV24" i="10"/>
  <c r="CF23" i="22"/>
  <c r="AV28" i="10"/>
  <c r="DB27" i="23"/>
  <c r="F27" i="20"/>
  <c r="G26" i="20"/>
  <c r="G32" i="20"/>
  <c r="G33" i="20"/>
  <c r="AV34" i="10"/>
  <c r="DB33" i="22"/>
  <c r="AV29" i="10"/>
  <c r="G27" i="20"/>
  <c r="G28" i="20"/>
  <c r="G18" i="20"/>
  <c r="G17" i="20"/>
  <c r="AV19" i="10"/>
  <c r="CF18" i="23"/>
  <c r="I68" i="6"/>
  <c r="I76" i="6"/>
  <c r="AA15" i="10"/>
  <c r="AY14" i="22"/>
  <c r="F91" i="6"/>
  <c r="E91" i="11"/>
  <c r="H91" i="11" s="1"/>
  <c r="F92" i="2"/>
  <c r="I92" i="2" s="1"/>
  <c r="B8" i="20"/>
  <c r="E9" i="10"/>
  <c r="O9" i="10"/>
  <c r="AA8" i="23"/>
  <c r="AE8" i="23" s="1"/>
  <c r="F88" i="2"/>
  <c r="D10" i="20"/>
  <c r="AA11" i="10"/>
  <c r="F11" i="20"/>
  <c r="AV12" i="10"/>
  <c r="BF12" i="10"/>
  <c r="CO11" i="22"/>
  <c r="CS11" i="22" s="1"/>
  <c r="X103" i="20"/>
  <c r="X104" i="20"/>
  <c r="U100" i="20"/>
  <c r="U121" i="20"/>
  <c r="F101" i="6"/>
  <c r="D24" i="20"/>
  <c r="AA25" i="10"/>
  <c r="E101" i="11"/>
  <c r="F102" i="2"/>
  <c r="D19" i="20"/>
  <c r="AA10" i="10"/>
  <c r="AY9" i="23"/>
  <c r="F87" i="2"/>
  <c r="D5" i="20"/>
  <c r="E86" i="11"/>
  <c r="F92" i="6"/>
  <c r="D15" i="20"/>
  <c r="P31" i="7"/>
  <c r="P22" i="7"/>
  <c r="E24" i="7"/>
  <c r="T115" i="20"/>
  <c r="U115" i="20"/>
  <c r="J29" i="7"/>
  <c r="J30" i="7"/>
  <c r="T117" i="20"/>
  <c r="U118" i="20"/>
  <c r="U117" i="20"/>
  <c r="U116" i="20"/>
  <c r="J6" i="7"/>
  <c r="U107" i="20"/>
  <c r="AA100" i="20"/>
  <c r="AA121" i="20"/>
  <c r="X113" i="20"/>
  <c r="U108" i="20"/>
  <c r="X99" i="20"/>
  <c r="D11" i="20"/>
  <c r="E88" i="11"/>
  <c r="AA12" i="10"/>
  <c r="AK12" i="10"/>
  <c r="BH11" i="23"/>
  <c r="BL11" i="23" s="1"/>
  <c r="F89" i="2"/>
  <c r="E10" i="20"/>
  <c r="F88" i="6"/>
  <c r="K88" i="6" s="1"/>
  <c r="AA17" i="10"/>
  <c r="AK17" i="10"/>
  <c r="BH16" i="23"/>
  <c r="BL16" i="23"/>
  <c r="F94" i="2"/>
  <c r="I94" i="2" s="1"/>
  <c r="D16" i="20"/>
  <c r="E15" i="20"/>
  <c r="E93" i="11"/>
  <c r="H93" i="11" s="1"/>
  <c r="F93" i="6"/>
  <c r="BJ10" i="22"/>
  <c r="F97" i="6"/>
  <c r="E155" i="6" s="1"/>
  <c r="F98" i="2"/>
  <c r="E19" i="20"/>
  <c r="AA21" i="10"/>
  <c r="BJ20" i="23"/>
  <c r="E97" i="11"/>
  <c r="J97" i="11" s="1"/>
  <c r="L97" i="11" s="1"/>
  <c r="K97" i="11" s="1"/>
  <c r="I21" i="10" s="1"/>
  <c r="J21" i="10" s="1"/>
  <c r="D20" i="20"/>
  <c r="F102" i="6"/>
  <c r="G102" i="6" s="1"/>
  <c r="D25" i="20"/>
  <c r="F103" i="2"/>
  <c r="J103" i="2" s="1"/>
  <c r="E24" i="20"/>
  <c r="AA26" i="10"/>
  <c r="AK26" i="10"/>
  <c r="BH25" i="23"/>
  <c r="BL25" i="23" s="1"/>
  <c r="E102" i="11"/>
  <c r="H102" i="11" s="1"/>
  <c r="P112" i="11" s="1"/>
  <c r="AN8" i="23"/>
  <c r="X121" i="20"/>
  <c r="E83" i="11"/>
  <c r="F83" i="6"/>
  <c r="G83" i="6" s="1"/>
  <c r="F84" i="2"/>
  <c r="D6" i="20"/>
  <c r="AA7" i="10"/>
  <c r="AY6" i="23"/>
  <c r="E5" i="20"/>
  <c r="F12" i="20"/>
  <c r="G11" i="20"/>
  <c r="AV13" i="10"/>
  <c r="CQ12" i="22"/>
  <c r="B9" i="20"/>
  <c r="E10" i="10"/>
  <c r="O10" i="10"/>
  <c r="F90" i="2"/>
  <c r="E11" i="10"/>
  <c r="AC10" i="22"/>
  <c r="B10" i="20"/>
  <c r="E6" i="20"/>
  <c r="F84" i="6"/>
  <c r="K84" i="6" s="1"/>
  <c r="F85" i="2"/>
  <c r="K85" i="2" s="1"/>
  <c r="D7" i="20"/>
  <c r="AA8" i="10"/>
  <c r="BU7" i="22"/>
  <c r="E84" i="11"/>
  <c r="H84" i="11"/>
  <c r="F99" i="2"/>
  <c r="E20" i="20"/>
  <c r="AA22" i="10"/>
  <c r="BU21" i="22"/>
  <c r="E98" i="11"/>
  <c r="J98" i="11" s="1"/>
  <c r="F98" i="6"/>
  <c r="D21" i="20"/>
  <c r="D12" i="20"/>
  <c r="E11" i="20"/>
  <c r="E89" i="11"/>
  <c r="AA13" i="10"/>
  <c r="BJ12" i="23"/>
  <c r="F89" i="6"/>
  <c r="I89" i="6" s="1"/>
  <c r="F95" i="2"/>
  <c r="J95" i="2" s="1"/>
  <c r="D17" i="20"/>
  <c r="E94" i="11"/>
  <c r="I94" i="11" s="1"/>
  <c r="AA18" i="10"/>
  <c r="AK18" i="10"/>
  <c r="BH17" i="23"/>
  <c r="F94" i="6"/>
  <c r="K94" i="6" s="1"/>
  <c r="E16" i="20"/>
  <c r="G13" i="20"/>
  <c r="G12" i="20"/>
  <c r="AV14" i="10"/>
  <c r="CQ13" i="23"/>
  <c r="F103" i="6"/>
  <c r="AA27" i="10"/>
  <c r="F104" i="2"/>
  <c r="E103" i="11"/>
  <c r="H103" i="11" s="1"/>
  <c r="P113" i="11" s="1"/>
  <c r="E25" i="20"/>
  <c r="D26" i="20"/>
  <c r="F90" i="6"/>
  <c r="E148" i="6" s="1"/>
  <c r="AA14" i="10"/>
  <c r="BU13" i="22"/>
  <c r="E12" i="20"/>
  <c r="E13" i="20"/>
  <c r="E90" i="11"/>
  <c r="F91" i="2"/>
  <c r="K91" i="2" s="1"/>
  <c r="F99" i="6"/>
  <c r="F100" i="2"/>
  <c r="E21" i="20"/>
  <c r="AA23" i="10"/>
  <c r="AY22" i="23"/>
  <c r="E99" i="11"/>
  <c r="H99" i="11" s="1"/>
  <c r="D22" i="20"/>
  <c r="E7" i="20"/>
  <c r="E85" i="11"/>
  <c r="F85" i="11" s="1"/>
  <c r="AA9" i="10"/>
  <c r="E8" i="20"/>
  <c r="F85" i="6"/>
  <c r="F86" i="2"/>
  <c r="I86" i="2" s="1"/>
  <c r="AA19" i="10"/>
  <c r="BJ18" i="23"/>
  <c r="E95" i="11"/>
  <c r="F95" i="6"/>
  <c r="K95" i="6" s="1"/>
  <c r="E18" i="20"/>
  <c r="F96" i="2"/>
  <c r="J97" i="2" s="1"/>
  <c r="E17" i="20"/>
  <c r="BU17" i="23"/>
  <c r="F104" i="6"/>
  <c r="K104" i="6" s="1"/>
  <c r="E26" i="20"/>
  <c r="E104" i="11"/>
  <c r="D27" i="20"/>
  <c r="F105" i="2"/>
  <c r="AA28" i="10"/>
  <c r="AK28" i="10"/>
  <c r="BH27" i="23"/>
  <c r="BL27" i="23" s="1"/>
  <c r="B11" i="20"/>
  <c r="E12" i="10"/>
  <c r="AC11" i="22"/>
  <c r="B12" i="20"/>
  <c r="E13" i="10"/>
  <c r="E27" i="20"/>
  <c r="F105" i="6"/>
  <c r="E105" i="11"/>
  <c r="J105" i="11" s="1"/>
  <c r="L105" i="11" s="1"/>
  <c r="K105" i="11" s="1"/>
  <c r="AE29" i="10" s="1"/>
  <c r="AF29" i="10" s="1"/>
  <c r="AW28" i="22" s="1"/>
  <c r="BA28" i="22" s="1"/>
  <c r="E28" i="20"/>
  <c r="E29" i="20"/>
  <c r="F106" i="2"/>
  <c r="J107" i="2" s="1"/>
  <c r="AA29" i="10"/>
  <c r="AK29" i="10"/>
  <c r="BH28" i="22"/>
  <c r="BL28" i="22" s="1"/>
  <c r="F100" i="6"/>
  <c r="E158" i="6" s="1"/>
  <c r="AA24" i="10"/>
  <c r="AY23" i="22"/>
  <c r="E100" i="11"/>
  <c r="J100" i="11" s="1"/>
  <c r="L100" i="11" s="1"/>
  <c r="K100" i="11" s="1"/>
  <c r="I24" i="10" s="1"/>
  <c r="J24" i="10" s="1"/>
  <c r="F101" i="2"/>
  <c r="I101" i="2" s="1"/>
  <c r="E23" i="20"/>
  <c r="E22" i="20"/>
  <c r="AC11" i="23"/>
  <c r="E31" i="20"/>
  <c r="E34" i="20"/>
  <c r="E33" i="20"/>
  <c r="E30" i="20"/>
  <c r="E37" i="20"/>
  <c r="E35" i="20"/>
  <c r="E38" i="20"/>
  <c r="E36" i="20"/>
  <c r="E32" i="20"/>
  <c r="D29" i="20"/>
  <c r="B13" i="20"/>
  <c r="E14" i="10"/>
  <c r="O14" i="10"/>
  <c r="AA13" i="22"/>
  <c r="AE13" i="22" s="1"/>
  <c r="E15" i="10"/>
  <c r="R14" i="23"/>
  <c r="B14" i="20"/>
  <c r="E107" i="11"/>
  <c r="I107" i="11" s="1"/>
  <c r="F107" i="6"/>
  <c r="G107" i="6" s="1"/>
  <c r="I107" i="6" s="1"/>
  <c r="E107" i="6" s="1"/>
  <c r="E43" i="6" s="1"/>
  <c r="D30" i="20"/>
  <c r="F108" i="2"/>
  <c r="AA31" i="10"/>
  <c r="AK31" i="10"/>
  <c r="BH30" i="23"/>
  <c r="BL30" i="23" s="1"/>
  <c r="F108" i="6"/>
  <c r="E108" i="11"/>
  <c r="I108" i="11" s="1"/>
  <c r="D31" i="20"/>
  <c r="F109" i="2"/>
  <c r="AA32" i="10"/>
  <c r="BU31" i="23"/>
  <c r="B15" i="20"/>
  <c r="E16" i="10"/>
  <c r="AN15" i="23"/>
  <c r="BJ30" i="23"/>
  <c r="F109" i="6"/>
  <c r="E167" i="6" s="1"/>
  <c r="E109" i="11"/>
  <c r="H109" i="11" s="1"/>
  <c r="D32" i="20"/>
  <c r="F110" i="2"/>
  <c r="AA33" i="10"/>
  <c r="BU32" i="22"/>
  <c r="B16" i="20"/>
  <c r="E17" i="10"/>
  <c r="AC16" i="23"/>
  <c r="F111" i="2"/>
  <c r="AA34" i="10"/>
  <c r="AK34" i="10"/>
  <c r="BH33" i="23"/>
  <c r="BL33" i="23" s="1"/>
  <c r="E110" i="11"/>
  <c r="H110" i="11" s="1"/>
  <c r="F110" i="6"/>
  <c r="K110" i="6" s="1"/>
  <c r="D33" i="20"/>
  <c r="E18" i="10"/>
  <c r="O18" i="10"/>
  <c r="AA17" i="23"/>
  <c r="AE17" i="23" s="1"/>
  <c r="B17" i="20"/>
  <c r="E19" i="10"/>
  <c r="AC18" i="22"/>
  <c r="B18" i="20"/>
  <c r="E111" i="11"/>
  <c r="H111" i="11" s="1"/>
  <c r="D34" i="20"/>
  <c r="F111" i="6"/>
  <c r="E169" i="6" s="1"/>
  <c r="AA35" i="10"/>
  <c r="AY34" i="22"/>
  <c r="F112" i="2"/>
  <c r="K112" i="2" s="1"/>
  <c r="L112" i="2" s="1"/>
  <c r="F113" i="2"/>
  <c r="D35" i="20"/>
  <c r="AA36" i="10"/>
  <c r="F112" i="6"/>
  <c r="E112" i="11"/>
  <c r="B19" i="20"/>
  <c r="E20" i="10"/>
  <c r="R19" i="23"/>
  <c r="E21" i="10"/>
  <c r="R20" i="23"/>
  <c r="B20" i="20"/>
  <c r="F113" i="6"/>
  <c r="D36" i="20"/>
  <c r="F114" i="2"/>
  <c r="AA37" i="10"/>
  <c r="E113" i="11"/>
  <c r="F113" i="11" s="1"/>
  <c r="AN19" i="22"/>
  <c r="AA38" i="10"/>
  <c r="BJ37" i="23"/>
  <c r="E114" i="11"/>
  <c r="H114" i="11" s="1"/>
  <c r="F114" i="6"/>
  <c r="E172" i="6" s="1"/>
  <c r="D37" i="20"/>
  <c r="F115" i="2"/>
  <c r="K115" i="2" s="1"/>
  <c r="BJ36" i="22"/>
  <c r="E22" i="10"/>
  <c r="B21" i="20"/>
  <c r="E115" i="11"/>
  <c r="F115" i="6"/>
  <c r="F116" i="2"/>
  <c r="D38" i="20"/>
  <c r="AA39" i="10"/>
  <c r="E23" i="10"/>
  <c r="B22" i="20"/>
  <c r="B23" i="20"/>
  <c r="E24" i="10"/>
  <c r="AC23" i="22"/>
  <c r="E116" i="11"/>
  <c r="H116" i="11" s="1"/>
  <c r="AA40" i="10"/>
  <c r="F117" i="2"/>
  <c r="F116" i="6"/>
  <c r="G116" i="6" s="1"/>
  <c r="I116" i="6" s="1"/>
  <c r="AN22" i="23"/>
  <c r="AY39" i="22"/>
  <c r="B24" i="20"/>
  <c r="E25" i="10"/>
  <c r="O25" i="10"/>
  <c r="AA24" i="23"/>
  <c r="E26" i="10"/>
  <c r="AC25" i="23"/>
  <c r="B25" i="20"/>
  <c r="E27" i="10"/>
  <c r="AC26" i="23"/>
  <c r="B26" i="20"/>
  <c r="R25" i="23"/>
  <c r="B27" i="20"/>
  <c r="E28" i="10"/>
  <c r="B28" i="20"/>
  <c r="E29" i="10"/>
  <c r="AN28" i="22"/>
  <c r="E30" i="10"/>
  <c r="AC29" i="22"/>
  <c r="B29" i="20"/>
  <c r="E31" i="10"/>
  <c r="O31" i="10"/>
  <c r="AA30" i="22"/>
  <c r="B30" i="20"/>
  <c r="B31" i="20"/>
  <c r="E32" i="10"/>
  <c r="AC31" i="23"/>
  <c r="AN30" i="23"/>
  <c r="E33" i="10"/>
  <c r="AN32" i="23"/>
  <c r="B32" i="20"/>
  <c r="E34" i="10"/>
  <c r="AC33" i="23"/>
  <c r="B33" i="20"/>
  <c r="E35" i="10"/>
  <c r="B34" i="20"/>
  <c r="B35" i="20"/>
  <c r="E36" i="10"/>
  <c r="E37" i="10"/>
  <c r="B36" i="20"/>
  <c r="B37" i="20"/>
  <c r="E38" i="10"/>
  <c r="AC37" i="22"/>
  <c r="AC36" i="23"/>
  <c r="B38" i="20"/>
  <c r="E40" i="10"/>
  <c r="R39" i="23"/>
  <c r="E39" i="10"/>
  <c r="O39" i="10"/>
  <c r="AA38" i="22"/>
  <c r="AE38" i="22" s="1"/>
  <c r="R47" i="27"/>
  <c r="R46" i="27"/>
  <c r="R42" i="27"/>
  <c r="R49" i="27"/>
  <c r="R36" i="27"/>
  <c r="R51" i="27"/>
  <c r="R50" i="27"/>
  <c r="R37" i="27"/>
  <c r="R38" i="27"/>
  <c r="R41" i="27"/>
  <c r="R44" i="27"/>
  <c r="R43" i="27"/>
  <c r="R39" i="27"/>
  <c r="R45" i="27"/>
  <c r="R48" i="27"/>
  <c r="R40" i="27"/>
  <c r="B5" i="16"/>
  <c r="DB32" i="23"/>
  <c r="BU25" i="22"/>
  <c r="CF15" i="22"/>
  <c r="CF21" i="23"/>
  <c r="AY30" i="22"/>
  <c r="R25" i="22"/>
  <c r="AY30" i="23"/>
  <c r="AN10" i="23"/>
  <c r="CQ12" i="23"/>
  <c r="AN24" i="23"/>
  <c r="BJ17" i="22"/>
  <c r="CQ21" i="23"/>
  <c r="CF33" i="22"/>
  <c r="AN18" i="23"/>
  <c r="AY32" i="23"/>
  <c r="BJ30" i="22"/>
  <c r="AN13" i="22"/>
  <c r="R13" i="23"/>
  <c r="AN17" i="23"/>
  <c r="AY31" i="22"/>
  <c r="R13" i="22"/>
  <c r="BU37" i="22"/>
  <c r="AY33" i="23"/>
  <c r="AC13" i="22"/>
  <c r="AN25" i="22"/>
  <c r="AN13" i="23"/>
  <c r="AC38" i="23"/>
  <c r="BJ22" i="22"/>
  <c r="CQ30" i="22"/>
  <c r="R38" i="23"/>
  <c r="BJ27" i="23"/>
  <c r="BU16" i="23"/>
  <c r="CQ15" i="23"/>
  <c r="AN38" i="23"/>
  <c r="AY7" i="22"/>
  <c r="DB15" i="22"/>
  <c r="CF35" i="22"/>
  <c r="AN38" i="22"/>
  <c r="R37" i="22"/>
  <c r="AN10" i="22"/>
  <c r="AY11" i="22"/>
  <c r="CF12" i="23"/>
  <c r="BJ6" i="23"/>
  <c r="DB20" i="23"/>
  <c r="AY19" i="23"/>
  <c r="BJ29" i="23"/>
  <c r="BU28" i="22"/>
  <c r="R6" i="23"/>
  <c r="CF33" i="23"/>
  <c r="DB29" i="23"/>
  <c r="AY28" i="23"/>
  <c r="BU17" i="22"/>
  <c r="DB11" i="22"/>
  <c r="DB35" i="22"/>
  <c r="CQ32" i="22"/>
  <c r="DB35" i="23"/>
  <c r="CF39" i="22"/>
  <c r="CQ29" i="22"/>
  <c r="CF29" i="23"/>
  <c r="CO32" i="22"/>
  <c r="CS32" i="22" s="1"/>
  <c r="BJ28" i="22"/>
  <c r="AC10" i="23"/>
  <c r="AY17" i="23"/>
  <c r="AY16" i="23"/>
  <c r="BJ6" i="22"/>
  <c r="CF11" i="23"/>
  <c r="CQ35" i="22"/>
  <c r="CF20" i="22"/>
  <c r="DB7" i="22"/>
  <c r="CQ39" i="22"/>
  <c r="DB29" i="22"/>
  <c r="BU29" i="23"/>
  <c r="AN39" i="22"/>
  <c r="AC17" i="23"/>
  <c r="BU33" i="23"/>
  <c r="AY33" i="22"/>
  <c r="AN16" i="22"/>
  <c r="BU27" i="22"/>
  <c r="BU7" i="23"/>
  <c r="AN8" i="22"/>
  <c r="CQ38" i="22"/>
  <c r="DB21" i="23"/>
  <c r="CQ27" i="22"/>
  <c r="DB30" i="22"/>
  <c r="BH25" i="22"/>
  <c r="BL25" i="22" s="1"/>
  <c r="AN30" i="22"/>
  <c r="AC17" i="22"/>
  <c r="BJ33" i="22"/>
  <c r="AY13" i="22"/>
  <c r="AY27" i="22"/>
  <c r="AY27" i="23"/>
  <c r="CF13" i="22"/>
  <c r="AY12" i="23"/>
  <c r="AY21" i="22"/>
  <c r="R8" i="22"/>
  <c r="R6" i="22"/>
  <c r="DB38" i="23"/>
  <c r="CF15" i="23"/>
  <c r="CQ37" i="23"/>
  <c r="CF27" i="23"/>
  <c r="DB15" i="23"/>
  <c r="DB37" i="23"/>
  <c r="CF19" i="22"/>
  <c r="AC6" i="22"/>
  <c r="BJ29" i="22"/>
  <c r="CQ39" i="23"/>
  <c r="AA8" i="22"/>
  <c r="AE8" i="22" s="1"/>
  <c r="CO21" i="23"/>
  <c r="CS21" i="23" s="1"/>
  <c r="AN33" i="23"/>
  <c r="R30" i="23"/>
  <c r="R24" i="22"/>
  <c r="R17" i="23"/>
  <c r="BU33" i="22"/>
  <c r="BJ13" i="22"/>
  <c r="BJ27" i="22"/>
  <c r="AN11" i="23"/>
  <c r="AY11" i="23"/>
  <c r="AC9" i="23"/>
  <c r="BJ16" i="22"/>
  <c r="BJ25" i="23"/>
  <c r="AC8" i="22"/>
  <c r="AC6" i="23"/>
  <c r="CQ15" i="22"/>
  <c r="CQ21" i="22"/>
  <c r="DB37" i="22"/>
  <c r="CQ20" i="23"/>
  <c r="CF9" i="22"/>
  <c r="AN6" i="22"/>
  <c r="AN6" i="23"/>
  <c r="O37" i="10"/>
  <c r="AA36" i="22"/>
  <c r="AE36" i="22" s="1"/>
  <c r="AN36" i="23"/>
  <c r="R36" i="22"/>
  <c r="O23" i="10"/>
  <c r="AC22" i="23"/>
  <c r="AC22" i="22"/>
  <c r="AN12" i="23"/>
  <c r="R12" i="23"/>
  <c r="BF29" i="10"/>
  <c r="CO28" i="22"/>
  <c r="CS28" i="22" s="1"/>
  <c r="DB28" i="23"/>
  <c r="DB28" i="22"/>
  <c r="DB17" i="23"/>
  <c r="CF17" i="23"/>
  <c r="DB17" i="22"/>
  <c r="R35" i="22"/>
  <c r="AC35" i="23"/>
  <c r="AN27" i="23"/>
  <c r="AC27" i="22"/>
  <c r="O22" i="10"/>
  <c r="AA21" i="22"/>
  <c r="R21" i="23"/>
  <c r="AC21" i="22"/>
  <c r="O16" i="10"/>
  <c r="AC15" i="23"/>
  <c r="R15" i="23"/>
  <c r="AN15" i="22"/>
  <c r="R15" i="22"/>
  <c r="AC15" i="22"/>
  <c r="AC12" i="22"/>
  <c r="AK15" i="10"/>
  <c r="BJ14" i="22"/>
  <c r="AY14" i="23"/>
  <c r="DB14" i="22"/>
  <c r="DB14" i="23"/>
  <c r="AN39" i="23"/>
  <c r="O30" i="10"/>
  <c r="AA29" i="22"/>
  <c r="AE29" i="22" s="1"/>
  <c r="AN29" i="23"/>
  <c r="R29" i="23"/>
  <c r="AN29" i="22"/>
  <c r="AY18" i="22"/>
  <c r="BU18" i="22"/>
  <c r="AC36" i="22"/>
  <c r="AC29" i="23"/>
  <c r="R22" i="23"/>
  <c r="AN21" i="23"/>
  <c r="AY26" i="22"/>
  <c r="BU26" i="22"/>
  <c r="BU32" i="23"/>
  <c r="BJ28" i="23"/>
  <c r="BU28" i="23"/>
  <c r="AY22" i="22"/>
  <c r="BJ7" i="22"/>
  <c r="BU11" i="23"/>
  <c r="R9" i="22"/>
  <c r="AY16" i="22"/>
  <c r="AY25" i="22"/>
  <c r="CQ11" i="23"/>
  <c r="CF38" i="22"/>
  <c r="CQ38" i="23"/>
  <c r="CQ20" i="22"/>
  <c r="CO11" i="23"/>
  <c r="CS11" i="23"/>
  <c r="CO20" i="23"/>
  <c r="CS20" i="23" s="1"/>
  <c r="AC30" i="22"/>
  <c r="R24" i="23"/>
  <c r="BU37" i="23"/>
  <c r="AY28" i="22"/>
  <c r="BJ17" i="23"/>
  <c r="AY17" i="22"/>
  <c r="BJ11" i="22"/>
  <c r="AN9" i="23"/>
  <c r="BJ16" i="23"/>
  <c r="BU25" i="23"/>
  <c r="AC8" i="23"/>
  <c r="R8" i="23"/>
  <c r="DB11" i="23"/>
  <c r="AA24" i="22"/>
  <c r="AE24" i="22" s="1"/>
  <c r="CF38" i="23"/>
  <c r="CF37" i="22"/>
  <c r="CF21" i="22"/>
  <c r="DB27" i="22"/>
  <c r="CF32" i="22"/>
  <c r="DB38" i="22"/>
  <c r="DB21" i="22"/>
  <c r="CF20" i="23"/>
  <c r="CF36" i="23"/>
  <c r="DB19" i="22"/>
  <c r="CO38" i="23"/>
  <c r="CS38" i="23"/>
  <c r="AA38" i="23"/>
  <c r="O35" i="10"/>
  <c r="AN34" i="23"/>
  <c r="AC34" i="22"/>
  <c r="AN34" i="22"/>
  <c r="R34" i="22"/>
  <c r="O33" i="10"/>
  <c r="AC32" i="22"/>
  <c r="AN32" i="22"/>
  <c r="R32" i="23"/>
  <c r="AK37" i="10"/>
  <c r="BH36" i="22"/>
  <c r="BL36" i="22" s="1"/>
  <c r="AY36" i="23"/>
  <c r="BU36" i="22"/>
  <c r="AK36" i="10"/>
  <c r="AY35" i="23"/>
  <c r="BJ35" i="22"/>
  <c r="AY35" i="22"/>
  <c r="BU35" i="22"/>
  <c r="AN37" i="23"/>
  <c r="AC19" i="23"/>
  <c r="AK35" i="10"/>
  <c r="BU34" i="22"/>
  <c r="BJ34" i="22"/>
  <c r="AY34" i="23"/>
  <c r="AY31" i="23"/>
  <c r="BJ31" i="22"/>
  <c r="AK9" i="10"/>
  <c r="AY8" i="22"/>
  <c r="BJ8" i="22"/>
  <c r="AY8" i="23"/>
  <c r="BU8" i="23"/>
  <c r="BJ10" i="23"/>
  <c r="AY10" i="22"/>
  <c r="BF32" i="10"/>
  <c r="CQ31" i="22"/>
  <c r="DB31" i="23"/>
  <c r="CF31" i="23"/>
  <c r="DB31" i="22"/>
  <c r="R34" i="23"/>
  <c r="AC32" i="23"/>
  <c r="AY36" i="22"/>
  <c r="BJ35" i="23"/>
  <c r="O17" i="10"/>
  <c r="AA16" i="22"/>
  <c r="AE16" i="22" s="1"/>
  <c r="R16" i="23"/>
  <c r="AC16" i="22"/>
  <c r="BJ8" i="23"/>
  <c r="BF14" i="10"/>
  <c r="CO13" i="23"/>
  <c r="CS13" i="23" s="1"/>
  <c r="CQ13" i="22"/>
  <c r="CF13" i="23"/>
  <c r="AK22" i="10"/>
  <c r="BU21" i="23"/>
  <c r="AY21" i="23"/>
  <c r="BJ21" i="23"/>
  <c r="BJ21" i="22"/>
  <c r="AK8" i="10"/>
  <c r="BJ7" i="23"/>
  <c r="AY7" i="23"/>
  <c r="AA9" i="23"/>
  <c r="AE9" i="23" s="1"/>
  <c r="AA9" i="22"/>
  <c r="AE9" i="22" s="1"/>
  <c r="CF31" i="22"/>
  <c r="CQ31" i="23"/>
  <c r="BF19" i="10"/>
  <c r="CO18" i="23"/>
  <c r="CS18" i="23" s="1"/>
  <c r="CF18" i="22"/>
  <c r="CQ18" i="23"/>
  <c r="DB18" i="23"/>
  <c r="CQ18" i="22"/>
  <c r="DB18" i="22"/>
  <c r="AC28" i="22"/>
  <c r="R28" i="23"/>
  <c r="O20" i="10"/>
  <c r="R19" i="22"/>
  <c r="AN19" i="23"/>
  <c r="AC19" i="22"/>
  <c r="BF37" i="10"/>
  <c r="CQ36" i="23"/>
  <c r="CQ36" i="22"/>
  <c r="DB36" i="23"/>
  <c r="CF36" i="22"/>
  <c r="BF35" i="10"/>
  <c r="CQ34" i="23"/>
  <c r="CF34" i="22"/>
  <c r="DB34" i="23"/>
  <c r="CQ34" i="22"/>
  <c r="AC34" i="23"/>
  <c r="R28" i="22"/>
  <c r="BJ36" i="23"/>
  <c r="BU34" i="23"/>
  <c r="AK19" i="10"/>
  <c r="AY18" i="23"/>
  <c r="BJ18" i="22"/>
  <c r="AK27" i="10"/>
  <c r="BJ26" i="22"/>
  <c r="BU26" i="23"/>
  <c r="BF24" i="10"/>
  <c r="CF23" i="23"/>
  <c r="DB23" i="23"/>
  <c r="CQ23" i="22"/>
  <c r="DB23" i="22"/>
  <c r="CQ23" i="23"/>
  <c r="O36" i="10"/>
  <c r="R35" i="23"/>
  <c r="AN35" i="22"/>
  <c r="R32" i="22"/>
  <c r="O26" i="10"/>
  <c r="AC25" i="22"/>
  <c r="AN25" i="23"/>
  <c r="BU36" i="23"/>
  <c r="AN20" i="22"/>
  <c r="BU35" i="23"/>
  <c r="BJ34" i="23"/>
  <c r="BU8" i="22"/>
  <c r="BU18" i="23"/>
  <c r="O13" i="10"/>
  <c r="R12" i="22"/>
  <c r="AC12" i="23"/>
  <c r="BJ26" i="23"/>
  <c r="DB10" i="23"/>
  <c r="CQ10" i="23"/>
  <c r="DB10" i="22"/>
  <c r="CF8" i="22"/>
  <c r="DB8" i="23"/>
  <c r="CF24" i="23"/>
  <c r="CQ24" i="22"/>
  <c r="CF34" i="23"/>
  <c r="CO37" i="23"/>
  <c r="CS37" i="23" s="1"/>
  <c r="AC38" i="22"/>
  <c r="R38" i="22"/>
  <c r="AN36" i="22"/>
  <c r="R36" i="23"/>
  <c r="R30" i="22"/>
  <c r="AC30" i="23"/>
  <c r="R29" i="22"/>
  <c r="AC24" i="23"/>
  <c r="AN24" i="22"/>
  <c r="R22" i="22"/>
  <c r="AN22" i="22"/>
  <c r="AC13" i="23"/>
  <c r="AC9" i="22"/>
  <c r="BJ14" i="23"/>
  <c r="BU14" i="23"/>
  <c r="BH16" i="22"/>
  <c r="BL16" i="22" s="1"/>
  <c r="CF28" i="22"/>
  <c r="CF28" i="23"/>
  <c r="DB32" i="22"/>
  <c r="CQ32" i="23"/>
  <c r="DB9" i="22"/>
  <c r="AY19" i="22"/>
  <c r="DB9" i="23"/>
  <c r="BH28" i="23"/>
  <c r="BL28" i="23" s="1"/>
  <c r="CO15" i="22"/>
  <c r="CS15" i="22" s="1"/>
  <c r="BH17" i="22"/>
  <c r="BL17" i="22" s="1"/>
  <c r="R9" i="23"/>
  <c r="AN9" i="22"/>
  <c r="BU14" i="22"/>
  <c r="CQ28" i="22"/>
  <c r="CQ28" i="23"/>
  <c r="CF32" i="23"/>
  <c r="AA30" i="23"/>
  <c r="AE30" i="23" s="1"/>
  <c r="AA17" i="22"/>
  <c r="AE17" i="22" s="1"/>
  <c r="AA6" i="23"/>
  <c r="AE6" i="23" s="1"/>
  <c r="AA13" i="23"/>
  <c r="AE13" i="23" s="1"/>
  <c r="BH30" i="22"/>
  <c r="BL30" i="22" s="1"/>
  <c r="AK40" i="10"/>
  <c r="BU39" i="22"/>
  <c r="BU39" i="23"/>
  <c r="AK39" i="10"/>
  <c r="BU38" i="23"/>
  <c r="AY38" i="22"/>
  <c r="BJ38" i="22"/>
  <c r="BJ38" i="23"/>
  <c r="AK24" i="10"/>
  <c r="BJ23" i="23"/>
  <c r="AY23" i="23"/>
  <c r="BU23" i="22"/>
  <c r="AK21" i="10"/>
  <c r="AY20" i="22"/>
  <c r="AY20" i="23"/>
  <c r="AK25" i="10"/>
  <c r="AY24" i="22"/>
  <c r="BJ24" i="23"/>
  <c r="AY24" i="23"/>
  <c r="BJ24" i="22"/>
  <c r="BF23" i="10"/>
  <c r="DB22" i="22"/>
  <c r="DB22" i="23"/>
  <c r="CF22" i="23"/>
  <c r="CF22" i="22"/>
  <c r="O32" i="10"/>
  <c r="R31" i="22"/>
  <c r="AN31" i="22"/>
  <c r="AN26" i="22"/>
  <c r="O19" i="10"/>
  <c r="R18" i="23"/>
  <c r="AC18" i="23"/>
  <c r="O15" i="10"/>
  <c r="AN14" i="23"/>
  <c r="AC14" i="22"/>
  <c r="R14" i="22"/>
  <c r="R31" i="23"/>
  <c r="BJ39" i="23"/>
  <c r="AY38" i="23"/>
  <c r="O21" i="10"/>
  <c r="R20" i="22"/>
  <c r="AC20" i="23"/>
  <c r="AN20" i="23"/>
  <c r="AC20" i="22"/>
  <c r="AN18" i="22"/>
  <c r="AK33" i="10"/>
  <c r="BJ32" i="22"/>
  <c r="BJ32" i="23"/>
  <c r="AY32" i="22"/>
  <c r="AN14" i="22"/>
  <c r="AK32" i="10"/>
  <c r="BU31" i="22"/>
  <c r="BJ31" i="23"/>
  <c r="BJ23" i="22"/>
  <c r="AK23" i="10"/>
  <c r="BU22" i="23"/>
  <c r="BJ22" i="23"/>
  <c r="BU22" i="22"/>
  <c r="AK14" i="10"/>
  <c r="BU13" i="23"/>
  <c r="BJ13" i="23"/>
  <c r="AY13" i="23"/>
  <c r="BJ20" i="22"/>
  <c r="O11" i="10"/>
  <c r="R10" i="23"/>
  <c r="R10" i="22"/>
  <c r="BF13" i="10"/>
  <c r="DB12" i="22"/>
  <c r="CF12" i="22"/>
  <c r="DB12" i="23"/>
  <c r="AK7" i="10"/>
  <c r="AY6" i="22"/>
  <c r="BU6" i="22"/>
  <c r="BU6" i="23"/>
  <c r="BU24" i="23"/>
  <c r="BF17" i="10"/>
  <c r="CQ16" i="22"/>
  <c r="CF16" i="22"/>
  <c r="DB16" i="22"/>
  <c r="CF16" i="23"/>
  <c r="CQ16" i="23"/>
  <c r="O8" i="10"/>
  <c r="AC7" i="23"/>
  <c r="AN7" i="22"/>
  <c r="R7" i="23"/>
  <c r="AC7" i="22"/>
  <c r="AN7" i="23"/>
  <c r="O34" i="10"/>
  <c r="AC33" i="22"/>
  <c r="R33" i="23"/>
  <c r="O27" i="10"/>
  <c r="AN26" i="23"/>
  <c r="AC26" i="22"/>
  <c r="R26" i="22"/>
  <c r="R26" i="23"/>
  <c r="O24" i="10"/>
  <c r="AN23" i="23"/>
  <c r="R23" i="23"/>
  <c r="AN23" i="22"/>
  <c r="R23" i="22"/>
  <c r="AK10" i="10"/>
  <c r="AY9" i="22"/>
  <c r="BU9" i="22"/>
  <c r="BJ9" i="23"/>
  <c r="BJ9" i="22"/>
  <c r="BF27" i="10"/>
  <c r="DB26" i="22"/>
  <c r="DB26" i="23"/>
  <c r="CQ26" i="23"/>
  <c r="CQ26" i="22"/>
  <c r="CF26" i="22"/>
  <c r="R33" i="22"/>
  <c r="AN31" i="23"/>
  <c r="BJ39" i="22"/>
  <c r="BU23" i="23"/>
  <c r="BU20" i="22"/>
  <c r="AK13" i="10"/>
  <c r="BU12" i="23"/>
  <c r="AY12" i="22"/>
  <c r="BJ12" i="22"/>
  <c r="BU12" i="22"/>
  <c r="BU24" i="22"/>
  <c r="CQ22" i="23"/>
  <c r="O40" i="10"/>
  <c r="AC39" i="23"/>
  <c r="R39" i="22"/>
  <c r="AC39" i="22"/>
  <c r="O38" i="10"/>
  <c r="AN37" i="22"/>
  <c r="AC37" i="23"/>
  <c r="R37" i="23"/>
  <c r="AN33" i="22"/>
  <c r="AC31" i="22"/>
  <c r="O29" i="10"/>
  <c r="AC28" i="23"/>
  <c r="AN28" i="23"/>
  <c r="O28" i="10"/>
  <c r="R27" i="23"/>
  <c r="AC27" i="23"/>
  <c r="R27" i="22"/>
  <c r="AN27" i="22"/>
  <c r="AY39" i="23"/>
  <c r="AC23" i="23"/>
  <c r="BU38" i="22"/>
  <c r="AK38" i="10"/>
  <c r="AY37" i="22"/>
  <c r="AY37" i="23"/>
  <c r="BJ37" i="22"/>
  <c r="R18" i="22"/>
  <c r="AC14" i="23"/>
  <c r="O12" i="10"/>
  <c r="AN11" i="22"/>
  <c r="R11" i="22"/>
  <c r="R11" i="23"/>
  <c r="BU20" i="23"/>
  <c r="BU9" i="23"/>
  <c r="AK11" i="10"/>
  <c r="BU10" i="23"/>
  <c r="AY10" i="23"/>
  <c r="BU10" i="22"/>
  <c r="AK16" i="10"/>
  <c r="AY15" i="22"/>
  <c r="AY15" i="23"/>
  <c r="BJ15" i="22"/>
  <c r="BU15" i="22"/>
  <c r="BJ15" i="23"/>
  <c r="BF26" i="10"/>
  <c r="CF25" i="23"/>
  <c r="DB25" i="22"/>
  <c r="CF25" i="22"/>
  <c r="DB25" i="23"/>
  <c r="CQ25" i="22"/>
  <c r="BF15" i="10"/>
  <c r="CF14" i="23"/>
  <c r="CF14" i="22"/>
  <c r="CQ14" i="23"/>
  <c r="CQ14" i="22"/>
  <c r="BF28" i="10"/>
  <c r="CQ27" i="23"/>
  <c r="BF7" i="10"/>
  <c r="CF6" i="23"/>
  <c r="CQ6" i="22"/>
  <c r="BF9" i="10"/>
  <c r="CQ8" i="22"/>
  <c r="CQ17" i="22"/>
  <c r="BF34" i="10"/>
  <c r="CQ33" i="22"/>
  <c r="CQ33" i="23"/>
  <c r="DB6" i="22"/>
  <c r="CF8" i="23"/>
  <c r="CQ6" i="23"/>
  <c r="BF8" i="10"/>
  <c r="CF7" i="22"/>
  <c r="DB7" i="23"/>
  <c r="BF31" i="10"/>
  <c r="CQ30" i="23"/>
  <c r="DB30" i="23"/>
  <c r="AK20" i="10"/>
  <c r="BJ19" i="23"/>
  <c r="BU19" i="22"/>
  <c r="BF20" i="10"/>
  <c r="DB19" i="23"/>
  <c r="CQ19" i="22"/>
  <c r="BF10" i="10"/>
  <c r="CQ9" i="23"/>
  <c r="CQ9" i="22"/>
  <c r="AC35" i="5"/>
  <c r="BH11" i="22"/>
  <c r="BL11" i="22" s="1"/>
  <c r="AA21" i="23"/>
  <c r="AE21" i="23"/>
  <c r="BH33" i="22"/>
  <c r="BL33" i="22" s="1"/>
  <c r="BH27" i="22"/>
  <c r="BF18" i="10"/>
  <c r="CQ17" i="23"/>
  <c r="BF25" i="10"/>
  <c r="DB24" i="23"/>
  <c r="CF24" i="22"/>
  <c r="AC35" i="22"/>
  <c r="AC21" i="23"/>
  <c r="DB8" i="22"/>
  <c r="AN35" i="23"/>
  <c r="AC24" i="22"/>
  <c r="R21" i="22"/>
  <c r="AN21" i="22"/>
  <c r="R17" i="22"/>
  <c r="AN17" i="22"/>
  <c r="BJ33" i="23"/>
  <c r="AN16" i="23"/>
  <c r="R16" i="22"/>
  <c r="BU30" i="23"/>
  <c r="BU30" i="22"/>
  <c r="AN12" i="22"/>
  <c r="BU27" i="23"/>
  <c r="DB13" i="22"/>
  <c r="DB13" i="23"/>
  <c r="AY26" i="23"/>
  <c r="BU11" i="22"/>
  <c r="BJ11" i="23"/>
  <c r="BU16" i="22"/>
  <c r="BJ25" i="22"/>
  <c r="AY25" i="23"/>
  <c r="CQ11" i="22"/>
  <c r="CF11" i="22"/>
  <c r="BH36" i="23"/>
  <c r="CQ37" i="22"/>
  <c r="CF27" i="22"/>
  <c r="CF17" i="22"/>
  <c r="DB33" i="23"/>
  <c r="DB20" i="22"/>
  <c r="CF7" i="23"/>
  <c r="CQ8" i="23"/>
  <c r="CQ24" i="23"/>
  <c r="DB6" i="23"/>
  <c r="CF37" i="23"/>
  <c r="BF11" i="10"/>
  <c r="CF10" i="23"/>
  <c r="CQ10" i="22"/>
  <c r="BJ19" i="22"/>
  <c r="BF36" i="10"/>
  <c r="CF35" i="23"/>
  <c r="CQ7" i="22"/>
  <c r="CF30" i="22"/>
  <c r="CQ19" i="23"/>
  <c r="AK30" i="10"/>
  <c r="AY29" i="23"/>
  <c r="AY29" i="22"/>
  <c r="BF40" i="10"/>
  <c r="CF39" i="23"/>
  <c r="DB39" i="22"/>
  <c r="BF30" i="10"/>
  <c r="CF29" i="22"/>
  <c r="AA16" i="23"/>
  <c r="AE16" i="23" s="1"/>
  <c r="C115" i="2"/>
  <c r="M73" i="11"/>
  <c r="E32" i="7"/>
  <c r="F76" i="6"/>
  <c r="P76" i="6"/>
  <c r="E49" i="7"/>
  <c r="K49" i="7"/>
  <c r="G31" i="7"/>
  <c r="G27" i="7"/>
  <c r="S27" i="7"/>
  <c r="J7" i="7"/>
  <c r="E20" i="7"/>
  <c r="E28" i="7"/>
  <c r="K28" i="7"/>
  <c r="E37" i="7"/>
  <c r="Q37" i="7"/>
  <c r="F79" i="6"/>
  <c r="P79" i="6"/>
  <c r="L12" i="7"/>
  <c r="L36" i="7"/>
  <c r="E18" i="7"/>
  <c r="J36" i="7"/>
  <c r="J42" i="7"/>
  <c r="E30" i="7"/>
  <c r="Q30" i="7"/>
  <c r="S29" i="7"/>
  <c r="J23" i="7"/>
  <c r="G16" i="7"/>
  <c r="I80" i="6"/>
  <c r="P33" i="7"/>
  <c r="L31" i="7"/>
  <c r="J31" i="7"/>
  <c r="E31" i="7"/>
  <c r="K31" i="7"/>
  <c r="P30" i="7"/>
  <c r="E69" i="11"/>
  <c r="M69" i="11"/>
  <c r="H80" i="11"/>
  <c r="I80" i="2"/>
  <c r="J27" i="7"/>
  <c r="Q17" i="7"/>
  <c r="L18" i="7"/>
  <c r="S10" i="7"/>
  <c r="E67" i="11"/>
  <c r="B67" i="11"/>
  <c r="B3" i="11"/>
  <c r="E12" i="7"/>
  <c r="Q12" i="7"/>
  <c r="F73" i="6"/>
  <c r="L73" i="6"/>
  <c r="G12" i="7"/>
  <c r="L48" i="7"/>
  <c r="S11" i="7"/>
  <c r="F75" i="2"/>
  <c r="L75" i="2"/>
  <c r="F69" i="6"/>
  <c r="B127" i="6"/>
  <c r="C128" i="6"/>
  <c r="F68" i="6"/>
  <c r="P68" i="6"/>
  <c r="J39" i="7"/>
  <c r="J47" i="7"/>
  <c r="P28" i="7"/>
  <c r="Q24" i="7"/>
  <c r="P16" i="7"/>
  <c r="P12" i="7"/>
  <c r="K75" i="11"/>
  <c r="L69" i="2"/>
  <c r="E19" i="7"/>
  <c r="K19" i="7"/>
  <c r="S12" i="7"/>
  <c r="F74" i="2"/>
  <c r="L74" i="2"/>
  <c r="E48" i="7"/>
  <c r="K48" i="7"/>
  <c r="E11" i="7"/>
  <c r="F77" i="6"/>
  <c r="B135" i="6"/>
  <c r="F70" i="2"/>
  <c r="L70" i="2"/>
  <c r="F67" i="6"/>
  <c r="L67" i="6"/>
  <c r="L19" i="7"/>
  <c r="E8" i="7"/>
  <c r="K8" i="7"/>
  <c r="P9" i="7"/>
  <c r="H79" i="11"/>
  <c r="P89" i="11"/>
  <c r="I81" i="2"/>
  <c r="O91" i="2"/>
  <c r="G24" i="7"/>
  <c r="L43" i="7"/>
  <c r="P48" i="7"/>
  <c r="P44" i="7"/>
  <c r="P36" i="7"/>
  <c r="P19" i="7"/>
  <c r="P11" i="7"/>
  <c r="G17" i="7"/>
  <c r="S17" i="7"/>
  <c r="F74" i="6"/>
  <c r="S20" i="7"/>
  <c r="O82" i="2"/>
  <c r="G48" i="7"/>
  <c r="G11" i="7"/>
  <c r="E68" i="11"/>
  <c r="B68" i="11"/>
  <c r="B4" i="11"/>
  <c r="J4" i="7"/>
  <c r="J44" i="7"/>
  <c r="J45" i="7"/>
  <c r="I38" i="27"/>
  <c r="J12" i="7"/>
  <c r="I69" i="6"/>
  <c r="I39" i="27"/>
  <c r="H70" i="11"/>
  <c r="F40" i="27"/>
  <c r="B40" i="27"/>
  <c r="F71" i="6"/>
  <c r="B129" i="6"/>
  <c r="C129" i="6"/>
  <c r="G14" i="7"/>
  <c r="G26" i="7"/>
  <c r="S26" i="7"/>
  <c r="P37" i="7"/>
  <c r="G37" i="7"/>
  <c r="E38" i="7"/>
  <c r="E39" i="7"/>
  <c r="K39" i="7"/>
  <c r="S41" i="7"/>
  <c r="G41" i="7"/>
  <c r="J41" i="7"/>
  <c r="E9" i="7"/>
  <c r="Q9" i="7"/>
  <c r="I71" i="2"/>
  <c r="I42" i="27"/>
  <c r="H73" i="11"/>
  <c r="D73" i="11"/>
  <c r="D9" i="11"/>
  <c r="I74" i="2"/>
  <c r="I73" i="6"/>
  <c r="I43" i="27"/>
  <c r="J17" i="7"/>
  <c r="I74" i="6"/>
  <c r="I75" i="2"/>
  <c r="I44" i="27"/>
  <c r="I75" i="6"/>
  <c r="E75" i="6"/>
  <c r="E11" i="6"/>
  <c r="I45" i="27"/>
  <c r="H76" i="11"/>
  <c r="P86" i="11"/>
  <c r="I77" i="2"/>
  <c r="E77" i="2"/>
  <c r="E12" i="2"/>
  <c r="F47" i="27"/>
  <c r="P47" i="27"/>
  <c r="P21" i="7"/>
  <c r="F79" i="2"/>
  <c r="P79" i="2"/>
  <c r="S21" i="7"/>
  <c r="F78" i="6"/>
  <c r="P78" i="6"/>
  <c r="F48" i="27"/>
  <c r="J48" i="27"/>
  <c r="L22" i="7"/>
  <c r="I50" i="27"/>
  <c r="I82" i="2"/>
  <c r="I81" i="6"/>
  <c r="K24" i="7"/>
  <c r="J24" i="7"/>
  <c r="P40" i="7"/>
  <c r="L40" i="7"/>
  <c r="J40" i="7"/>
  <c r="Q49" i="7"/>
  <c r="P41" i="7"/>
  <c r="F80" i="6"/>
  <c r="P80" i="6"/>
  <c r="E80" i="11"/>
  <c r="M80" i="11"/>
  <c r="E78" i="11"/>
  <c r="Q78" i="11"/>
  <c r="H75" i="11"/>
  <c r="P85" i="11"/>
  <c r="P7" i="7"/>
  <c r="F81" i="2"/>
  <c r="L81" i="2"/>
  <c r="P77" i="11"/>
  <c r="D67" i="11"/>
  <c r="D3" i="11"/>
  <c r="I70" i="6"/>
  <c r="S22" i="7"/>
  <c r="E79" i="11"/>
  <c r="V46" i="27"/>
  <c r="O46" i="27"/>
  <c r="O56" i="27"/>
  <c r="E46" i="27"/>
  <c r="I47" i="27"/>
  <c r="J21" i="7"/>
  <c r="H78" i="11"/>
  <c r="S28" i="7"/>
  <c r="G28" i="7"/>
  <c r="J28" i="7"/>
  <c r="E34" i="7"/>
  <c r="K34" i="7"/>
  <c r="P23" i="7"/>
  <c r="L14" i="7"/>
  <c r="P26" i="7"/>
  <c r="Q19" i="7"/>
  <c r="F72" i="2"/>
  <c r="P72" i="2"/>
  <c r="E29" i="7"/>
  <c r="Q29" i="7"/>
  <c r="L23" i="7"/>
  <c r="E22" i="7"/>
  <c r="L21" i="7"/>
  <c r="L39" i="7"/>
  <c r="I76" i="2"/>
  <c r="Q48" i="7"/>
  <c r="G22" i="7"/>
  <c r="J22" i="7"/>
  <c r="I79" i="2"/>
  <c r="L33" i="7"/>
  <c r="I77" i="6"/>
  <c r="E41" i="7"/>
  <c r="K41" i="7"/>
  <c r="I36" i="27"/>
  <c r="I68" i="2"/>
  <c r="J10" i="7"/>
  <c r="I37" i="27"/>
  <c r="J11" i="7"/>
  <c r="H68" i="11"/>
  <c r="H69" i="11"/>
  <c r="D69" i="11"/>
  <c r="D5" i="11"/>
  <c r="J13" i="7"/>
  <c r="E71" i="11"/>
  <c r="B71" i="11"/>
  <c r="B7" i="11"/>
  <c r="P14" i="7"/>
  <c r="Q20" i="7"/>
  <c r="E40" i="27"/>
  <c r="V40" i="27"/>
  <c r="O58" i="27"/>
  <c r="V48" i="27"/>
  <c r="O48" i="27"/>
  <c r="E48" i="27"/>
  <c r="E51" i="27"/>
  <c r="O61" i="27"/>
  <c r="V51" i="27"/>
  <c r="O51" i="27"/>
  <c r="G30" i="7"/>
  <c r="L29" i="7"/>
  <c r="S16" i="7"/>
  <c r="J14" i="7"/>
  <c r="I83" i="2"/>
  <c r="I71" i="6"/>
  <c r="I79" i="6"/>
  <c r="L34" i="7"/>
  <c r="P8" i="7"/>
  <c r="V41" i="27"/>
  <c r="E41" i="27"/>
  <c r="O59" i="27"/>
  <c r="O49" i="27"/>
  <c r="E49" i="27"/>
  <c r="V49" i="27"/>
  <c r="P47" i="7"/>
  <c r="J48" i="7"/>
  <c r="B80" i="2"/>
  <c r="M78" i="11"/>
  <c r="D77" i="11"/>
  <c r="D13" i="11"/>
  <c r="D82" i="11"/>
  <c r="D18" i="11"/>
  <c r="D72" i="11"/>
  <c r="D8" i="11"/>
  <c r="B78" i="11"/>
  <c r="B14" i="11"/>
  <c r="Q73" i="11"/>
  <c r="P84" i="11"/>
  <c r="B73" i="11"/>
  <c r="B9" i="11"/>
  <c r="B81" i="11"/>
  <c r="B17" i="11"/>
  <c r="P91" i="11"/>
  <c r="D71" i="11"/>
  <c r="D7" i="11"/>
  <c r="P83" i="11"/>
  <c r="K73" i="11"/>
  <c r="K81" i="11"/>
  <c r="O88" i="6"/>
  <c r="E76" i="6"/>
  <c r="E12" i="6"/>
  <c r="B139" i="6"/>
  <c r="L81" i="6"/>
  <c r="O82" i="6"/>
  <c r="E72" i="6"/>
  <c r="E8" i="6"/>
  <c r="E78" i="6"/>
  <c r="E14" i="6"/>
  <c r="C103" i="6"/>
  <c r="C100" i="6"/>
  <c r="C36" i="6"/>
  <c r="B164" i="6"/>
  <c r="O81" i="6"/>
  <c r="L78" i="6"/>
  <c r="C102" i="6"/>
  <c r="C38" i="6"/>
  <c r="E77" i="6"/>
  <c r="E13" i="6"/>
  <c r="E67" i="6"/>
  <c r="E3" i="6"/>
  <c r="O78" i="6"/>
  <c r="E82" i="6"/>
  <c r="E18" i="6"/>
  <c r="O92" i="6"/>
  <c r="AI39" i="10"/>
  <c r="BI38" i="22" s="1"/>
  <c r="BM38" i="22" s="1"/>
  <c r="BI38" i="23"/>
  <c r="BM38" i="23" s="1"/>
  <c r="M36" i="10"/>
  <c r="AB35" i="23" s="1"/>
  <c r="AF35" i="23" s="1"/>
  <c r="AB35" i="22"/>
  <c r="AF35" i="22" s="1"/>
  <c r="AH36" i="10"/>
  <c r="BC36" i="10" s="1"/>
  <c r="BD36" i="10" s="1"/>
  <c r="C112" i="6"/>
  <c r="B126" i="6"/>
  <c r="C109" i="6"/>
  <c r="M33" i="10"/>
  <c r="F36" i="16" s="1"/>
  <c r="G36" i="16" s="1"/>
  <c r="E68" i="6"/>
  <c r="E4" i="6"/>
  <c r="O86" i="6"/>
  <c r="B81" i="6"/>
  <c r="B17" i="6"/>
  <c r="E70" i="6"/>
  <c r="E6" i="6"/>
  <c r="C99" i="6"/>
  <c r="B167" i="6"/>
  <c r="O77" i="6"/>
  <c r="M39" i="10"/>
  <c r="H40" i="5" s="1"/>
  <c r="I40" i="5" s="1"/>
  <c r="C111" i="6"/>
  <c r="C108" i="6"/>
  <c r="C44" i="6"/>
  <c r="C116" i="6"/>
  <c r="C52" i="6"/>
  <c r="C110" i="6"/>
  <c r="C46" i="6"/>
  <c r="B36" i="6"/>
  <c r="L24" i="10"/>
  <c r="B49" i="6"/>
  <c r="L37" i="10"/>
  <c r="C113" i="6"/>
  <c r="BC28" i="10"/>
  <c r="BD28" i="10" s="1"/>
  <c r="CP27" i="22" s="1"/>
  <c r="CT27" i="22" s="1"/>
  <c r="AI28" i="10"/>
  <c r="BI27" i="22" s="1"/>
  <c r="BM27" i="22" s="1"/>
  <c r="B168" i="6"/>
  <c r="B155" i="6"/>
  <c r="B165" i="6"/>
  <c r="B156" i="6"/>
  <c r="B160" i="6"/>
  <c r="B173" i="6"/>
  <c r="B161" i="6"/>
  <c r="M34" i="10"/>
  <c r="M26" i="10"/>
  <c r="AB25" i="22" s="1"/>
  <c r="AF25" i="22" s="1"/>
  <c r="AH23" i="10"/>
  <c r="BC23" i="10" s="1"/>
  <c r="BD23" i="10" s="1"/>
  <c r="M23" i="10"/>
  <c r="B169" i="6"/>
  <c r="B170" i="6"/>
  <c r="B34" i="6"/>
  <c r="L22" i="10"/>
  <c r="AH22" i="10" s="1"/>
  <c r="AI22" i="10" s="1"/>
  <c r="P25" i="16" s="1"/>
  <c r="Q25" i="16" s="1"/>
  <c r="C98" i="6"/>
  <c r="C34" i="6"/>
  <c r="AI40" i="10"/>
  <c r="R41" i="5" s="1"/>
  <c r="S41" i="5" s="1"/>
  <c r="B166" i="6"/>
  <c r="C106" i="6"/>
  <c r="B42" i="6"/>
  <c r="L30" i="10"/>
  <c r="M30" i="10" s="1"/>
  <c r="B39" i="6"/>
  <c r="L27" i="10"/>
  <c r="AH27" i="10" s="1"/>
  <c r="AI27" i="10" s="1"/>
  <c r="C104" i="6"/>
  <c r="M28" i="10"/>
  <c r="AI34" i="10"/>
  <c r="R35" i="5" s="1"/>
  <c r="S35" i="5" s="1"/>
  <c r="B159" i="6"/>
  <c r="B157" i="6"/>
  <c r="C114" i="6"/>
  <c r="B50" i="6"/>
  <c r="L38" i="10"/>
  <c r="M38" i="10" s="1"/>
  <c r="C115" i="6"/>
  <c r="B44" i="6"/>
  <c r="L32" i="10"/>
  <c r="M32" i="10" s="1"/>
  <c r="AB31" i="23" s="1"/>
  <c r="AF31" i="23" s="1"/>
  <c r="B41" i="6"/>
  <c r="L29" i="10"/>
  <c r="AH29" i="10" s="1"/>
  <c r="C105" i="6"/>
  <c r="C107" i="6"/>
  <c r="B37" i="6"/>
  <c r="L25" i="10"/>
  <c r="AH25" i="10" s="1"/>
  <c r="AI25" i="10" s="1"/>
  <c r="C101" i="6"/>
  <c r="B158" i="6"/>
  <c r="B172" i="6"/>
  <c r="B162" i="6"/>
  <c r="B174" i="6"/>
  <c r="B171" i="6"/>
  <c r="B163" i="6"/>
  <c r="B49" i="2"/>
  <c r="Q37" i="10"/>
  <c r="AM37" i="10" s="1"/>
  <c r="K107" i="2"/>
  <c r="O78" i="2"/>
  <c r="E72" i="2"/>
  <c r="E7" i="2"/>
  <c r="C111" i="2"/>
  <c r="C46" i="2"/>
  <c r="B79" i="2"/>
  <c r="B14" i="2"/>
  <c r="C94" i="2"/>
  <c r="C29" i="2"/>
  <c r="K94" i="2"/>
  <c r="L94" i="2"/>
  <c r="O79" i="2"/>
  <c r="C101" i="2"/>
  <c r="C36" i="2"/>
  <c r="P81" i="2"/>
  <c r="K93" i="2"/>
  <c r="L93" i="2"/>
  <c r="E69" i="2"/>
  <c r="E4" i="2"/>
  <c r="B72" i="2"/>
  <c r="B7" i="2"/>
  <c r="C105" i="2"/>
  <c r="C40" i="2"/>
  <c r="L79" i="2"/>
  <c r="O90" i="2"/>
  <c r="B69" i="2"/>
  <c r="B4" i="2"/>
  <c r="E70" i="2"/>
  <c r="E5" i="2"/>
  <c r="C110" i="2"/>
  <c r="J110" i="2"/>
  <c r="C113" i="2"/>
  <c r="C48" i="2"/>
  <c r="E73" i="2"/>
  <c r="E8" i="2"/>
  <c r="O80" i="2"/>
  <c r="O83" i="2"/>
  <c r="C99" i="2"/>
  <c r="C34" i="2"/>
  <c r="E78" i="2"/>
  <c r="E13" i="2"/>
  <c r="O88" i="2"/>
  <c r="C112" i="2"/>
  <c r="C47" i="2"/>
  <c r="B35" i="2"/>
  <c r="Q23" i="10"/>
  <c r="R23" i="10" s="1"/>
  <c r="AM22" i="23" s="1"/>
  <c r="AQ22" i="23" s="1"/>
  <c r="C100" i="2"/>
  <c r="C96" i="2"/>
  <c r="B30" i="2"/>
  <c r="Q18" i="10"/>
  <c r="C95" i="2"/>
  <c r="C106" i="2"/>
  <c r="C114" i="2"/>
  <c r="K114" i="2"/>
  <c r="L114" i="2" s="1"/>
  <c r="C50" i="2"/>
  <c r="C97" i="2"/>
  <c r="B32" i="2"/>
  <c r="Q20" i="10"/>
  <c r="C98" i="2"/>
  <c r="C107" i="2"/>
  <c r="C93" i="2"/>
  <c r="K97" i="2"/>
  <c r="L97" i="2" s="1"/>
  <c r="C116" i="2"/>
  <c r="B51" i="2"/>
  <c r="Q39" i="10"/>
  <c r="R39" i="10" s="1"/>
  <c r="AM38" i="22" s="1"/>
  <c r="AQ38" i="22" s="1"/>
  <c r="C117" i="2"/>
  <c r="B43" i="2"/>
  <c r="Q31" i="10"/>
  <c r="R31" i="10" s="1"/>
  <c r="I33" i="17" s="1"/>
  <c r="J33" i="17" s="1"/>
  <c r="C108" i="2"/>
  <c r="B38" i="2"/>
  <c r="Q26" i="10"/>
  <c r="AM26" i="10" s="1"/>
  <c r="BH26" i="10" s="1"/>
  <c r="BI26" i="10" s="1"/>
  <c r="DA25" i="22" s="1"/>
  <c r="DE25" i="22" s="1"/>
  <c r="C103" i="2"/>
  <c r="C104" i="2"/>
  <c r="B37" i="2"/>
  <c r="Q25" i="10"/>
  <c r="C102" i="2"/>
  <c r="C109" i="2"/>
  <c r="M81" i="11"/>
  <c r="Q39" i="7"/>
  <c r="K38" i="7"/>
  <c r="Q38" i="7"/>
  <c r="L70" i="6"/>
  <c r="L79" i="6"/>
  <c r="G39" i="7"/>
  <c r="S39" i="7"/>
  <c r="L38" i="7"/>
  <c r="K20" i="7"/>
  <c r="J46" i="7"/>
  <c r="S38" i="7"/>
  <c r="E45" i="7"/>
  <c r="K45" i="7"/>
  <c r="L44" i="7"/>
  <c r="G10" i="7"/>
  <c r="E4" i="7"/>
  <c r="Q4" i="7"/>
  <c r="E7" i="7"/>
  <c r="G13" i="7"/>
  <c r="G44" i="7"/>
  <c r="G33" i="7"/>
  <c r="P38" i="7"/>
  <c r="B70" i="6"/>
  <c r="P13" i="7"/>
  <c r="G45" i="7"/>
  <c r="E40" i="7"/>
  <c r="K9" i="7"/>
  <c r="S46" i="7"/>
  <c r="S13" i="7"/>
  <c r="E70" i="11"/>
  <c r="K70" i="11"/>
  <c r="P39" i="7"/>
  <c r="L37" i="7"/>
  <c r="Q28" i="7"/>
  <c r="J33" i="7"/>
  <c r="S45" i="7"/>
  <c r="L11" i="7"/>
  <c r="S40" i="7"/>
  <c r="S47" i="7"/>
  <c r="E13" i="7"/>
  <c r="K37" i="7"/>
  <c r="P4" i="7"/>
  <c r="E14" i="7"/>
  <c r="Q14" i="7"/>
  <c r="L13" i="7"/>
  <c r="P45" i="7"/>
  <c r="P24" i="7"/>
  <c r="F51" i="27"/>
  <c r="J25" i="7"/>
  <c r="L25" i="7"/>
  <c r="F83" i="2"/>
  <c r="E82" i="11"/>
  <c r="I83" i="11"/>
  <c r="P25" i="7"/>
  <c r="S25" i="7"/>
  <c r="F82" i="6"/>
  <c r="E25" i="7"/>
  <c r="G25" i="7"/>
  <c r="K18" i="7"/>
  <c r="Q18" i="7"/>
  <c r="Q41" i="7"/>
  <c r="B68" i="2"/>
  <c r="B3" i="2"/>
  <c r="P68" i="2"/>
  <c r="L68" i="2"/>
  <c r="J69" i="2"/>
  <c r="F41" i="27"/>
  <c r="G15" i="7"/>
  <c r="S15" i="7"/>
  <c r="F73" i="2"/>
  <c r="P15" i="7"/>
  <c r="E72" i="11"/>
  <c r="E16" i="7"/>
  <c r="J15" i="7"/>
  <c r="L15" i="7"/>
  <c r="E15" i="7"/>
  <c r="F72" i="6"/>
  <c r="B67" i="6"/>
  <c r="P67" i="6"/>
  <c r="B125" i="6"/>
  <c r="B15" i="2"/>
  <c r="Q32" i="7"/>
  <c r="K32" i="7"/>
  <c r="J82" i="2"/>
  <c r="P82" i="2"/>
  <c r="B82" i="2"/>
  <c r="P5" i="7"/>
  <c r="E6" i="7"/>
  <c r="E5" i="7"/>
  <c r="J5" i="7"/>
  <c r="K30" i="7"/>
  <c r="K29" i="7"/>
  <c r="L82" i="2"/>
  <c r="Q11" i="7"/>
  <c r="K11" i="7"/>
  <c r="B77" i="2"/>
  <c r="P77" i="2"/>
  <c r="L77" i="2"/>
  <c r="L80" i="2"/>
  <c r="J80" i="2"/>
  <c r="J81" i="2"/>
  <c r="Q45" i="7"/>
  <c r="K4" i="7"/>
  <c r="J9" i="7"/>
  <c r="E10" i="7"/>
  <c r="G35" i="7"/>
  <c r="S35" i="7"/>
  <c r="E35" i="7"/>
  <c r="P35" i="7"/>
  <c r="E36" i="7"/>
  <c r="L35" i="7"/>
  <c r="J35" i="7"/>
  <c r="G42" i="7"/>
  <c r="E42" i="7"/>
  <c r="L42" i="7"/>
  <c r="P42" i="7"/>
  <c r="S42" i="7"/>
  <c r="B75" i="11"/>
  <c r="B11" i="11"/>
  <c r="M75" i="11"/>
  <c r="K23" i="7"/>
  <c r="Q23" i="7"/>
  <c r="B76" i="6"/>
  <c r="B134" i="6"/>
  <c r="L76" i="6"/>
  <c r="P70" i="6"/>
  <c r="Q34" i="7"/>
  <c r="F44" i="27"/>
  <c r="S18" i="7"/>
  <c r="F75" i="6"/>
  <c r="G18" i="7"/>
  <c r="P18" i="7"/>
  <c r="J18" i="7"/>
  <c r="F76" i="2"/>
  <c r="F45" i="27"/>
  <c r="E76" i="11"/>
  <c r="S19" i="7"/>
  <c r="J19" i="7"/>
  <c r="G19" i="7"/>
  <c r="F46" i="27"/>
  <c r="P20" i="7"/>
  <c r="J20" i="7"/>
  <c r="G20" i="7"/>
  <c r="L20" i="7"/>
  <c r="E21" i="7"/>
  <c r="F78" i="2"/>
  <c r="E77" i="11"/>
  <c r="G32" i="7"/>
  <c r="S32" i="7"/>
  <c r="J32" i="7"/>
  <c r="P32" i="7"/>
  <c r="E33" i="7"/>
  <c r="E43" i="7"/>
  <c r="E44" i="7"/>
  <c r="S43" i="7"/>
  <c r="J49" i="7"/>
  <c r="S49" i="7"/>
  <c r="G49" i="7"/>
  <c r="P49" i="7"/>
  <c r="L49" i="7"/>
  <c r="F42" i="27"/>
  <c r="L16" i="7"/>
  <c r="L26" i="7"/>
  <c r="J26" i="7"/>
  <c r="E26" i="7"/>
  <c r="E27" i="7"/>
  <c r="J37" i="7"/>
  <c r="S37" i="7"/>
  <c r="J38" i="7"/>
  <c r="G38" i="7"/>
  <c r="P46" i="7"/>
  <c r="E47" i="7"/>
  <c r="L46" i="7"/>
  <c r="E46" i="7"/>
  <c r="F36" i="27"/>
  <c r="J37" i="27"/>
  <c r="L10" i="7"/>
  <c r="P10" i="7"/>
  <c r="F39" i="27"/>
  <c r="F71" i="2"/>
  <c r="F43" i="27"/>
  <c r="L17" i="7"/>
  <c r="E74" i="11"/>
  <c r="I75" i="11"/>
  <c r="P34" i="7"/>
  <c r="J34" i="7"/>
  <c r="G34" i="7"/>
  <c r="P27" i="7"/>
  <c r="L49" i="27"/>
  <c r="P49" i="27"/>
  <c r="B49" i="27"/>
  <c r="B37" i="27"/>
  <c r="L37" i="27"/>
  <c r="P37" i="27"/>
  <c r="P38" i="27"/>
  <c r="B38" i="27"/>
  <c r="J38" i="27"/>
  <c r="L38" i="27"/>
  <c r="P40" i="27"/>
  <c r="P50" i="27"/>
  <c r="B50" i="27"/>
  <c r="J50" i="27"/>
  <c r="L50" i="27"/>
  <c r="K116" i="2"/>
  <c r="L116" i="2" s="1"/>
  <c r="J100" i="2"/>
  <c r="K112" i="6"/>
  <c r="I84" i="11"/>
  <c r="K100" i="2"/>
  <c r="L100" i="2" s="1"/>
  <c r="K99" i="2"/>
  <c r="L99" i="2"/>
  <c r="H101" i="11"/>
  <c r="D101" i="11" s="1"/>
  <c r="D37" i="11" s="1"/>
  <c r="H89" i="11"/>
  <c r="K104" i="2"/>
  <c r="L104" i="2" s="1"/>
  <c r="J98" i="2"/>
  <c r="H90" i="11"/>
  <c r="P100" i="11" s="1"/>
  <c r="I90" i="11"/>
  <c r="H98" i="11"/>
  <c r="P108" i="11" s="1"/>
  <c r="H86" i="11"/>
  <c r="J105" i="2"/>
  <c r="L107" i="2"/>
  <c r="J116" i="2"/>
  <c r="K110" i="2"/>
  <c r="L110" i="2" s="1"/>
  <c r="K105" i="2"/>
  <c r="L105" i="2"/>
  <c r="H113" i="11"/>
  <c r="D113" i="11" s="1"/>
  <c r="D49" i="11" s="1"/>
  <c r="C8" i="5"/>
  <c r="G4" i="22"/>
  <c r="H32" i="5"/>
  <c r="I32" i="5" s="1"/>
  <c r="CP33" i="23"/>
  <c r="CT33" i="23" s="1"/>
  <c r="AA29" i="23"/>
  <c r="AE29" i="23"/>
  <c r="CO13" i="22"/>
  <c r="CS13" i="22" s="1"/>
  <c r="AA36" i="23"/>
  <c r="AE36" i="23" s="1"/>
  <c r="CO28" i="23"/>
  <c r="CS28" i="23" s="1"/>
  <c r="AA22" i="22"/>
  <c r="AE22" i="22" s="1"/>
  <c r="AA22" i="23"/>
  <c r="AE22" i="23" s="1"/>
  <c r="H41" i="5"/>
  <c r="I41" i="5" s="1"/>
  <c r="CO18" i="22"/>
  <c r="CS18" i="22"/>
  <c r="AA15" i="23"/>
  <c r="AE15" i="23" s="1"/>
  <c r="AA15" i="22"/>
  <c r="AE15" i="22" s="1"/>
  <c r="BH14" i="23"/>
  <c r="BL14" i="23" s="1"/>
  <c r="BH14" i="22"/>
  <c r="BL14" i="22" s="1"/>
  <c r="CO23" i="23"/>
  <c r="CS23" i="23" s="1"/>
  <c r="CO23" i="22"/>
  <c r="CS23" i="22" s="1"/>
  <c r="AA19" i="23"/>
  <c r="AE19" i="23" s="1"/>
  <c r="AA19" i="22"/>
  <c r="AE19" i="22" s="1"/>
  <c r="CO31" i="23"/>
  <c r="CS31" i="23" s="1"/>
  <c r="CO31" i="22"/>
  <c r="CS31" i="22" s="1"/>
  <c r="BH35" i="23"/>
  <c r="BL35" i="23" s="1"/>
  <c r="BH35" i="22"/>
  <c r="BL35" i="22" s="1"/>
  <c r="AA34" i="23"/>
  <c r="AA34" i="22"/>
  <c r="AE34" i="22" s="1"/>
  <c r="AA12" i="22"/>
  <c r="AE12" i="22" s="1"/>
  <c r="AA12" i="23"/>
  <c r="AE12" i="23" s="1"/>
  <c r="AA25" i="22"/>
  <c r="AE25" i="22" s="1"/>
  <c r="AA25" i="23"/>
  <c r="AE25" i="23" s="1"/>
  <c r="AA35" i="22"/>
  <c r="AE35" i="22" s="1"/>
  <c r="AA35" i="23"/>
  <c r="AE35" i="23" s="1"/>
  <c r="BH18" i="23"/>
  <c r="BL18" i="23" s="1"/>
  <c r="BH18" i="22"/>
  <c r="BL18" i="22" s="1"/>
  <c r="CO36" i="22"/>
  <c r="CS36" i="22" s="1"/>
  <c r="CO36" i="23"/>
  <c r="CS36" i="23"/>
  <c r="BH21" i="22"/>
  <c r="BL21" i="22" s="1"/>
  <c r="BH21" i="23"/>
  <c r="BL21" i="23"/>
  <c r="BH34" i="22"/>
  <c r="BL34" i="22" s="1"/>
  <c r="BH34" i="23"/>
  <c r="BL34" i="23"/>
  <c r="BH26" i="22"/>
  <c r="BL26" i="22" s="1"/>
  <c r="BH26" i="23"/>
  <c r="BL26" i="23"/>
  <c r="CO34" i="22"/>
  <c r="CO34" i="23"/>
  <c r="CS34" i="23"/>
  <c r="BH7" i="23"/>
  <c r="BH7" i="22"/>
  <c r="BL7" i="22" s="1"/>
  <c r="BH8" i="23"/>
  <c r="BL8" i="23" s="1"/>
  <c r="BH8" i="22"/>
  <c r="BL8" i="22"/>
  <c r="AA32" i="22"/>
  <c r="AE32" i="22" s="1"/>
  <c r="AA32" i="23"/>
  <c r="AE32" i="23"/>
  <c r="CO9" i="22"/>
  <c r="CS9" i="22" s="1"/>
  <c r="CO9" i="23"/>
  <c r="CS9" i="23"/>
  <c r="CO7" i="22"/>
  <c r="CS7" i="22" s="1"/>
  <c r="CO7" i="23"/>
  <c r="CS7" i="23"/>
  <c r="CO6" i="23"/>
  <c r="CS6" i="23" s="1"/>
  <c r="CO6" i="22"/>
  <c r="CS6" i="22"/>
  <c r="BH15" i="22"/>
  <c r="BL15" i="22" s="1"/>
  <c r="BH15" i="23"/>
  <c r="BL15" i="23" s="1"/>
  <c r="AA27" i="22"/>
  <c r="AE27" i="22" s="1"/>
  <c r="AA27" i="23"/>
  <c r="AE27" i="23" s="1"/>
  <c r="BH12" i="22"/>
  <c r="BL12" i="22" s="1"/>
  <c r="BH12" i="23"/>
  <c r="BL12" i="23" s="1"/>
  <c r="BH23" i="23"/>
  <c r="BL23" i="23" s="1"/>
  <c r="BH23" i="22"/>
  <c r="BL23" i="22" s="1"/>
  <c r="CO8" i="23"/>
  <c r="CS8" i="23" s="1"/>
  <c r="CO8" i="22"/>
  <c r="CS8" i="22" s="1"/>
  <c r="AA37" i="23"/>
  <c r="AE37" i="23" s="1"/>
  <c r="AA37" i="22"/>
  <c r="AE37" i="22" s="1"/>
  <c r="BH24" i="22"/>
  <c r="BL24" i="22" s="1"/>
  <c r="BH24" i="23"/>
  <c r="BL24" i="23" s="1"/>
  <c r="BH38" i="22"/>
  <c r="BL38" i="22" s="1"/>
  <c r="BH38" i="23"/>
  <c r="BL38" i="23" s="1"/>
  <c r="CO39" i="23"/>
  <c r="CS39" i="23" s="1"/>
  <c r="CO39" i="22"/>
  <c r="CS39" i="22" s="1"/>
  <c r="CO35" i="22"/>
  <c r="CS35" i="22" s="1"/>
  <c r="CO35" i="23"/>
  <c r="CS35" i="23" s="1"/>
  <c r="CO10" i="23"/>
  <c r="CS10" i="23" s="1"/>
  <c r="CO10" i="22"/>
  <c r="CS10" i="22" s="1"/>
  <c r="CO17" i="23"/>
  <c r="CS17" i="23" s="1"/>
  <c r="CO17" i="22"/>
  <c r="CS17" i="22" s="1"/>
  <c r="BH19" i="22"/>
  <c r="BL19" i="22"/>
  <c r="BH19" i="23"/>
  <c r="BL19" i="23" s="1"/>
  <c r="CO33" i="22"/>
  <c r="CO33" i="23"/>
  <c r="CS33" i="23" s="1"/>
  <c r="CO27" i="22"/>
  <c r="CS27" i="22" s="1"/>
  <c r="CO27" i="23"/>
  <c r="CS27" i="23" s="1"/>
  <c r="CO25" i="23"/>
  <c r="CS25" i="23" s="1"/>
  <c r="CO25" i="22"/>
  <c r="CS25" i="22" s="1"/>
  <c r="AA11" i="23"/>
  <c r="AE11" i="23" s="1"/>
  <c r="AA11" i="22"/>
  <c r="AE11" i="22" s="1"/>
  <c r="AA26" i="23"/>
  <c r="AE26" i="23" s="1"/>
  <c r="AA26" i="22"/>
  <c r="AE26" i="22" s="1"/>
  <c r="BH6" i="22"/>
  <c r="BL6" i="22" s="1"/>
  <c r="BH6" i="23"/>
  <c r="CO12" i="23"/>
  <c r="CS12" i="23" s="1"/>
  <c r="CO12" i="22"/>
  <c r="CS12" i="22" s="1"/>
  <c r="BH13" i="23"/>
  <c r="BL13" i="23" s="1"/>
  <c r="BH13" i="22"/>
  <c r="BL13" i="22" s="1"/>
  <c r="BH22" i="23"/>
  <c r="BL22" i="23" s="1"/>
  <c r="BH22" i="22"/>
  <c r="BL22" i="22" s="1"/>
  <c r="BH31" i="22"/>
  <c r="BL31" i="22" s="1"/>
  <c r="BH31" i="23"/>
  <c r="BL31" i="23" s="1"/>
  <c r="CO24" i="22"/>
  <c r="CS24" i="22" s="1"/>
  <c r="CO24" i="23"/>
  <c r="CS24" i="23" s="1"/>
  <c r="CO14" i="22"/>
  <c r="CS14" i="22" s="1"/>
  <c r="CO14" i="23"/>
  <c r="CS14" i="23" s="1"/>
  <c r="BH10" i="22"/>
  <c r="BL10" i="22" s="1"/>
  <c r="BH10" i="23"/>
  <c r="BL10" i="23" s="1"/>
  <c r="BH37" i="22"/>
  <c r="BL37" i="22"/>
  <c r="BH37" i="23"/>
  <c r="BL37" i="23" s="1"/>
  <c r="BH9" i="23"/>
  <c r="BL9" i="23" s="1"/>
  <c r="BH9" i="22"/>
  <c r="BL9" i="22"/>
  <c r="AA14" i="23"/>
  <c r="AE14" i="23" s="1"/>
  <c r="AA14" i="22"/>
  <c r="AE14" i="22" s="1"/>
  <c r="CO22" i="23"/>
  <c r="CS22" i="23" s="1"/>
  <c r="CO22" i="22"/>
  <c r="CS22" i="22" s="1"/>
  <c r="BH20" i="22"/>
  <c r="BL20" i="22" s="1"/>
  <c r="BH20" i="23"/>
  <c r="BL20" i="23" s="1"/>
  <c r="BH39" i="22"/>
  <c r="BH39" i="23"/>
  <c r="BL39" i="23" s="1"/>
  <c r="BH29" i="23"/>
  <c r="BL29" i="23" s="1"/>
  <c r="BH29" i="22"/>
  <c r="BL29" i="22" s="1"/>
  <c r="CO30" i="22"/>
  <c r="CS30" i="22" s="1"/>
  <c r="CO30" i="23"/>
  <c r="CS30" i="23" s="1"/>
  <c r="AA39" i="23"/>
  <c r="AE39" i="23" s="1"/>
  <c r="AA39" i="22"/>
  <c r="AE39" i="22" s="1"/>
  <c r="AA23" i="22"/>
  <c r="AE23" i="22" s="1"/>
  <c r="AA23" i="23"/>
  <c r="AA33" i="23"/>
  <c r="AA33" i="22"/>
  <c r="AE33" i="22" s="1"/>
  <c r="CO16" i="23"/>
  <c r="CS16" i="23" s="1"/>
  <c r="CO16" i="22"/>
  <c r="CS16" i="22" s="1"/>
  <c r="AA10" i="22"/>
  <c r="AE10" i="22" s="1"/>
  <c r="AA10" i="23"/>
  <c r="AE10" i="23" s="1"/>
  <c r="AA20" i="23"/>
  <c r="AE20" i="23" s="1"/>
  <c r="AA20" i="22"/>
  <c r="AE20" i="22" s="1"/>
  <c r="CO29" i="23"/>
  <c r="CS29" i="23" s="1"/>
  <c r="CO29" i="22"/>
  <c r="CS29" i="22" s="1"/>
  <c r="CO19" i="22"/>
  <c r="CS19" i="22" s="1"/>
  <c r="CO19" i="23"/>
  <c r="CS19" i="23" s="1"/>
  <c r="AA28" i="23"/>
  <c r="AE28" i="23" s="1"/>
  <c r="AA28" i="22"/>
  <c r="AE28" i="22" s="1"/>
  <c r="CO26" i="23"/>
  <c r="CS26" i="23" s="1"/>
  <c r="CO26" i="22"/>
  <c r="CS26" i="22" s="1"/>
  <c r="AA7" i="23"/>
  <c r="AE7" i="23" s="1"/>
  <c r="AA7" i="22"/>
  <c r="AE7" i="22" s="1"/>
  <c r="BH32" i="23"/>
  <c r="BL32" i="23" s="1"/>
  <c r="BH32" i="22"/>
  <c r="BL32" i="22" s="1"/>
  <c r="AA18" i="22"/>
  <c r="AE18" i="22"/>
  <c r="AA18" i="23"/>
  <c r="AE18" i="23" s="1"/>
  <c r="AA31" i="22"/>
  <c r="AE31" i="22" s="1"/>
  <c r="AA31" i="23"/>
  <c r="AE31" i="23" s="1"/>
  <c r="L40" i="27"/>
  <c r="B79" i="6"/>
  <c r="D100" i="6"/>
  <c r="D36" i="6"/>
  <c r="J74" i="6"/>
  <c r="P73" i="6"/>
  <c r="O79" i="6"/>
  <c r="B131" i="6"/>
  <c r="C127" i="6"/>
  <c r="D128" i="6"/>
  <c r="E83" i="2"/>
  <c r="E18" i="2"/>
  <c r="B70" i="2"/>
  <c r="B5" i="2"/>
  <c r="I69" i="11"/>
  <c r="M68" i="11"/>
  <c r="I81" i="11"/>
  <c r="D79" i="11"/>
  <c r="D15" i="11"/>
  <c r="P79" i="11"/>
  <c r="Q69" i="11"/>
  <c r="K69" i="11"/>
  <c r="B80" i="11"/>
  <c r="B16" i="11"/>
  <c r="Q80" i="11"/>
  <c r="K80" i="11"/>
  <c r="Q71" i="11"/>
  <c r="I99" i="2"/>
  <c r="I80" i="11"/>
  <c r="O93" i="2"/>
  <c r="E75" i="2"/>
  <c r="E10" i="2"/>
  <c r="E80" i="2"/>
  <c r="E15" i="2"/>
  <c r="E68" i="2"/>
  <c r="E3" i="2"/>
  <c r="O80" i="6"/>
  <c r="O90" i="6"/>
  <c r="B74" i="6"/>
  <c r="B10" i="6"/>
  <c r="D80" i="11"/>
  <c r="D16" i="11"/>
  <c r="P90" i="11"/>
  <c r="B75" i="2"/>
  <c r="B10" i="2"/>
  <c r="B73" i="6"/>
  <c r="B9" i="6"/>
  <c r="P77" i="6"/>
  <c r="J75" i="2"/>
  <c r="E80" i="6"/>
  <c r="E16" i="6"/>
  <c r="B132" i="6"/>
  <c r="P74" i="6"/>
  <c r="B77" i="6"/>
  <c r="B13" i="6"/>
  <c r="Q31" i="7"/>
  <c r="P75" i="2"/>
  <c r="K14" i="7"/>
  <c r="J77" i="6"/>
  <c r="B137" i="6"/>
  <c r="L71" i="6"/>
  <c r="K12" i="7"/>
  <c r="J70" i="2"/>
  <c r="L72" i="2"/>
  <c r="J79" i="6"/>
  <c r="B78" i="6"/>
  <c r="B14" i="6"/>
  <c r="P69" i="6"/>
  <c r="B69" i="11"/>
  <c r="B5" i="11"/>
  <c r="I68" i="11"/>
  <c r="Q67" i="11"/>
  <c r="B74" i="2"/>
  <c r="B9" i="2"/>
  <c r="O89" i="2"/>
  <c r="L68" i="6"/>
  <c r="L80" i="6"/>
  <c r="K67" i="11"/>
  <c r="P70" i="2"/>
  <c r="Q8" i="7"/>
  <c r="J47" i="27"/>
  <c r="L77" i="6"/>
  <c r="J68" i="6"/>
  <c r="P74" i="2"/>
  <c r="O84" i="2"/>
  <c r="L74" i="6"/>
  <c r="J69" i="6"/>
  <c r="E74" i="6"/>
  <c r="E10" i="6"/>
  <c r="E81" i="2"/>
  <c r="E16" i="2"/>
  <c r="L48" i="27"/>
  <c r="J80" i="6"/>
  <c r="L47" i="27"/>
  <c r="J70" i="6"/>
  <c r="L69" i="6"/>
  <c r="B136" i="6"/>
  <c r="C136" i="6"/>
  <c r="AB39" i="22"/>
  <c r="AF39" i="22" s="1"/>
  <c r="B68" i="6"/>
  <c r="B4" i="6"/>
  <c r="O84" i="6"/>
  <c r="B69" i="6"/>
  <c r="B5" i="6"/>
  <c r="M67" i="11"/>
  <c r="Q68" i="11"/>
  <c r="K68" i="11"/>
  <c r="O81" i="2"/>
  <c r="M71" i="11"/>
  <c r="B80" i="6"/>
  <c r="C81" i="6"/>
  <c r="C17" i="6"/>
  <c r="O83" i="6"/>
  <c r="E81" i="6"/>
  <c r="E17" i="6"/>
  <c r="D76" i="11"/>
  <c r="D12" i="11"/>
  <c r="V37" i="27"/>
  <c r="E37" i="27"/>
  <c r="J49" i="27"/>
  <c r="D94" i="2"/>
  <c r="D29" i="2"/>
  <c r="E36" i="27"/>
  <c r="V36" i="27"/>
  <c r="K22" i="7"/>
  <c r="Q22" i="7"/>
  <c r="V47" i="27"/>
  <c r="O47" i="27"/>
  <c r="E47" i="27"/>
  <c r="O57" i="27"/>
  <c r="V39" i="27"/>
  <c r="E39" i="27"/>
  <c r="B48" i="27"/>
  <c r="C49" i="27"/>
  <c r="O85" i="2"/>
  <c r="E76" i="2"/>
  <c r="E11" i="2"/>
  <c r="E71" i="2"/>
  <c r="E6" i="2"/>
  <c r="B79" i="11"/>
  <c r="Q79" i="11"/>
  <c r="O55" i="27"/>
  <c r="E45" i="27"/>
  <c r="V45" i="27"/>
  <c r="P48" i="27"/>
  <c r="B47" i="27"/>
  <c r="J71" i="6"/>
  <c r="B138" i="6"/>
  <c r="J78" i="6"/>
  <c r="I79" i="11"/>
  <c r="O92" i="2"/>
  <c r="E74" i="2"/>
  <c r="E9" i="2"/>
  <c r="E73" i="6"/>
  <c r="E9" i="6"/>
  <c r="E69" i="6"/>
  <c r="E5" i="6"/>
  <c r="O91" i="6"/>
  <c r="M79" i="11"/>
  <c r="K79" i="11"/>
  <c r="P88" i="11"/>
  <c r="D78" i="11"/>
  <c r="D14" i="11"/>
  <c r="V50" i="27"/>
  <c r="E50" i="27"/>
  <c r="O60" i="27"/>
  <c r="O50" i="27"/>
  <c r="O87" i="2"/>
  <c r="O85" i="6"/>
  <c r="J40" i="27"/>
  <c r="J81" i="6"/>
  <c r="P71" i="6"/>
  <c r="D105" i="2"/>
  <c r="D40" i="2"/>
  <c r="O86" i="2"/>
  <c r="E82" i="2"/>
  <c r="E17" i="2"/>
  <c r="E79" i="2"/>
  <c r="E14" i="2"/>
  <c r="B81" i="2"/>
  <c r="B16" i="2"/>
  <c r="AI36" i="10"/>
  <c r="BI35" i="22" s="1"/>
  <c r="E71" i="6"/>
  <c r="E7" i="6"/>
  <c r="O87" i="6"/>
  <c r="B71" i="6"/>
  <c r="B7" i="6"/>
  <c r="O89" i="6"/>
  <c r="E79" i="6"/>
  <c r="E15" i="6"/>
  <c r="K78" i="11"/>
  <c r="D75" i="11"/>
  <c r="D11" i="11"/>
  <c r="K71" i="11"/>
  <c r="D68" i="11"/>
  <c r="D4" i="11"/>
  <c r="P78" i="11"/>
  <c r="E44" i="27"/>
  <c r="O54" i="27"/>
  <c r="V44" i="27"/>
  <c r="E43" i="27"/>
  <c r="O53" i="27"/>
  <c r="V43" i="27"/>
  <c r="E42" i="27"/>
  <c r="V42" i="27"/>
  <c r="O52" i="27"/>
  <c r="D70" i="11"/>
  <c r="D6" i="11"/>
  <c r="P80" i="11"/>
  <c r="V38" i="27"/>
  <c r="E38" i="27"/>
  <c r="M70" i="11"/>
  <c r="I71" i="11"/>
  <c r="C165" i="6"/>
  <c r="C171" i="6"/>
  <c r="I103" i="6"/>
  <c r="C35" i="6"/>
  <c r="D108" i="6"/>
  <c r="D44" i="6"/>
  <c r="D103" i="6"/>
  <c r="D39" i="6"/>
  <c r="D111" i="6"/>
  <c r="D47" i="6"/>
  <c r="C126" i="6"/>
  <c r="D126" i="6"/>
  <c r="C47" i="6"/>
  <c r="C39" i="6"/>
  <c r="C157" i="6"/>
  <c r="C174" i="6"/>
  <c r="D110" i="6"/>
  <c r="D46" i="6"/>
  <c r="AC40" i="5"/>
  <c r="C169" i="6"/>
  <c r="C48" i="6"/>
  <c r="D112" i="6"/>
  <c r="D48" i="6"/>
  <c r="C173" i="6"/>
  <c r="C45" i="6"/>
  <c r="D109" i="6"/>
  <c r="D45" i="6"/>
  <c r="C159" i="6"/>
  <c r="C162" i="6"/>
  <c r="C166" i="6"/>
  <c r="C168" i="6"/>
  <c r="AB38" i="22"/>
  <c r="AF38" i="22" s="1"/>
  <c r="R40" i="5"/>
  <c r="S40" i="5" s="1"/>
  <c r="D129" i="6"/>
  <c r="C172" i="6"/>
  <c r="C37" i="6"/>
  <c r="D101" i="6"/>
  <c r="D37" i="6"/>
  <c r="M29" i="10"/>
  <c r="AB28" i="23" s="1"/>
  <c r="AF28" i="23" s="1"/>
  <c r="C50" i="6"/>
  <c r="D114" i="6"/>
  <c r="D50" i="6"/>
  <c r="AB27" i="22"/>
  <c r="AF27" i="22" s="1"/>
  <c r="H29" i="5"/>
  <c r="I29" i="5" s="1"/>
  <c r="AB27" i="23"/>
  <c r="D106" i="6"/>
  <c r="D42" i="6"/>
  <c r="C42" i="6"/>
  <c r="BC26" i="10"/>
  <c r="BD26" i="10" s="1"/>
  <c r="AB27" i="5" s="1"/>
  <c r="AC27" i="5" s="1"/>
  <c r="AI26" i="10"/>
  <c r="D113" i="6"/>
  <c r="D49" i="6"/>
  <c r="C49" i="6"/>
  <c r="M25" i="10"/>
  <c r="AB24" i="23" s="1"/>
  <c r="AF24" i="23" s="1"/>
  <c r="D104" i="6"/>
  <c r="D40" i="6"/>
  <c r="C40" i="6"/>
  <c r="AB22" i="23"/>
  <c r="Z22" i="23" s="1"/>
  <c r="AD22" i="23" s="1"/>
  <c r="C160" i="6"/>
  <c r="AH37" i="10"/>
  <c r="AI37" i="10" s="1"/>
  <c r="BI36" i="23" s="1"/>
  <c r="BM36" i="23" s="1"/>
  <c r="M37" i="10"/>
  <c r="AB36" i="23" s="1"/>
  <c r="AF36" i="23" s="1"/>
  <c r="C163" i="6"/>
  <c r="D107" i="6"/>
  <c r="D43" i="6"/>
  <c r="C43" i="6"/>
  <c r="D102" i="6"/>
  <c r="D38" i="6"/>
  <c r="D115" i="6"/>
  <c r="D51" i="6"/>
  <c r="D116" i="6"/>
  <c r="D52" i="6"/>
  <c r="C51" i="6"/>
  <c r="M27" i="10"/>
  <c r="AB26" i="22" s="1"/>
  <c r="AF26" i="22" s="1"/>
  <c r="D99" i="6"/>
  <c r="D35" i="6"/>
  <c r="C156" i="6"/>
  <c r="BI27" i="23"/>
  <c r="C164" i="6"/>
  <c r="C158" i="6"/>
  <c r="C41" i="6"/>
  <c r="D105" i="6"/>
  <c r="D41" i="6"/>
  <c r="CP35" i="23"/>
  <c r="CT35" i="23" s="1"/>
  <c r="AB37" i="5"/>
  <c r="AC37" i="5" s="1"/>
  <c r="AH30" i="10"/>
  <c r="C170" i="6"/>
  <c r="C161" i="6"/>
  <c r="CP27" i="23"/>
  <c r="CT27" i="23" s="1"/>
  <c r="C167" i="6"/>
  <c r="D111" i="2"/>
  <c r="D46" i="2"/>
  <c r="C80" i="2"/>
  <c r="D112" i="2"/>
  <c r="D47" i="2"/>
  <c r="C45" i="2"/>
  <c r="D110" i="2"/>
  <c r="D45" i="2"/>
  <c r="I104" i="2"/>
  <c r="D113" i="2"/>
  <c r="D48" i="2"/>
  <c r="I105" i="2"/>
  <c r="O115" i="2" s="1"/>
  <c r="D117" i="2"/>
  <c r="D52" i="2"/>
  <c r="C52" i="2"/>
  <c r="C42" i="2"/>
  <c r="D107" i="2"/>
  <c r="D42" i="2"/>
  <c r="I107" i="2"/>
  <c r="E107" i="2" s="1"/>
  <c r="E42" i="2" s="1"/>
  <c r="C49" i="2"/>
  <c r="D114" i="2"/>
  <c r="D49" i="2"/>
  <c r="D96" i="2"/>
  <c r="D31" i="2"/>
  <c r="C31" i="2"/>
  <c r="D109" i="2"/>
  <c r="D44" i="2"/>
  <c r="C44" i="2"/>
  <c r="D98" i="2"/>
  <c r="D33" i="2"/>
  <c r="C33" i="2"/>
  <c r="D99" i="2"/>
  <c r="D34" i="2"/>
  <c r="C35" i="2"/>
  <c r="D100" i="2"/>
  <c r="D35" i="2"/>
  <c r="C69" i="2"/>
  <c r="C39" i="2"/>
  <c r="D104" i="2"/>
  <c r="D39" i="2"/>
  <c r="C43" i="2"/>
  <c r="D108" i="2"/>
  <c r="D43" i="2"/>
  <c r="D116" i="2"/>
  <c r="D51" i="2"/>
  <c r="C51" i="2"/>
  <c r="I100" i="2"/>
  <c r="D101" i="2"/>
  <c r="D36" i="2"/>
  <c r="D115" i="2"/>
  <c r="D50" i="2"/>
  <c r="D95" i="2"/>
  <c r="D30" i="2"/>
  <c r="C30" i="2"/>
  <c r="I97" i="2"/>
  <c r="C37" i="2"/>
  <c r="D102" i="2"/>
  <c r="D37" i="2"/>
  <c r="C38" i="2"/>
  <c r="D103" i="2"/>
  <c r="D38" i="2"/>
  <c r="C28" i="2"/>
  <c r="D97" i="2"/>
  <c r="D32" i="2"/>
  <c r="C32" i="2"/>
  <c r="D106" i="2"/>
  <c r="D41" i="2"/>
  <c r="C41" i="2"/>
  <c r="I70" i="11"/>
  <c r="B70" i="11"/>
  <c r="B6" i="11"/>
  <c r="Q70" i="11"/>
  <c r="C68" i="11"/>
  <c r="C4" i="11"/>
  <c r="K40" i="7"/>
  <c r="Q40" i="7"/>
  <c r="B15" i="6"/>
  <c r="Q13" i="7"/>
  <c r="K13" i="7"/>
  <c r="C135" i="6"/>
  <c r="B6" i="6"/>
  <c r="Q7" i="7"/>
  <c r="K7" i="7"/>
  <c r="K44" i="7"/>
  <c r="Q44" i="7"/>
  <c r="J78" i="2"/>
  <c r="L78" i="2"/>
  <c r="P78" i="2"/>
  <c r="B78" i="2"/>
  <c r="J79" i="2"/>
  <c r="L76" i="2"/>
  <c r="J76" i="2"/>
  <c r="B76" i="2"/>
  <c r="C77" i="2"/>
  <c r="P76" i="2"/>
  <c r="J77" i="2"/>
  <c r="L75" i="6"/>
  <c r="J75" i="6"/>
  <c r="P75" i="6"/>
  <c r="J76" i="6"/>
  <c r="B133" i="6"/>
  <c r="B75" i="6"/>
  <c r="C76" i="6"/>
  <c r="Q47" i="7"/>
  <c r="K47" i="7"/>
  <c r="Q42" i="7"/>
  <c r="K42" i="7"/>
  <c r="K36" i="7"/>
  <c r="Q36" i="7"/>
  <c r="B12" i="2"/>
  <c r="Q15" i="7"/>
  <c r="K15" i="7"/>
  <c r="K72" i="11"/>
  <c r="I72" i="11"/>
  <c r="Q72" i="11"/>
  <c r="I73" i="11"/>
  <c r="B72" i="11"/>
  <c r="B8" i="11"/>
  <c r="M72" i="11"/>
  <c r="B74" i="11"/>
  <c r="B10" i="11"/>
  <c r="M74" i="11"/>
  <c r="Q74" i="11"/>
  <c r="I74" i="11"/>
  <c r="K74" i="11"/>
  <c r="B12" i="6"/>
  <c r="B82" i="6"/>
  <c r="P82" i="6"/>
  <c r="J82" i="6"/>
  <c r="L82" i="6"/>
  <c r="B140" i="6"/>
  <c r="P83" i="2"/>
  <c r="L83" i="2"/>
  <c r="B83" i="2"/>
  <c r="J83" i="2"/>
  <c r="J84" i="2"/>
  <c r="C50" i="27"/>
  <c r="B71" i="2"/>
  <c r="J71" i="2"/>
  <c r="P71" i="2"/>
  <c r="J72" i="2"/>
  <c r="L71" i="2"/>
  <c r="P36" i="27"/>
  <c r="L36" i="27"/>
  <c r="B36" i="27"/>
  <c r="C37" i="27"/>
  <c r="D37" i="27"/>
  <c r="K43" i="7"/>
  <c r="Q43" i="7"/>
  <c r="K21" i="7"/>
  <c r="Q21" i="7"/>
  <c r="K10" i="7"/>
  <c r="Q10" i="7"/>
  <c r="K5" i="7"/>
  <c r="Q5" i="7"/>
  <c r="B3" i="6"/>
  <c r="L41" i="27"/>
  <c r="J41" i="27"/>
  <c r="B41" i="27"/>
  <c r="P41" i="27"/>
  <c r="B43" i="27"/>
  <c r="J43" i="27"/>
  <c r="L43" i="27"/>
  <c r="P43" i="27"/>
  <c r="B39" i="27"/>
  <c r="C39" i="27"/>
  <c r="J39" i="27"/>
  <c r="P39" i="27"/>
  <c r="L39" i="27"/>
  <c r="Q46" i="7"/>
  <c r="K46" i="7"/>
  <c r="K27" i="7"/>
  <c r="Q27" i="7"/>
  <c r="Q33" i="7"/>
  <c r="K33" i="7"/>
  <c r="P46" i="27"/>
  <c r="J46" i="27"/>
  <c r="B46" i="27"/>
  <c r="L46" i="27"/>
  <c r="K76" i="11"/>
  <c r="B76" i="11"/>
  <c r="B12" i="11"/>
  <c r="Q76" i="11"/>
  <c r="M76" i="11"/>
  <c r="I76" i="11"/>
  <c r="P44" i="27"/>
  <c r="L44" i="27"/>
  <c r="B44" i="27"/>
  <c r="J44" i="27"/>
  <c r="Q35" i="7"/>
  <c r="K35" i="7"/>
  <c r="Q6" i="7"/>
  <c r="K6" i="7"/>
  <c r="B17" i="2"/>
  <c r="B130" i="6"/>
  <c r="C130" i="6"/>
  <c r="D130" i="6"/>
  <c r="J72" i="6"/>
  <c r="B72" i="6"/>
  <c r="P72" i="6"/>
  <c r="J73" i="6"/>
  <c r="L72" i="6"/>
  <c r="P73" i="2"/>
  <c r="B73" i="2"/>
  <c r="J73" i="2"/>
  <c r="L73" i="2"/>
  <c r="J74" i="2"/>
  <c r="C48" i="27"/>
  <c r="C38" i="27"/>
  <c r="Q26" i="7"/>
  <c r="K26" i="7"/>
  <c r="L42" i="27"/>
  <c r="B42" i="27"/>
  <c r="J42" i="27"/>
  <c r="P42" i="27"/>
  <c r="K77" i="11"/>
  <c r="Q77" i="11"/>
  <c r="I77" i="11"/>
  <c r="B77" i="11"/>
  <c r="B13" i="11"/>
  <c r="I78" i="11"/>
  <c r="M77" i="11"/>
  <c r="J45" i="27"/>
  <c r="L45" i="27"/>
  <c r="P45" i="27"/>
  <c r="B45" i="27"/>
  <c r="Q16" i="7"/>
  <c r="K16" i="7"/>
  <c r="Q25" i="7"/>
  <c r="K25" i="7"/>
  <c r="I82" i="11"/>
  <c r="B82" i="11"/>
  <c r="B18" i="11"/>
  <c r="K82" i="11"/>
  <c r="M82" i="11"/>
  <c r="Q82" i="11"/>
  <c r="J52" i="27"/>
  <c r="P51" i="27"/>
  <c r="J51" i="27"/>
  <c r="L51" i="27"/>
  <c r="B51" i="27"/>
  <c r="P99" i="11"/>
  <c r="C9" i="5"/>
  <c r="C77" i="6"/>
  <c r="C132" i="6"/>
  <c r="C137" i="6"/>
  <c r="D137" i="6"/>
  <c r="C138" i="6"/>
  <c r="C70" i="6"/>
  <c r="C6" i="6"/>
  <c r="C73" i="6"/>
  <c r="C9" i="6"/>
  <c r="O113" i="6"/>
  <c r="C74" i="6"/>
  <c r="C10" i="6"/>
  <c r="D166" i="6"/>
  <c r="C133" i="6"/>
  <c r="D133" i="6"/>
  <c r="C82" i="2"/>
  <c r="C17" i="2"/>
  <c r="C70" i="2"/>
  <c r="C5" i="2"/>
  <c r="C81" i="11"/>
  <c r="C17" i="11"/>
  <c r="C75" i="2"/>
  <c r="C10" i="2"/>
  <c r="C69" i="11"/>
  <c r="C5" i="11"/>
  <c r="C78" i="6"/>
  <c r="C14" i="6"/>
  <c r="C71" i="11"/>
  <c r="C7" i="11"/>
  <c r="C79" i="6"/>
  <c r="C15" i="6"/>
  <c r="C81" i="2"/>
  <c r="C16" i="2"/>
  <c r="C69" i="6"/>
  <c r="C5" i="6"/>
  <c r="C68" i="6"/>
  <c r="C4" i="6"/>
  <c r="D165" i="6"/>
  <c r="B15" i="11"/>
  <c r="C79" i="11"/>
  <c r="C15" i="11"/>
  <c r="D50" i="27"/>
  <c r="B16" i="6"/>
  <c r="C139" i="6"/>
  <c r="D139" i="6"/>
  <c r="D69" i="2"/>
  <c r="D4" i="2"/>
  <c r="C71" i="6"/>
  <c r="C80" i="11"/>
  <c r="C16" i="11"/>
  <c r="C80" i="6"/>
  <c r="D81" i="6"/>
  <c r="D17" i="6"/>
  <c r="C70" i="11"/>
  <c r="C6" i="11"/>
  <c r="D163" i="6"/>
  <c r="D172" i="6"/>
  <c r="D169" i="6"/>
  <c r="D127" i="6"/>
  <c r="D157" i="6"/>
  <c r="D161" i="6"/>
  <c r="D158" i="6"/>
  <c r="D167" i="6"/>
  <c r="D170" i="6"/>
  <c r="D160" i="6"/>
  <c r="D159" i="6"/>
  <c r="D173" i="6"/>
  <c r="D174" i="6"/>
  <c r="D168" i="6"/>
  <c r="AF22" i="23"/>
  <c r="D164" i="6"/>
  <c r="BC25" i="10"/>
  <c r="BD25" i="10" s="1"/>
  <c r="BC29" i="10"/>
  <c r="BD29" i="10" s="1"/>
  <c r="AB30" i="5" s="1"/>
  <c r="AC30" i="5" s="1"/>
  <c r="AI29" i="10"/>
  <c r="P31" i="17" s="1"/>
  <c r="Q31" i="17" s="1"/>
  <c r="D171" i="6"/>
  <c r="AB36" i="22"/>
  <c r="AF36" i="22" s="1"/>
  <c r="H38" i="5"/>
  <c r="I38" i="5" s="1"/>
  <c r="P84" i="6"/>
  <c r="CP22" i="22"/>
  <c r="CT22" i="22" s="1"/>
  <c r="D162" i="6"/>
  <c r="AF27" i="23"/>
  <c r="C4" i="2"/>
  <c r="D81" i="2"/>
  <c r="D16" i="2"/>
  <c r="C15" i="2"/>
  <c r="O107" i="2"/>
  <c r="P85" i="2"/>
  <c r="O110" i="2"/>
  <c r="C75" i="11"/>
  <c r="C11" i="11"/>
  <c r="Q84" i="11"/>
  <c r="C45" i="27"/>
  <c r="C134" i="6"/>
  <c r="P53" i="27"/>
  <c r="G71" i="27"/>
  <c r="C40" i="27"/>
  <c r="D40" i="27"/>
  <c r="C42" i="27"/>
  <c r="C41" i="27"/>
  <c r="C12" i="6"/>
  <c r="I6" i="10"/>
  <c r="J6" i="10" s="1"/>
  <c r="AZ6" i="10"/>
  <c r="BA6" i="10"/>
  <c r="AE6" i="10"/>
  <c r="AF6" i="10" s="1"/>
  <c r="C78" i="11"/>
  <c r="C14" i="11"/>
  <c r="C77" i="11"/>
  <c r="C13" i="11"/>
  <c r="G76" i="27"/>
  <c r="C51" i="27"/>
  <c r="D51" i="27"/>
  <c r="G6" i="10"/>
  <c r="H6" i="10" s="1"/>
  <c r="E7" i="5" s="1"/>
  <c r="F7" i="5" s="1"/>
  <c r="C82" i="11"/>
  <c r="B83" i="11"/>
  <c r="B19" i="11"/>
  <c r="C73" i="2"/>
  <c r="C74" i="2"/>
  <c r="B8" i="2"/>
  <c r="C131" i="6"/>
  <c r="D131" i="6"/>
  <c r="C44" i="27"/>
  <c r="B6" i="2"/>
  <c r="C71" i="2"/>
  <c r="C72" i="2"/>
  <c r="D77" i="6"/>
  <c r="D13" i="6"/>
  <c r="C13" i="6"/>
  <c r="B11" i="6"/>
  <c r="C75" i="6"/>
  <c r="C76" i="2"/>
  <c r="D77" i="2"/>
  <c r="D12" i="2"/>
  <c r="B11" i="2"/>
  <c r="B13" i="2"/>
  <c r="C78" i="2"/>
  <c r="C79" i="2"/>
  <c r="C76" i="11"/>
  <c r="C12" i="11"/>
  <c r="C12" i="2"/>
  <c r="D136" i="6"/>
  <c r="D39" i="27"/>
  <c r="D38" i="27"/>
  <c r="B8" i="6"/>
  <c r="C72" i="6"/>
  <c r="C47" i="27"/>
  <c r="D48" i="27"/>
  <c r="C46" i="27"/>
  <c r="C43" i="27"/>
  <c r="D49" i="27"/>
  <c r="C83" i="2"/>
  <c r="B84" i="2"/>
  <c r="B18" i="2"/>
  <c r="Q6" i="10"/>
  <c r="C140" i="6"/>
  <c r="B18" i="6"/>
  <c r="L6" i="10"/>
  <c r="M6" i="10" s="1"/>
  <c r="C82" i="6"/>
  <c r="B83" i="6"/>
  <c r="C74" i="11"/>
  <c r="C10" i="11"/>
  <c r="C72" i="11"/>
  <c r="C8" i="11"/>
  <c r="C73" i="11"/>
  <c r="C9" i="11"/>
  <c r="C10" i="5"/>
  <c r="G70" i="27"/>
  <c r="D138" i="6"/>
  <c r="D74" i="6"/>
  <c r="D10" i="6"/>
  <c r="D134" i="6"/>
  <c r="D78" i="6"/>
  <c r="D14" i="6"/>
  <c r="D71" i="6"/>
  <c r="D7" i="6"/>
  <c r="D79" i="6"/>
  <c r="D15" i="6"/>
  <c r="D70" i="2"/>
  <c r="D5" i="2"/>
  <c r="D82" i="2"/>
  <c r="D17" i="2"/>
  <c r="C16" i="6"/>
  <c r="D69" i="6"/>
  <c r="D5" i="6"/>
  <c r="C7" i="6"/>
  <c r="D68" i="6"/>
  <c r="D4" i="6"/>
  <c r="D45" i="27"/>
  <c r="G74" i="27"/>
  <c r="G114" i="2"/>
  <c r="I114" i="2"/>
  <c r="G81" i="27"/>
  <c r="D70" i="6"/>
  <c r="D6" i="6"/>
  <c r="G75" i="27"/>
  <c r="G64" i="27"/>
  <c r="G84" i="27"/>
  <c r="P56" i="27"/>
  <c r="D140" i="6"/>
  <c r="D80" i="6"/>
  <c r="D16" i="6"/>
  <c r="F91" i="11"/>
  <c r="G91" i="11" s="1"/>
  <c r="O101" i="11" s="1"/>
  <c r="F83" i="11"/>
  <c r="F84" i="11"/>
  <c r="F89" i="11"/>
  <c r="F115" i="11"/>
  <c r="F90" i="11"/>
  <c r="F109" i="11"/>
  <c r="G109" i="11" s="1"/>
  <c r="F101" i="11"/>
  <c r="F98" i="11"/>
  <c r="F86" i="11"/>
  <c r="G96" i="6"/>
  <c r="G113" i="6"/>
  <c r="G101" i="6"/>
  <c r="D132" i="6"/>
  <c r="G92" i="6"/>
  <c r="P87" i="6"/>
  <c r="G112" i="6"/>
  <c r="BI28" i="23"/>
  <c r="BG28" i="23" s="1"/>
  <c r="BK28" i="23" s="1"/>
  <c r="G87" i="6"/>
  <c r="D135" i="6"/>
  <c r="G104" i="6"/>
  <c r="G116" i="2"/>
  <c r="H114" i="2"/>
  <c r="G105" i="2"/>
  <c r="G97" i="2"/>
  <c r="H97" i="2" s="1"/>
  <c r="N107" i="2" s="1"/>
  <c r="G84" i="2"/>
  <c r="G112" i="2"/>
  <c r="G104" i="2"/>
  <c r="P88" i="2"/>
  <c r="G100" i="2"/>
  <c r="E100" i="2" s="1"/>
  <c r="E35" i="2" s="1"/>
  <c r="G88" i="2"/>
  <c r="G99" i="2"/>
  <c r="E99" i="2" s="1"/>
  <c r="E34" i="2" s="1"/>
  <c r="G93" i="2"/>
  <c r="G103" i="2"/>
  <c r="G90" i="2"/>
  <c r="G110" i="2"/>
  <c r="G98" i="2"/>
  <c r="G107" i="2"/>
  <c r="G52" i="27"/>
  <c r="G55" i="27"/>
  <c r="G56" i="27"/>
  <c r="G61" i="27"/>
  <c r="G77" i="27"/>
  <c r="G59" i="27"/>
  <c r="G78" i="27"/>
  <c r="G60" i="27"/>
  <c r="G54" i="27"/>
  <c r="G63" i="27"/>
  <c r="G69" i="27"/>
  <c r="G65" i="27"/>
  <c r="G62" i="27"/>
  <c r="G67" i="27"/>
  <c r="G53" i="27"/>
  <c r="G68" i="27"/>
  <c r="G80" i="27"/>
  <c r="G58" i="27"/>
  <c r="B52" i="27"/>
  <c r="C52" i="27"/>
  <c r="I52" i="27" s="1"/>
  <c r="B53" i="27"/>
  <c r="G83" i="27"/>
  <c r="G73" i="27"/>
  <c r="G82" i="27"/>
  <c r="G79" i="27"/>
  <c r="G57" i="27"/>
  <c r="G72" i="27"/>
  <c r="G85" i="27"/>
  <c r="G66" i="27"/>
  <c r="B19" i="6"/>
  <c r="L7" i="10"/>
  <c r="C83" i="6"/>
  <c r="C8" i="6"/>
  <c r="D72" i="6"/>
  <c r="D8" i="6"/>
  <c r="C9" i="2"/>
  <c r="D74" i="2"/>
  <c r="D9" i="2"/>
  <c r="B84" i="11"/>
  <c r="B20" i="11"/>
  <c r="G7" i="10"/>
  <c r="H7" i="10" s="1"/>
  <c r="J83" i="11"/>
  <c r="L83" i="11" s="1"/>
  <c r="K83" i="11" s="1"/>
  <c r="I7" i="10" s="1"/>
  <c r="J7" i="10" s="1"/>
  <c r="C18" i="6"/>
  <c r="D82" i="6"/>
  <c r="D18" i="6"/>
  <c r="D43" i="27"/>
  <c r="D79" i="2"/>
  <c r="D14" i="2"/>
  <c r="C14" i="2"/>
  <c r="D80" i="2"/>
  <c r="D15" i="2"/>
  <c r="D76" i="2"/>
  <c r="D11" i="2"/>
  <c r="C11" i="2"/>
  <c r="D72" i="2"/>
  <c r="D7" i="2"/>
  <c r="C7" i="2"/>
  <c r="D44" i="27"/>
  <c r="C8" i="2"/>
  <c r="D73" i="2"/>
  <c r="D8" i="2"/>
  <c r="D75" i="2"/>
  <c r="D10" i="2"/>
  <c r="AH6" i="10"/>
  <c r="B19" i="2"/>
  <c r="Q7" i="10"/>
  <c r="R7" i="10" s="1"/>
  <c r="AM6" i="22" s="1"/>
  <c r="AQ6" i="22" s="1"/>
  <c r="C84" i="2"/>
  <c r="K84" i="2"/>
  <c r="L84" i="2" s="1"/>
  <c r="D47" i="27"/>
  <c r="D46" i="27"/>
  <c r="D78" i="2"/>
  <c r="D13" i="2"/>
  <c r="C13" i="2"/>
  <c r="D75" i="6"/>
  <c r="D11" i="6"/>
  <c r="C11" i="6"/>
  <c r="D71" i="2"/>
  <c r="D6" i="2"/>
  <c r="C6" i="2"/>
  <c r="H83" i="11"/>
  <c r="C18" i="11"/>
  <c r="D73" i="6"/>
  <c r="D9" i="6"/>
  <c r="B141" i="6"/>
  <c r="C18" i="2"/>
  <c r="D83" i="2"/>
  <c r="D18" i="2"/>
  <c r="AC6" i="10"/>
  <c r="D76" i="6"/>
  <c r="D12" i="6"/>
  <c r="D42" i="27"/>
  <c r="D41" i="27"/>
  <c r="C11" i="5"/>
  <c r="K52" i="27"/>
  <c r="E114" i="2"/>
  <c r="E49" i="2" s="1"/>
  <c r="E97" i="2"/>
  <c r="E32" i="2" s="1"/>
  <c r="H100" i="2"/>
  <c r="N110" i="2" s="1"/>
  <c r="AD6" i="10"/>
  <c r="AX6" i="10"/>
  <c r="H7" i="5"/>
  <c r="I7" i="5" s="1"/>
  <c r="C53" i="27"/>
  <c r="I53" i="27" s="1"/>
  <c r="B54" i="27"/>
  <c r="K53" i="27"/>
  <c r="D83" i="6"/>
  <c r="D19" i="6"/>
  <c r="C19" i="6"/>
  <c r="C141" i="6"/>
  <c r="D141" i="6"/>
  <c r="C19" i="2"/>
  <c r="D84" i="2"/>
  <c r="D19" i="2"/>
  <c r="I84" i="2"/>
  <c r="R52" i="27"/>
  <c r="L52" i="27"/>
  <c r="T52" i="27"/>
  <c r="U52" i="27"/>
  <c r="AC7" i="10"/>
  <c r="AD7" i="10" s="1"/>
  <c r="AX6" i="23" s="1"/>
  <c r="BB6" i="23" s="1"/>
  <c r="B85" i="11"/>
  <c r="B21" i="11"/>
  <c r="G8" i="10"/>
  <c r="AC8" i="10" s="1"/>
  <c r="J84" i="11"/>
  <c r="L84" i="11" s="1"/>
  <c r="K84" i="11" s="1"/>
  <c r="AE8" i="10" s="1"/>
  <c r="AF8" i="10" s="1"/>
  <c r="B85" i="2"/>
  <c r="D52" i="27"/>
  <c r="B84" i="6"/>
  <c r="C12" i="5"/>
  <c r="B142" i="6"/>
  <c r="B20" i="2"/>
  <c r="Q8" i="10"/>
  <c r="R8" i="10" s="1"/>
  <c r="AM7" i="23" s="1"/>
  <c r="L85" i="2"/>
  <c r="C85" i="2"/>
  <c r="C54" i="27"/>
  <c r="I54" i="27" s="1"/>
  <c r="K54" i="27"/>
  <c r="V52" i="27"/>
  <c r="O62" i="27"/>
  <c r="E52" i="27"/>
  <c r="H52" i="27"/>
  <c r="N62" i="27"/>
  <c r="D53" i="27"/>
  <c r="G9" i="10"/>
  <c r="H9" i="10" s="1"/>
  <c r="B86" i="11"/>
  <c r="B22" i="11"/>
  <c r="C84" i="6"/>
  <c r="B85" i="6"/>
  <c r="B20" i="6"/>
  <c r="L8" i="10"/>
  <c r="AH8" i="10" s="1"/>
  <c r="AI8" i="10" s="1"/>
  <c r="U53" i="27"/>
  <c r="L53" i="27"/>
  <c r="R53" i="27"/>
  <c r="T53" i="27"/>
  <c r="C13" i="5"/>
  <c r="C142" i="6"/>
  <c r="D142" i="6"/>
  <c r="M8" i="10"/>
  <c r="U54" i="27"/>
  <c r="R54" i="27"/>
  <c r="T54" i="27"/>
  <c r="L54" i="27"/>
  <c r="G10" i="10"/>
  <c r="AC10" i="10" s="1"/>
  <c r="B87" i="11"/>
  <c r="B23" i="11"/>
  <c r="J86" i="11"/>
  <c r="L86" i="11" s="1"/>
  <c r="AC9" i="10"/>
  <c r="C20" i="2"/>
  <c r="D85" i="2"/>
  <c r="D20" i="2"/>
  <c r="C85" i="6"/>
  <c r="B21" i="6"/>
  <c r="L9" i="10"/>
  <c r="M9" i="10" s="1"/>
  <c r="H10" i="5" s="1"/>
  <c r="I10" i="5" s="1"/>
  <c r="D84" i="6"/>
  <c r="D20" i="6"/>
  <c r="C20" i="6"/>
  <c r="O63" i="27"/>
  <c r="E53" i="27"/>
  <c r="V53" i="27"/>
  <c r="H53" i="27"/>
  <c r="N63" i="27"/>
  <c r="B55" i="27"/>
  <c r="D54" i="27"/>
  <c r="B86" i="2"/>
  <c r="C14" i="5"/>
  <c r="B143" i="6"/>
  <c r="C143" i="6"/>
  <c r="D143" i="6"/>
  <c r="C21" i="6"/>
  <c r="D85" i="6"/>
  <c r="D21" i="6"/>
  <c r="V54" i="27"/>
  <c r="E54" i="27"/>
  <c r="O64" i="27"/>
  <c r="H54" i="27"/>
  <c r="N64" i="27"/>
  <c r="H10" i="10"/>
  <c r="Q9" i="22" s="1"/>
  <c r="U9" i="22" s="1"/>
  <c r="K55" i="27"/>
  <c r="C55" i="27"/>
  <c r="I55" i="27" s="1"/>
  <c r="B21" i="2"/>
  <c r="Q9" i="10"/>
  <c r="C86" i="2"/>
  <c r="B87" i="2"/>
  <c r="B86" i="6"/>
  <c r="B88" i="11"/>
  <c r="B24" i="11"/>
  <c r="G11" i="10"/>
  <c r="H11" i="10" s="1"/>
  <c r="Q10" i="23" s="1"/>
  <c r="U10" i="23" s="1"/>
  <c r="C15" i="5"/>
  <c r="B144" i="6"/>
  <c r="C144" i="6"/>
  <c r="D144" i="6"/>
  <c r="B89" i="11"/>
  <c r="B25" i="11"/>
  <c r="G12" i="10"/>
  <c r="E11" i="5"/>
  <c r="F11" i="5" s="1"/>
  <c r="B22" i="2"/>
  <c r="Q10" i="10"/>
  <c r="C87" i="2"/>
  <c r="AC11" i="10"/>
  <c r="AD11" i="10" s="1"/>
  <c r="AX10" i="22" s="1"/>
  <c r="BB10" i="22" s="1"/>
  <c r="C86" i="6"/>
  <c r="B87" i="6"/>
  <c r="B22" i="6"/>
  <c r="L10" i="10"/>
  <c r="R55" i="27"/>
  <c r="T55" i="27"/>
  <c r="U55" i="27"/>
  <c r="L55" i="27"/>
  <c r="C21" i="2"/>
  <c r="D86" i="2"/>
  <c r="D21" i="2"/>
  <c r="B56" i="27"/>
  <c r="D55" i="27"/>
  <c r="C16" i="5"/>
  <c r="B145" i="6"/>
  <c r="E145" i="6"/>
  <c r="C87" i="6"/>
  <c r="B88" i="6"/>
  <c r="B23" i="6"/>
  <c r="L11" i="10"/>
  <c r="M11" i="10" s="1"/>
  <c r="C56" i="27"/>
  <c r="I56" i="27" s="1"/>
  <c r="B57" i="27"/>
  <c r="K56" i="27"/>
  <c r="V55" i="27"/>
  <c r="E55" i="27"/>
  <c r="H55" i="27"/>
  <c r="N65" i="27"/>
  <c r="O65" i="27"/>
  <c r="D86" i="6"/>
  <c r="D22" i="6"/>
  <c r="C22" i="6"/>
  <c r="C22" i="2"/>
  <c r="D87" i="2"/>
  <c r="D22" i="2"/>
  <c r="AC12" i="10"/>
  <c r="H12" i="10"/>
  <c r="C14" i="17" s="1"/>
  <c r="D14" i="17" s="1"/>
  <c r="G13" i="10"/>
  <c r="B90" i="11"/>
  <c r="B26" i="11"/>
  <c r="J89" i="11"/>
  <c r="B88" i="2"/>
  <c r="C17" i="5"/>
  <c r="C145" i="6"/>
  <c r="D145" i="6"/>
  <c r="B146" i="6"/>
  <c r="C88" i="2"/>
  <c r="B23" i="2"/>
  <c r="Q11" i="10"/>
  <c r="K88" i="2"/>
  <c r="L88" i="2"/>
  <c r="L89" i="11"/>
  <c r="L56" i="27"/>
  <c r="U56" i="27"/>
  <c r="T56" i="27"/>
  <c r="R56" i="27"/>
  <c r="AC13" i="10"/>
  <c r="H13" i="10"/>
  <c r="E14" i="5" s="1"/>
  <c r="F14" i="5" s="1"/>
  <c r="AD12" i="10"/>
  <c r="AX12" i="10"/>
  <c r="AY12" i="10" s="1"/>
  <c r="CE11" i="22" s="1"/>
  <c r="CI11" i="22" s="1"/>
  <c r="K57" i="27"/>
  <c r="C57" i="27"/>
  <c r="I57" i="27" s="1"/>
  <c r="B58" i="27"/>
  <c r="C88" i="6"/>
  <c r="B89" i="6"/>
  <c r="B24" i="6"/>
  <c r="L12" i="10"/>
  <c r="M12" i="10" s="1"/>
  <c r="H13" i="5" s="1"/>
  <c r="G14" i="10"/>
  <c r="B91" i="11"/>
  <c r="B27" i="11"/>
  <c r="J90" i="11"/>
  <c r="L90" i="11" s="1"/>
  <c r="Q11" i="23"/>
  <c r="E13" i="5"/>
  <c r="F13" i="5" s="1"/>
  <c r="D56" i="27"/>
  <c r="C23" i="6"/>
  <c r="D87" i="6"/>
  <c r="D23" i="6"/>
  <c r="C18" i="5"/>
  <c r="C146" i="6"/>
  <c r="D146" i="6"/>
  <c r="AH12" i="10"/>
  <c r="L57" i="27"/>
  <c r="T57" i="27"/>
  <c r="R57" i="27"/>
  <c r="U57" i="27"/>
  <c r="B147" i="6"/>
  <c r="G15" i="10"/>
  <c r="AC15" i="10" s="1"/>
  <c r="B92" i="11"/>
  <c r="B28" i="11"/>
  <c r="J91" i="11"/>
  <c r="L91" i="11" s="1"/>
  <c r="K91" i="11" s="1"/>
  <c r="AZ15" i="10" s="1"/>
  <c r="BA15" i="10" s="1"/>
  <c r="B25" i="6"/>
  <c r="L13" i="10"/>
  <c r="AH13" i="10" s="1"/>
  <c r="AI13" i="10" s="1"/>
  <c r="BI12" i="23" s="1"/>
  <c r="BM12" i="23" s="1"/>
  <c r="C89" i="6"/>
  <c r="B90" i="6"/>
  <c r="Q12" i="22"/>
  <c r="U12" i="22" s="1"/>
  <c r="Q12" i="23"/>
  <c r="U12" i="23" s="1"/>
  <c r="K58" i="27"/>
  <c r="C58" i="27"/>
  <c r="I58" i="27" s="1"/>
  <c r="B59" i="27"/>
  <c r="AD13" i="10"/>
  <c r="AX12" i="23" s="1"/>
  <c r="AX13" i="10"/>
  <c r="AY13" i="10"/>
  <c r="CE12" i="23" s="1"/>
  <c r="CI12" i="23" s="1"/>
  <c r="C23" i="2"/>
  <c r="D88" i="2"/>
  <c r="D23" i="2"/>
  <c r="I88" i="2"/>
  <c r="O66" i="27"/>
  <c r="V56" i="27"/>
  <c r="E56" i="27"/>
  <c r="H56" i="27"/>
  <c r="N66" i="27"/>
  <c r="C24" i="6"/>
  <c r="D88" i="6"/>
  <c r="D24" i="6"/>
  <c r="D57" i="27"/>
  <c r="B89" i="2"/>
  <c r="C19" i="5"/>
  <c r="O67" i="27"/>
  <c r="V57" i="27"/>
  <c r="E57" i="27"/>
  <c r="H57" i="27"/>
  <c r="N67" i="27"/>
  <c r="D58" i="27"/>
  <c r="C89" i="2"/>
  <c r="B90" i="2"/>
  <c r="B24" i="2"/>
  <c r="Q12" i="10"/>
  <c r="R12" i="10" s="1"/>
  <c r="O14" i="5"/>
  <c r="P14" i="5"/>
  <c r="AX12" i="22"/>
  <c r="BB12" i="22" s="1"/>
  <c r="C25" i="6"/>
  <c r="D89" i="6"/>
  <c r="D25" i="6"/>
  <c r="G16" i="10"/>
  <c r="H16" i="10" s="1"/>
  <c r="B93" i="11"/>
  <c r="B29" i="11"/>
  <c r="K59" i="27"/>
  <c r="C59" i="27"/>
  <c r="I59" i="27" s="1"/>
  <c r="C90" i="6"/>
  <c r="B91" i="6"/>
  <c r="B26" i="6"/>
  <c r="L14" i="10"/>
  <c r="C147" i="6"/>
  <c r="D147" i="6"/>
  <c r="U58" i="27"/>
  <c r="T58" i="27"/>
  <c r="R58" i="27"/>
  <c r="L58" i="27"/>
  <c r="I13" i="5"/>
  <c r="C20" i="5"/>
  <c r="B148" i="6"/>
  <c r="C148" i="6"/>
  <c r="D148" i="6"/>
  <c r="AC16" i="10"/>
  <c r="C90" i="2"/>
  <c r="B91" i="2"/>
  <c r="B25" i="2"/>
  <c r="Q13" i="10"/>
  <c r="R13" i="10" s="1"/>
  <c r="K90" i="2"/>
  <c r="L90" i="2" s="1"/>
  <c r="AH14" i="10"/>
  <c r="BC14" i="10" s="1"/>
  <c r="BD14" i="10" s="1"/>
  <c r="CP13" i="23" s="1"/>
  <c r="M14" i="10"/>
  <c r="D59" i="27"/>
  <c r="BB12" i="23"/>
  <c r="C91" i="6"/>
  <c r="B27" i="6"/>
  <c r="L15" i="10"/>
  <c r="AH15" i="10" s="1"/>
  <c r="L59" i="27"/>
  <c r="T59" i="27"/>
  <c r="U59" i="27"/>
  <c r="R59" i="27"/>
  <c r="C26" i="6"/>
  <c r="D90" i="6"/>
  <c r="D26" i="6"/>
  <c r="B94" i="11"/>
  <c r="B30" i="11"/>
  <c r="G17" i="10"/>
  <c r="J93" i="11"/>
  <c r="L93" i="11" s="1"/>
  <c r="K93" i="11" s="1"/>
  <c r="AE17" i="10" s="1"/>
  <c r="AF17" i="10" s="1"/>
  <c r="AW16" i="22" s="1"/>
  <c r="BA16" i="22" s="1"/>
  <c r="C24" i="2"/>
  <c r="D89" i="2"/>
  <c r="D24" i="2"/>
  <c r="O68" i="27"/>
  <c r="V58" i="27"/>
  <c r="E58" i="27"/>
  <c r="H58" i="27"/>
  <c r="N68" i="27"/>
  <c r="C21" i="5"/>
  <c r="M15" i="10"/>
  <c r="H16" i="5" s="1"/>
  <c r="E59" i="27"/>
  <c r="H59" i="27"/>
  <c r="N69" i="27"/>
  <c r="O69" i="27"/>
  <c r="V59" i="27"/>
  <c r="C25" i="2"/>
  <c r="D90" i="2"/>
  <c r="D25" i="2"/>
  <c r="I90" i="2"/>
  <c r="B149" i="6"/>
  <c r="G18" i="10"/>
  <c r="H18" i="10" s="1"/>
  <c r="B95" i="11"/>
  <c r="B31" i="11"/>
  <c r="AI14" i="10"/>
  <c r="C91" i="2"/>
  <c r="C92" i="2"/>
  <c r="B26" i="2"/>
  <c r="Q14" i="10"/>
  <c r="L91" i="2"/>
  <c r="C27" i="6"/>
  <c r="D91" i="6"/>
  <c r="D27" i="6"/>
  <c r="H15" i="5"/>
  <c r="I15" i="5" s="1"/>
  <c r="B92" i="6"/>
  <c r="Q15" i="23"/>
  <c r="U15" i="23" s="1"/>
  <c r="E17" i="5"/>
  <c r="F17" i="5" s="1"/>
  <c r="C22" i="5"/>
  <c r="B96" i="11"/>
  <c r="B32" i="11"/>
  <c r="J95" i="11"/>
  <c r="L95" i="11" s="1"/>
  <c r="M95" i="11" s="1"/>
  <c r="G19" i="10"/>
  <c r="E90" i="2"/>
  <c r="E25" i="2" s="1"/>
  <c r="I16" i="5"/>
  <c r="C26" i="2"/>
  <c r="D91" i="2"/>
  <c r="D26" i="2"/>
  <c r="BI13" i="23"/>
  <c r="BI13" i="22"/>
  <c r="BM13" i="22" s="1"/>
  <c r="C149" i="6"/>
  <c r="D149" i="6"/>
  <c r="AI15" i="10"/>
  <c r="BC15" i="10"/>
  <c r="BD15" i="10" s="1"/>
  <c r="AB16" i="5" s="1"/>
  <c r="AC16" i="5" s="1"/>
  <c r="AC18" i="10"/>
  <c r="AX18" i="10" s="1"/>
  <c r="AY18" i="10" s="1"/>
  <c r="CE17" i="22" s="1"/>
  <c r="CI17" i="22" s="1"/>
  <c r="B28" i="6"/>
  <c r="L16" i="10"/>
  <c r="C92" i="6"/>
  <c r="B93" i="6"/>
  <c r="K92" i="6"/>
  <c r="D93" i="2"/>
  <c r="D28" i="2"/>
  <c r="C27" i="2"/>
  <c r="D92" i="2"/>
  <c r="D27" i="2"/>
  <c r="I93" i="2"/>
  <c r="C23" i="5"/>
  <c r="B150" i="6"/>
  <c r="E150" i="6"/>
  <c r="L92" i="6" s="1"/>
  <c r="O103" i="2"/>
  <c r="C28" i="6"/>
  <c r="I92" i="6"/>
  <c r="D92" i="6"/>
  <c r="D28" i="6"/>
  <c r="AC19" i="10"/>
  <c r="AX19" i="10" s="1"/>
  <c r="AY19" i="10" s="1"/>
  <c r="H19" i="10"/>
  <c r="Q18" i="23" s="1"/>
  <c r="U18" i="23" s="1"/>
  <c r="E19" i="5"/>
  <c r="F19" i="5" s="1"/>
  <c r="C93" i="6"/>
  <c r="B94" i="6"/>
  <c r="B29" i="6"/>
  <c r="L17" i="10"/>
  <c r="M17" i="10" s="1"/>
  <c r="B97" i="11"/>
  <c r="B33" i="11"/>
  <c r="G20" i="10"/>
  <c r="H20" i="10" s="1"/>
  <c r="E21" i="5" s="1"/>
  <c r="F21" i="5" s="1"/>
  <c r="C24" i="5"/>
  <c r="C150" i="6"/>
  <c r="D150" i="6"/>
  <c r="AH17" i="10"/>
  <c r="BC17" i="10" s="1"/>
  <c r="BD17" i="10" s="1"/>
  <c r="B98" i="11"/>
  <c r="B34" i="11"/>
  <c r="G21" i="10"/>
  <c r="B30" i="6"/>
  <c r="L18" i="10"/>
  <c r="M18" i="10" s="1"/>
  <c r="C94" i="6"/>
  <c r="C29" i="6"/>
  <c r="D93" i="6"/>
  <c r="D29" i="6"/>
  <c r="AD19" i="10"/>
  <c r="AX18" i="22" s="1"/>
  <c r="BB18" i="22" s="1"/>
  <c r="C25" i="5"/>
  <c r="B151" i="6"/>
  <c r="C30" i="6"/>
  <c r="D94" i="6"/>
  <c r="D30" i="6"/>
  <c r="C151" i="6"/>
  <c r="D151" i="6"/>
  <c r="G22" i="10"/>
  <c r="B99" i="11"/>
  <c r="B35" i="11"/>
  <c r="AI17" i="10"/>
  <c r="CE18" i="22"/>
  <c r="CI18" i="22" s="1"/>
  <c r="B95" i="6"/>
  <c r="C26" i="5"/>
  <c r="B152" i="6"/>
  <c r="B100" i="11"/>
  <c r="B36" i="11"/>
  <c r="G23" i="10"/>
  <c r="H23" i="10" s="1"/>
  <c r="B31" i="6"/>
  <c r="L19" i="10"/>
  <c r="M19" i="10" s="1"/>
  <c r="C95" i="6"/>
  <c r="C27" i="5"/>
  <c r="C152" i="6"/>
  <c r="D152" i="6"/>
  <c r="C31" i="6"/>
  <c r="D95" i="6"/>
  <c r="D31" i="6"/>
  <c r="I95" i="6"/>
  <c r="B101" i="11"/>
  <c r="B37" i="11"/>
  <c r="G24" i="10"/>
  <c r="AC23" i="10"/>
  <c r="AX23" i="10" s="1"/>
  <c r="AY23" i="10" s="1"/>
  <c r="CE22" i="23" s="1"/>
  <c r="CI22" i="23" s="1"/>
  <c r="B96" i="6"/>
  <c r="C28" i="5"/>
  <c r="B153" i="6"/>
  <c r="C153" i="6"/>
  <c r="D153" i="6"/>
  <c r="H24" i="10"/>
  <c r="E25" i="5" s="1"/>
  <c r="F25" i="5" s="1"/>
  <c r="AC24" i="10"/>
  <c r="AX24" i="10" s="1"/>
  <c r="AY24" i="10" s="1"/>
  <c r="AD23" i="10"/>
  <c r="AX22" i="23" s="1"/>
  <c r="BB22" i="23" s="1"/>
  <c r="G25" i="10"/>
  <c r="B102" i="11"/>
  <c r="B38" i="11"/>
  <c r="C96" i="6"/>
  <c r="K96" i="6"/>
  <c r="C97" i="6"/>
  <c r="B32" i="6"/>
  <c r="L20" i="10"/>
  <c r="M20" i="10" s="1"/>
  <c r="Q22" i="23"/>
  <c r="C29" i="5"/>
  <c r="D96" i="6"/>
  <c r="D32" i="6"/>
  <c r="I96" i="6"/>
  <c r="E96" i="6" s="1"/>
  <c r="E32" i="6" s="1"/>
  <c r="C32" i="6"/>
  <c r="AC25" i="10"/>
  <c r="AX25" i="10" s="1"/>
  <c r="H25" i="10"/>
  <c r="Q24" i="23" s="1"/>
  <c r="U24" i="23" s="1"/>
  <c r="D97" i="6"/>
  <c r="D33" i="6"/>
  <c r="C33" i="6"/>
  <c r="D98" i="6"/>
  <c r="D34" i="6"/>
  <c r="G26" i="10"/>
  <c r="B103" i="11"/>
  <c r="B39" i="11"/>
  <c r="B154" i="6"/>
  <c r="AH20" i="10"/>
  <c r="BC20" i="10" s="1"/>
  <c r="BD20" i="10" s="1"/>
  <c r="AD24" i="10"/>
  <c r="C30" i="5"/>
  <c r="B104" i="11"/>
  <c r="B40" i="11"/>
  <c r="G27" i="10"/>
  <c r="AC27" i="10" s="1"/>
  <c r="CE23" i="22"/>
  <c r="AC26" i="10"/>
  <c r="AX26" i="10" s="1"/>
  <c r="AY26" i="10" s="1"/>
  <c r="Y27" i="5" s="1"/>
  <c r="Z27" i="5" s="1"/>
  <c r="H26" i="10"/>
  <c r="Q25" i="23" s="1"/>
  <c r="U25" i="23" s="1"/>
  <c r="AX23" i="22"/>
  <c r="BB23" i="22" s="1"/>
  <c r="C154" i="6"/>
  <c r="D154" i="6"/>
  <c r="C155" i="6"/>
  <c r="E154" i="6"/>
  <c r="AY25" i="10"/>
  <c r="CE24" i="22" s="1"/>
  <c r="AD25" i="10"/>
  <c r="AX24" i="22" s="1"/>
  <c r="BB24" i="22" s="1"/>
  <c r="D155" i="6"/>
  <c r="D156" i="6"/>
  <c r="CE24" i="23"/>
  <c r="CI24" i="23" s="1"/>
  <c r="B105" i="11"/>
  <c r="B41" i="11"/>
  <c r="G28" i="10"/>
  <c r="AC28" i="10" s="1"/>
  <c r="G29" i="10"/>
  <c r="AC29" i="10" s="1"/>
  <c r="AX29" i="10" s="1"/>
  <c r="AY29" i="10" s="1"/>
  <c r="B106" i="11"/>
  <c r="B42" i="11"/>
  <c r="H28" i="10"/>
  <c r="B107" i="11"/>
  <c r="B43" i="11"/>
  <c r="G30" i="10"/>
  <c r="H29" i="10"/>
  <c r="Q28" i="22" s="1"/>
  <c r="U28" i="22" s="1"/>
  <c r="Q27" i="23"/>
  <c r="U27" i="23" s="1"/>
  <c r="E29" i="5"/>
  <c r="F29" i="5" s="1"/>
  <c r="AD29" i="10"/>
  <c r="AX28" i="23" s="1"/>
  <c r="BB28" i="23" s="1"/>
  <c r="Q28" i="23"/>
  <c r="B108" i="11"/>
  <c r="B44" i="11"/>
  <c r="G31" i="10"/>
  <c r="O30" i="5"/>
  <c r="P30" i="5"/>
  <c r="B109" i="11"/>
  <c r="B45" i="11"/>
  <c r="G32" i="10"/>
  <c r="H31" i="10"/>
  <c r="Q30" i="22" s="1"/>
  <c r="U30" i="22" s="1"/>
  <c r="AC31" i="10"/>
  <c r="H32" i="10"/>
  <c r="D33" i="21" s="1"/>
  <c r="E33" i="21" s="1"/>
  <c r="AC32" i="10"/>
  <c r="AX32" i="10" s="1"/>
  <c r="AY32" i="10" s="1"/>
  <c r="W35" i="16" s="1"/>
  <c r="X35" i="16" s="1"/>
  <c r="Q30" i="23"/>
  <c r="U30" i="23" s="1"/>
  <c r="E32" i="5"/>
  <c r="F32" i="5" s="1"/>
  <c r="AD31" i="10"/>
  <c r="AX30" i="23" s="1"/>
  <c r="AX31" i="10"/>
  <c r="AY31" i="10" s="1"/>
  <c r="Y32" i="5" s="1"/>
  <c r="Z32" i="5" s="1"/>
  <c r="G33" i="10"/>
  <c r="AC33" i="10" s="1"/>
  <c r="B110" i="11"/>
  <c r="B46" i="11"/>
  <c r="AX30" i="22"/>
  <c r="BB30" i="22" s="1"/>
  <c r="B111" i="11"/>
  <c r="B47" i="11"/>
  <c r="G34" i="10"/>
  <c r="H34" i="10" s="1"/>
  <c r="Q31" i="22"/>
  <c r="U31" i="22" s="1"/>
  <c r="CE31" i="22"/>
  <c r="CI31" i="22" s="1"/>
  <c r="G35" i="10"/>
  <c r="B112" i="11"/>
  <c r="B48" i="11"/>
  <c r="B113" i="11"/>
  <c r="B49" i="11"/>
  <c r="G36" i="10"/>
  <c r="H36" i="10" s="1"/>
  <c r="Q33" i="22"/>
  <c r="U33" i="22" s="1"/>
  <c r="Q33" i="23"/>
  <c r="U33" i="23" s="1"/>
  <c r="B114" i="11"/>
  <c r="B50" i="11"/>
  <c r="G37" i="10"/>
  <c r="G38" i="10"/>
  <c r="H38" i="10" s="1"/>
  <c r="E39" i="5" s="1"/>
  <c r="F39" i="5" s="1"/>
  <c r="B115" i="11"/>
  <c r="B51" i="11"/>
  <c r="J114" i="11"/>
  <c r="L114" i="11" s="1"/>
  <c r="K114" i="11" s="1"/>
  <c r="Q35" i="22"/>
  <c r="J115" i="11"/>
  <c r="L115" i="11" s="1"/>
  <c r="K115" i="11" s="1"/>
  <c r="B116" i="11"/>
  <c r="B52" i="11"/>
  <c r="G39" i="10"/>
  <c r="G40" i="10"/>
  <c r="H40" i="10" s="1"/>
  <c r="B60" i="27" l="1"/>
  <c r="M66" i="27"/>
  <c r="BT37" i="22"/>
  <c r="BX37" i="22" s="1"/>
  <c r="AM39" i="10"/>
  <c r="AN39" i="10" s="1"/>
  <c r="BT38" i="23" s="1"/>
  <c r="BX38" i="23" s="1"/>
  <c r="R19" i="10"/>
  <c r="J20" i="21" s="1"/>
  <c r="K20" i="21" s="1"/>
  <c r="AM32" i="10"/>
  <c r="AN32" i="10" s="1"/>
  <c r="T33" i="21" s="1"/>
  <c r="U33" i="21" s="1"/>
  <c r="AM34" i="23"/>
  <c r="AQ34" i="23" s="1"/>
  <c r="AM7" i="10"/>
  <c r="BH7" i="10" s="1"/>
  <c r="BI7" i="10" s="1"/>
  <c r="DA6" i="23" s="1"/>
  <c r="DE6" i="23" s="1"/>
  <c r="AM35" i="10"/>
  <c r="AN35" i="10" s="1"/>
  <c r="BT34" i="22" s="1"/>
  <c r="BX34" i="22" s="1"/>
  <c r="AN16" i="10"/>
  <c r="S19" i="16" s="1"/>
  <c r="T19" i="16" s="1"/>
  <c r="AB19" i="23"/>
  <c r="AF19" i="23" s="1"/>
  <c r="AB19" i="22"/>
  <c r="AF19" i="22" s="1"/>
  <c r="Z19" i="17"/>
  <c r="AA19" i="17" s="1"/>
  <c r="CP16" i="23"/>
  <c r="CN16" i="23" s="1"/>
  <c r="CR16" i="23" s="1"/>
  <c r="CP16" i="22"/>
  <c r="CT16" i="22" s="1"/>
  <c r="F20" i="16"/>
  <c r="G20" i="16" s="1"/>
  <c r="AB16" i="22"/>
  <c r="AF16" i="22" s="1"/>
  <c r="AB29" i="22"/>
  <c r="H31" i="5"/>
  <c r="I31" i="5" s="1"/>
  <c r="AB41" i="5"/>
  <c r="AC41" i="5" s="1"/>
  <c r="CP39" i="22"/>
  <c r="CT39" i="22" s="1"/>
  <c r="Z43" i="16"/>
  <c r="AA43" i="16" s="1"/>
  <c r="CP39" i="23"/>
  <c r="CT39" i="23" s="1"/>
  <c r="AI6" i="10"/>
  <c r="P9" i="16" s="1"/>
  <c r="Q9" i="16" s="1"/>
  <c r="BC6" i="10"/>
  <c r="BD6" i="10" s="1"/>
  <c r="BC30" i="10"/>
  <c r="BD30" i="10" s="1"/>
  <c r="AI30" i="10"/>
  <c r="R31" i="5" s="1"/>
  <c r="S31" i="5" s="1"/>
  <c r="H35" i="5"/>
  <c r="I35" i="5" s="1"/>
  <c r="F37" i="16"/>
  <c r="G37" i="16" s="1"/>
  <c r="F21" i="17"/>
  <c r="G21" i="17" s="1"/>
  <c r="H20" i="5"/>
  <c r="I20" i="5" s="1"/>
  <c r="F25" i="17"/>
  <c r="G25" i="17" s="1"/>
  <c r="AB22" i="22"/>
  <c r="R22" i="10"/>
  <c r="K23" i="5" s="1"/>
  <c r="L23" i="5" s="1"/>
  <c r="AM22" i="10"/>
  <c r="BH22" i="10" s="1"/>
  <c r="BI22" i="10" s="1"/>
  <c r="F33" i="17"/>
  <c r="G33" i="17" s="1"/>
  <c r="AB30" i="22"/>
  <c r="AF30" i="22" s="1"/>
  <c r="AB30" i="23"/>
  <c r="AF30" i="23" s="1"/>
  <c r="AB18" i="23"/>
  <c r="AF18" i="23" s="1"/>
  <c r="M13" i="10"/>
  <c r="AB12" i="22" s="1"/>
  <c r="AB8" i="23"/>
  <c r="AF8" i="23" s="1"/>
  <c r="AH9" i="10"/>
  <c r="AN26" i="10"/>
  <c r="BT25" i="22" s="1"/>
  <c r="BX25" i="22" s="1"/>
  <c r="BC37" i="10"/>
  <c r="BD37" i="10" s="1"/>
  <c r="AB29" i="5"/>
  <c r="AC29" i="5" s="1"/>
  <c r="R29" i="5"/>
  <c r="S29" i="5" s="1"/>
  <c r="M22" i="10"/>
  <c r="AB33" i="22"/>
  <c r="H24" i="5"/>
  <c r="I24" i="5" s="1"/>
  <c r="H37" i="5"/>
  <c r="I37" i="5" s="1"/>
  <c r="AM18" i="10"/>
  <c r="AN18" i="10" s="1"/>
  <c r="T19" i="21" s="1"/>
  <c r="U19" i="21" s="1"/>
  <c r="R18" i="10"/>
  <c r="I20" i="17" s="1"/>
  <c r="J20" i="17" s="1"/>
  <c r="BC33" i="10"/>
  <c r="BD33" i="10" s="1"/>
  <c r="AH31" i="10"/>
  <c r="AH21" i="10"/>
  <c r="M21" i="10"/>
  <c r="AI20" i="10"/>
  <c r="AB18" i="22"/>
  <c r="AF18" i="22" s="1"/>
  <c r="AH19" i="10"/>
  <c r="BC13" i="10"/>
  <c r="BD13" i="10" s="1"/>
  <c r="CP12" i="22" s="1"/>
  <c r="CT12" i="22" s="1"/>
  <c r="BC22" i="10"/>
  <c r="BD22" i="10" s="1"/>
  <c r="R37" i="5"/>
  <c r="S37" i="5" s="1"/>
  <c r="AB33" i="23"/>
  <c r="AF33" i="23" s="1"/>
  <c r="AB38" i="23"/>
  <c r="AF38" i="23" s="1"/>
  <c r="BI35" i="23"/>
  <c r="CP33" i="22"/>
  <c r="CT33" i="22" s="1"/>
  <c r="K35" i="5"/>
  <c r="L35" i="5" s="1"/>
  <c r="F42" i="17"/>
  <c r="G42" i="17" s="1"/>
  <c r="AB39" i="23"/>
  <c r="AF39" i="23" s="1"/>
  <c r="Z36" i="17"/>
  <c r="AA36" i="17" s="1"/>
  <c r="R38" i="10"/>
  <c r="M35" i="10"/>
  <c r="H36" i="5" s="1"/>
  <c r="I36" i="5" s="1"/>
  <c r="CE28" i="23"/>
  <c r="CE28" i="22"/>
  <c r="CI28" i="22" s="1"/>
  <c r="Q8" i="23"/>
  <c r="U8" i="23" s="1"/>
  <c r="Q8" i="22"/>
  <c r="U8" i="22" s="1"/>
  <c r="H39" i="10"/>
  <c r="Q38" i="22" s="1"/>
  <c r="U38" i="22" s="1"/>
  <c r="AC39" i="10"/>
  <c r="AD39" i="10" s="1"/>
  <c r="H35" i="10"/>
  <c r="Q34" i="23" s="1"/>
  <c r="U34" i="23" s="1"/>
  <c r="AC35" i="10"/>
  <c r="AX35" i="10" s="1"/>
  <c r="AY35" i="10" s="1"/>
  <c r="Y36" i="5" s="1"/>
  <c r="Z36" i="5" s="1"/>
  <c r="AX33" i="10"/>
  <c r="AY33" i="10" s="1"/>
  <c r="AD33" i="10"/>
  <c r="AX32" i="23" s="1"/>
  <c r="C8" i="17"/>
  <c r="D8" i="17" s="1"/>
  <c r="H33" i="10"/>
  <c r="E34" i="5" s="1"/>
  <c r="F34" i="5" s="1"/>
  <c r="AD27" i="10"/>
  <c r="AX27" i="10"/>
  <c r="AY27" i="10" s="1"/>
  <c r="CE26" i="22" s="1"/>
  <c r="CI26" i="22" s="1"/>
  <c r="AC20" i="10"/>
  <c r="H17" i="10"/>
  <c r="Q16" i="22" s="1"/>
  <c r="U16" i="22" s="1"/>
  <c r="AC17" i="10"/>
  <c r="AD17" i="10" s="1"/>
  <c r="Q9" i="23"/>
  <c r="R15" i="10"/>
  <c r="AM15" i="10"/>
  <c r="AN15" i="10" s="1"/>
  <c r="AM33" i="10"/>
  <c r="BH33" i="10" s="1"/>
  <c r="BI33" i="10" s="1"/>
  <c r="R33" i="10"/>
  <c r="I36" i="16" s="1"/>
  <c r="J36" i="16" s="1"/>
  <c r="AM27" i="10"/>
  <c r="BH27" i="10" s="1"/>
  <c r="BI27" i="10" s="1"/>
  <c r="R27" i="10"/>
  <c r="AM21" i="10"/>
  <c r="R21" i="10"/>
  <c r="AM20" i="23" s="1"/>
  <c r="AK20" i="23" s="1"/>
  <c r="AO20" i="23" s="1"/>
  <c r="AM17" i="10"/>
  <c r="AN17" i="10" s="1"/>
  <c r="T18" i="21" s="1"/>
  <c r="U18" i="21" s="1"/>
  <c r="R17" i="10"/>
  <c r="AM16" i="23" s="1"/>
  <c r="AQ16" i="23" s="1"/>
  <c r="AC37" i="10"/>
  <c r="AX37" i="10" s="1"/>
  <c r="AY37" i="10" s="1"/>
  <c r="Y38" i="5" s="1"/>
  <c r="Z38" i="5" s="1"/>
  <c r="H37" i="10"/>
  <c r="C39" i="17" s="1"/>
  <c r="D39" i="17" s="1"/>
  <c r="AD32" i="10"/>
  <c r="Q23" i="22"/>
  <c r="U23" i="22" s="1"/>
  <c r="AC14" i="10"/>
  <c r="H14" i="10"/>
  <c r="AX10" i="10"/>
  <c r="AY10" i="10" s="1"/>
  <c r="CE9" i="22" s="1"/>
  <c r="CI9" i="22" s="1"/>
  <c r="AD10" i="10"/>
  <c r="AC38" i="10"/>
  <c r="AD38" i="10" s="1"/>
  <c r="AX37" i="23" s="1"/>
  <c r="BB37" i="23" s="1"/>
  <c r="O32" i="5"/>
  <c r="P32" i="5" s="1"/>
  <c r="AX28" i="22"/>
  <c r="BB28" i="22" s="1"/>
  <c r="H30" i="10"/>
  <c r="AC30" i="10"/>
  <c r="AD28" i="10"/>
  <c r="AX28" i="10"/>
  <c r="AY28" i="10" s="1"/>
  <c r="H27" i="10"/>
  <c r="Q23" i="23"/>
  <c r="U23" i="23" s="1"/>
  <c r="D24" i="21"/>
  <c r="E24" i="21" s="1"/>
  <c r="C25" i="17"/>
  <c r="D25" i="17" s="1"/>
  <c r="Q22" i="22"/>
  <c r="U22" i="22" s="1"/>
  <c r="E24" i="5"/>
  <c r="F24" i="5" s="1"/>
  <c r="AD18" i="10"/>
  <c r="Q17" i="23"/>
  <c r="U17" i="23" s="1"/>
  <c r="Q17" i="22"/>
  <c r="U17" i="22" s="1"/>
  <c r="O12" i="5"/>
  <c r="P12" i="5" s="1"/>
  <c r="R9" i="10"/>
  <c r="I12" i="16" s="1"/>
  <c r="J12" i="16" s="1"/>
  <c r="AM9" i="10"/>
  <c r="BH9" i="10" s="1"/>
  <c r="BI9" i="10" s="1"/>
  <c r="AC11" i="17" s="1"/>
  <c r="AD11" i="17" s="1"/>
  <c r="R6" i="10"/>
  <c r="I9" i="16" s="1"/>
  <c r="J9" i="16" s="1"/>
  <c r="AM6" i="10"/>
  <c r="AN6" i="10" s="1"/>
  <c r="AD26" i="10"/>
  <c r="N27" i="21" s="1"/>
  <c r="O27" i="21" s="1"/>
  <c r="E26" i="5"/>
  <c r="F26" i="5" s="1"/>
  <c r="Q11" i="22"/>
  <c r="U11" i="22" s="1"/>
  <c r="K8" i="5"/>
  <c r="L8" i="5" s="1"/>
  <c r="C34" i="16"/>
  <c r="D34" i="16" s="1"/>
  <c r="I37" i="17"/>
  <c r="J37" i="17" s="1"/>
  <c r="O98" i="2"/>
  <c r="O94" i="2"/>
  <c r="H88" i="2"/>
  <c r="N98" i="2" s="1"/>
  <c r="O100" i="2"/>
  <c r="H107" i="2"/>
  <c r="N117" i="2" s="1"/>
  <c r="G115" i="2"/>
  <c r="I115" i="2" s="1"/>
  <c r="K95" i="2"/>
  <c r="J94" i="2"/>
  <c r="J92" i="2"/>
  <c r="I85" i="2"/>
  <c r="G86" i="2"/>
  <c r="G85" i="2"/>
  <c r="H85" i="2" s="1"/>
  <c r="N95" i="2" s="1"/>
  <c r="G94" i="2"/>
  <c r="H94" i="2" s="1"/>
  <c r="N104" i="2" s="1"/>
  <c r="I106" i="2"/>
  <c r="K96" i="2"/>
  <c r="J86" i="2"/>
  <c r="J101" i="2"/>
  <c r="O111" i="2"/>
  <c r="E86" i="2"/>
  <c r="E21" i="2" s="1"/>
  <c r="O96" i="2"/>
  <c r="O102" i="2"/>
  <c r="E84" i="2"/>
  <c r="E19" i="2" s="1"/>
  <c r="H84" i="2"/>
  <c r="N94" i="2" s="1"/>
  <c r="G113" i="2"/>
  <c r="K113" i="2"/>
  <c r="L113" i="2" s="1"/>
  <c r="J114" i="2"/>
  <c r="J108" i="2"/>
  <c r="J89" i="2"/>
  <c r="G89" i="2"/>
  <c r="J90" i="2"/>
  <c r="K102" i="2"/>
  <c r="L102" i="2" s="1"/>
  <c r="I102" i="2"/>
  <c r="J102" i="2"/>
  <c r="H93" i="2"/>
  <c r="N103" i="2" s="1"/>
  <c r="M103" i="2" s="1"/>
  <c r="E93" i="2"/>
  <c r="E28" i="2" s="1"/>
  <c r="G108" i="2"/>
  <c r="I116" i="2"/>
  <c r="H116" i="2" s="1"/>
  <c r="L92" i="2"/>
  <c r="E94" i="2"/>
  <c r="E29" i="2" s="1"/>
  <c r="O104" i="2"/>
  <c r="I89" i="2"/>
  <c r="K89" i="2"/>
  <c r="L89" i="2" s="1"/>
  <c r="E88" i="2"/>
  <c r="E23" i="2" s="1"/>
  <c r="G102" i="2"/>
  <c r="I110" i="2"/>
  <c r="O116" i="2"/>
  <c r="H86" i="2"/>
  <c r="N96" i="2" s="1"/>
  <c r="K117" i="2"/>
  <c r="L117" i="2" s="1"/>
  <c r="J117" i="2"/>
  <c r="J112" i="2"/>
  <c r="G111" i="2"/>
  <c r="K111" i="2"/>
  <c r="L111" i="2" s="1"/>
  <c r="J111" i="2"/>
  <c r="K101" i="2"/>
  <c r="L101" i="2" s="1"/>
  <c r="K106" i="2"/>
  <c r="L106" i="2" s="1"/>
  <c r="G106" i="2"/>
  <c r="H106" i="2" s="1"/>
  <c r="N116" i="2" s="1"/>
  <c r="J106" i="2"/>
  <c r="K86" i="2"/>
  <c r="L86" i="2" s="1"/>
  <c r="G87" i="2"/>
  <c r="H87" i="2" s="1"/>
  <c r="N97" i="2" s="1"/>
  <c r="I87" i="2"/>
  <c r="J87" i="2"/>
  <c r="J93" i="2"/>
  <c r="G92" i="2"/>
  <c r="H92" i="2" s="1"/>
  <c r="N102" i="2" s="1"/>
  <c r="K92" i="2"/>
  <c r="H104" i="2"/>
  <c r="N114" i="2" s="1"/>
  <c r="O114" i="2"/>
  <c r="H99" i="2"/>
  <c r="N109" i="2" s="1"/>
  <c r="O109" i="2"/>
  <c r="J109" i="2"/>
  <c r="J88" i="2"/>
  <c r="K108" i="2"/>
  <c r="L108" i="2" s="1"/>
  <c r="L115" i="2"/>
  <c r="L95" i="2"/>
  <c r="K87" i="2"/>
  <c r="L87" i="2" s="1"/>
  <c r="E85" i="2"/>
  <c r="E20" i="2" s="1"/>
  <c r="O95" i="2"/>
  <c r="E105" i="2"/>
  <c r="E40" i="2" s="1"/>
  <c r="E104" i="2"/>
  <c r="E39" i="2" s="1"/>
  <c r="G117" i="2"/>
  <c r="H90" i="2"/>
  <c r="N100" i="2" s="1"/>
  <c r="I112" i="2"/>
  <c r="G101" i="2"/>
  <c r="H101" i="2" s="1"/>
  <c r="N111" i="2" s="1"/>
  <c r="H105" i="2"/>
  <c r="N115" i="2" s="1"/>
  <c r="M115" i="2" s="1"/>
  <c r="E106" i="2"/>
  <c r="E41" i="2" s="1"/>
  <c r="O117" i="2"/>
  <c r="J113" i="2"/>
  <c r="G91" i="2"/>
  <c r="G95" i="2"/>
  <c r="H95" i="2" s="1"/>
  <c r="N105" i="2" s="1"/>
  <c r="G96" i="2"/>
  <c r="G109" i="2"/>
  <c r="I95" i="2"/>
  <c r="J85" i="2"/>
  <c r="L96" i="2"/>
  <c r="J115" i="2"/>
  <c r="J91" i="2"/>
  <c r="J99" i="2"/>
  <c r="K98" i="2"/>
  <c r="L98" i="2" s="1"/>
  <c r="K103" i="2"/>
  <c r="L103" i="2" s="1"/>
  <c r="K109" i="2"/>
  <c r="L109" i="2" s="1"/>
  <c r="I91" i="2"/>
  <c r="I98" i="2"/>
  <c r="I103" i="2"/>
  <c r="H103" i="2" s="1"/>
  <c r="N113" i="2" s="1"/>
  <c r="I96" i="2"/>
  <c r="J96" i="2"/>
  <c r="J104" i="2"/>
  <c r="AM8" i="10"/>
  <c r="AN8" i="10" s="1"/>
  <c r="BT7" i="22" s="1"/>
  <c r="BX7" i="22" s="1"/>
  <c r="AM34" i="22"/>
  <c r="AQ34" i="22" s="1"/>
  <c r="AM33" i="23"/>
  <c r="AQ33" i="23" s="1"/>
  <c r="R24" i="10"/>
  <c r="BT38" i="22"/>
  <c r="BX38" i="22" s="1"/>
  <c r="K36" i="5"/>
  <c r="L36" i="5" s="1"/>
  <c r="AM31" i="10"/>
  <c r="AN31" i="10" s="1"/>
  <c r="AM23" i="10"/>
  <c r="AN23" i="10" s="1"/>
  <c r="R26" i="10"/>
  <c r="I29" i="16" s="1"/>
  <c r="J29" i="16" s="1"/>
  <c r="R37" i="10"/>
  <c r="AM36" i="22" s="1"/>
  <c r="AQ36" i="22" s="1"/>
  <c r="AM36" i="10"/>
  <c r="BH36" i="10" s="1"/>
  <c r="BI36" i="10" s="1"/>
  <c r="AM34" i="10"/>
  <c r="AN34" i="10" s="1"/>
  <c r="T35" i="21" s="1"/>
  <c r="U35" i="21" s="1"/>
  <c r="I10" i="16"/>
  <c r="J10" i="16" s="1"/>
  <c r="DA15" i="23"/>
  <c r="DE15" i="23" s="1"/>
  <c r="DA15" i="22"/>
  <c r="DE15" i="22" s="1"/>
  <c r="BH32" i="10"/>
  <c r="BI32" i="10" s="1"/>
  <c r="AE33" i="5" s="1"/>
  <c r="AF33" i="5" s="1"/>
  <c r="AN9" i="10"/>
  <c r="U10" i="5" s="1"/>
  <c r="V10" i="5" s="1"/>
  <c r="BH37" i="10"/>
  <c r="BI37" i="10" s="1"/>
  <c r="AE38" i="5" s="1"/>
  <c r="AF38" i="5" s="1"/>
  <c r="AN37" i="10"/>
  <c r="T38" i="21" s="1"/>
  <c r="U38" i="21" s="1"/>
  <c r="AM29" i="10"/>
  <c r="R29" i="10"/>
  <c r="K30" i="5" s="1"/>
  <c r="L30" i="5" s="1"/>
  <c r="I10" i="17"/>
  <c r="J10" i="17" s="1"/>
  <c r="AM7" i="22"/>
  <c r="R40" i="10"/>
  <c r="AM39" i="22" s="1"/>
  <c r="AQ39" i="22" s="1"/>
  <c r="AM40" i="10"/>
  <c r="AM31" i="23"/>
  <c r="AQ31" i="23" s="1"/>
  <c r="K33" i="5"/>
  <c r="L33" i="5" s="1"/>
  <c r="T31" i="21"/>
  <c r="U31" i="21" s="1"/>
  <c r="S33" i="16"/>
  <c r="T33" i="16" s="1"/>
  <c r="BT29" i="23"/>
  <c r="S40" i="17"/>
  <c r="T40" i="17" s="1"/>
  <c r="AM14" i="10"/>
  <c r="R14" i="10"/>
  <c r="AM13" i="22" s="1"/>
  <c r="BH38" i="10"/>
  <c r="BI38" i="10" s="1"/>
  <c r="AC40" i="17" s="1"/>
  <c r="AD40" i="17" s="1"/>
  <c r="R30" i="10"/>
  <c r="J31" i="21" s="1"/>
  <c r="K31" i="21" s="1"/>
  <c r="AM6" i="23"/>
  <c r="AQ6" i="23" s="1"/>
  <c r="BT29" i="22"/>
  <c r="BX29" i="22" s="1"/>
  <c r="R16" i="10"/>
  <c r="J17" i="21" s="1"/>
  <c r="K17" i="21" s="1"/>
  <c r="BH30" i="10"/>
  <c r="BI30" i="10" s="1"/>
  <c r="AC32" i="17" s="1"/>
  <c r="AD32" i="17" s="1"/>
  <c r="BH24" i="10"/>
  <c r="BI24" i="10" s="1"/>
  <c r="AE25" i="5" s="1"/>
  <c r="AF25" i="5" s="1"/>
  <c r="AN24" i="10"/>
  <c r="T25" i="21" s="1"/>
  <c r="U25" i="21" s="1"/>
  <c r="R28" i="10"/>
  <c r="J29" i="21" s="1"/>
  <c r="K29" i="21" s="1"/>
  <c r="AM28" i="10"/>
  <c r="J13" i="21"/>
  <c r="K13" i="21" s="1"/>
  <c r="I15" i="16"/>
  <c r="J15" i="16" s="1"/>
  <c r="K13" i="5"/>
  <c r="L13" i="5" s="1"/>
  <c r="I14" i="17"/>
  <c r="J14" i="17" s="1"/>
  <c r="AM11" i="23"/>
  <c r="AM11" i="22"/>
  <c r="AQ11" i="22" s="1"/>
  <c r="AQ7" i="23"/>
  <c r="AK7" i="23"/>
  <c r="AO7" i="23" s="1"/>
  <c r="AD27" i="21"/>
  <c r="AE27" i="21" s="1"/>
  <c r="AC28" i="17"/>
  <c r="AD28" i="17" s="1"/>
  <c r="AE27" i="5"/>
  <c r="AF27" i="5" s="1"/>
  <c r="AC29" i="16"/>
  <c r="AD29" i="16" s="1"/>
  <c r="DA25" i="23"/>
  <c r="DE25" i="23" s="1"/>
  <c r="AM11" i="10"/>
  <c r="R11" i="10"/>
  <c r="J14" i="21"/>
  <c r="K14" i="21" s="1"/>
  <c r="I15" i="17"/>
  <c r="J15" i="17" s="1"/>
  <c r="AM12" i="22"/>
  <c r="AQ12" i="22" s="1"/>
  <c r="I16" i="16"/>
  <c r="J16" i="16" s="1"/>
  <c r="K14" i="5"/>
  <c r="L14" i="5" s="1"/>
  <c r="R10" i="10"/>
  <c r="AM10" i="10"/>
  <c r="AM13" i="10"/>
  <c r="AM12" i="10"/>
  <c r="J9" i="21"/>
  <c r="K9" i="21" s="1"/>
  <c r="I11" i="16"/>
  <c r="J11" i="16" s="1"/>
  <c r="K9" i="5"/>
  <c r="L9" i="5" s="1"/>
  <c r="AM12" i="23"/>
  <c r="AQ12" i="23" s="1"/>
  <c r="J32" i="21"/>
  <c r="K32" i="21" s="1"/>
  <c r="AM30" i="22"/>
  <c r="AQ30" i="22" s="1"/>
  <c r="I34" i="16"/>
  <c r="J34" i="16" s="1"/>
  <c r="K32" i="5"/>
  <c r="L32" i="5" s="1"/>
  <c r="J40" i="21"/>
  <c r="K40" i="21" s="1"/>
  <c r="AM38" i="23"/>
  <c r="AQ38" i="23" s="1"/>
  <c r="I41" i="17"/>
  <c r="J41" i="17" s="1"/>
  <c r="R20" i="10"/>
  <c r="AM20" i="10"/>
  <c r="J37" i="21"/>
  <c r="K37" i="21" s="1"/>
  <c r="I39" i="16"/>
  <c r="J39" i="16" s="1"/>
  <c r="K37" i="5"/>
  <c r="L37" i="5" s="1"/>
  <c r="AM35" i="23"/>
  <c r="BH19" i="10"/>
  <c r="BI19" i="10" s="1"/>
  <c r="AN19" i="10"/>
  <c r="J8" i="21"/>
  <c r="K8" i="21" s="1"/>
  <c r="I9" i="17"/>
  <c r="J9" i="17" s="1"/>
  <c r="BR38" i="23"/>
  <c r="BV38" i="23" s="1"/>
  <c r="K40" i="5"/>
  <c r="L40" i="5" s="1"/>
  <c r="AM30" i="23"/>
  <c r="AQ30" i="23" s="1"/>
  <c r="R25" i="10"/>
  <c r="AM25" i="10"/>
  <c r="J24" i="21"/>
  <c r="K24" i="21" s="1"/>
  <c r="AM22" i="22"/>
  <c r="I25" i="17"/>
  <c r="J25" i="17" s="1"/>
  <c r="I26" i="16"/>
  <c r="J26" i="16" s="1"/>
  <c r="K24" i="5"/>
  <c r="L24" i="5" s="1"/>
  <c r="I42" i="16"/>
  <c r="J42" i="16" s="1"/>
  <c r="I38" i="17"/>
  <c r="J38" i="17" s="1"/>
  <c r="T40" i="21"/>
  <c r="U40" i="21" s="1"/>
  <c r="U40" i="5"/>
  <c r="V40" i="5" s="1"/>
  <c r="T39" i="21"/>
  <c r="U39" i="21" s="1"/>
  <c r="S41" i="16"/>
  <c r="T41" i="16" s="1"/>
  <c r="BT37" i="23"/>
  <c r="AN33" i="10"/>
  <c r="J35" i="21"/>
  <c r="K35" i="21" s="1"/>
  <c r="I36" i="17"/>
  <c r="J36" i="17" s="1"/>
  <c r="I37" i="16"/>
  <c r="J37" i="16" s="1"/>
  <c r="S41" i="17"/>
  <c r="T41" i="17" s="1"/>
  <c r="AD17" i="21"/>
  <c r="AE17" i="21" s="1"/>
  <c r="AC19" i="16"/>
  <c r="AD19" i="16" s="1"/>
  <c r="AE17" i="5"/>
  <c r="AF17" i="5" s="1"/>
  <c r="J33" i="21"/>
  <c r="K33" i="21" s="1"/>
  <c r="I35" i="16"/>
  <c r="J35" i="16" s="1"/>
  <c r="AM31" i="22"/>
  <c r="I38" i="16"/>
  <c r="J38" i="16" s="1"/>
  <c r="I34" i="17"/>
  <c r="J34" i="17" s="1"/>
  <c r="S32" i="17"/>
  <c r="T32" i="17" s="1"/>
  <c r="AC18" i="17"/>
  <c r="AD18" i="17" s="1"/>
  <c r="AK35" i="22"/>
  <c r="AO35" i="22" s="1"/>
  <c r="AR35" i="22" s="1"/>
  <c r="AK38" i="22"/>
  <c r="AO38" i="22" s="1"/>
  <c r="AR38" i="22" s="1"/>
  <c r="AT38" i="22" s="1"/>
  <c r="BR37" i="22"/>
  <c r="BV37" i="22" s="1"/>
  <c r="BY37" i="22" s="1"/>
  <c r="CA37" i="22" s="1"/>
  <c r="O105" i="6"/>
  <c r="K90" i="6"/>
  <c r="H92" i="6"/>
  <c r="N102" i="6" s="1"/>
  <c r="E160" i="6"/>
  <c r="K116" i="6"/>
  <c r="J92" i="6"/>
  <c r="E87" i="6"/>
  <c r="E23" i="6" s="1"/>
  <c r="O106" i="6"/>
  <c r="L96" i="6"/>
  <c r="G90" i="6"/>
  <c r="I102" i="6"/>
  <c r="L84" i="6"/>
  <c r="I86" i="6"/>
  <c r="O96" i="6" s="1"/>
  <c r="J97" i="6"/>
  <c r="L90" i="6"/>
  <c r="K91" i="6"/>
  <c r="E142" i="6"/>
  <c r="G114" i="6"/>
  <c r="I114" i="6" s="1"/>
  <c r="G97" i="6"/>
  <c r="H96" i="6"/>
  <c r="N106" i="6" s="1"/>
  <c r="E168" i="6"/>
  <c r="K114" i="6"/>
  <c r="L114" i="6" s="1"/>
  <c r="J96" i="6"/>
  <c r="I90" i="6"/>
  <c r="K89" i="6"/>
  <c r="G110" i="6"/>
  <c r="O112" i="6"/>
  <c r="I104" i="6"/>
  <c r="I100" i="6"/>
  <c r="O110" i="6" s="1"/>
  <c r="J95" i="6"/>
  <c r="J89" i="6"/>
  <c r="O99" i="6"/>
  <c r="I97" i="6"/>
  <c r="E149" i="6"/>
  <c r="I84" i="6"/>
  <c r="G91" i="6"/>
  <c r="G84" i="6"/>
  <c r="K97" i="6"/>
  <c r="L97" i="6" s="1"/>
  <c r="J90" i="6"/>
  <c r="E153" i="6"/>
  <c r="L95" i="6" s="1"/>
  <c r="E152" i="6"/>
  <c r="L94" i="6" s="1"/>
  <c r="E147" i="6"/>
  <c r="L89" i="6" s="1"/>
  <c r="E146" i="6"/>
  <c r="L88" i="6" s="1"/>
  <c r="E144" i="6"/>
  <c r="L86" i="6" s="1"/>
  <c r="G88" i="6"/>
  <c r="G86" i="6"/>
  <c r="G94" i="6"/>
  <c r="G89" i="6"/>
  <c r="H89" i="6" s="1"/>
  <c r="N99" i="6" s="1"/>
  <c r="G95" i="6"/>
  <c r="H95" i="6" s="1"/>
  <c r="N105" i="6" s="1"/>
  <c r="E174" i="6"/>
  <c r="L116" i="6" s="1"/>
  <c r="E165" i="6"/>
  <c r="J103" i="6"/>
  <c r="J109" i="6"/>
  <c r="J110" i="6"/>
  <c r="J91" i="6"/>
  <c r="K102" i="6"/>
  <c r="K107" i="6"/>
  <c r="J116" i="6"/>
  <c r="J108" i="6"/>
  <c r="E162" i="6"/>
  <c r="I94" i="6"/>
  <c r="I91" i="6"/>
  <c r="I88" i="6"/>
  <c r="G109" i="6"/>
  <c r="L110" i="6"/>
  <c r="J114" i="6"/>
  <c r="K109" i="6"/>
  <c r="L109" i="6" s="1"/>
  <c r="I87" i="11"/>
  <c r="F116" i="11"/>
  <c r="G116" i="11" s="1"/>
  <c r="D86" i="11"/>
  <c r="D22" i="11" s="1"/>
  <c r="F87" i="11"/>
  <c r="I105" i="11"/>
  <c r="J116" i="11"/>
  <c r="L116" i="11" s="1"/>
  <c r="K116" i="11" s="1"/>
  <c r="AZ40" i="10" s="1"/>
  <c r="BA40" i="10" s="1"/>
  <c r="J87" i="11"/>
  <c r="L87" i="11" s="1"/>
  <c r="K87" i="11" s="1"/>
  <c r="AZ11" i="10" s="1"/>
  <c r="BA11" i="10" s="1"/>
  <c r="CD10" i="22" s="1"/>
  <c r="CH10" i="22" s="1"/>
  <c r="F93" i="11"/>
  <c r="H105" i="11"/>
  <c r="H107" i="11"/>
  <c r="D107" i="11" s="1"/>
  <c r="D43" i="11" s="1"/>
  <c r="G113" i="11"/>
  <c r="J108" i="11"/>
  <c r="J107" i="11"/>
  <c r="J106" i="11"/>
  <c r="L106" i="11" s="1"/>
  <c r="K106" i="11" s="1"/>
  <c r="I30" i="10" s="1"/>
  <c r="J30" i="10" s="1"/>
  <c r="P29" i="23" s="1"/>
  <c r="T29" i="23" s="1"/>
  <c r="F106" i="11"/>
  <c r="D106" i="11" s="1"/>
  <c r="D42" i="11" s="1"/>
  <c r="F107" i="11"/>
  <c r="P111" i="11"/>
  <c r="E163" i="6"/>
  <c r="I105" i="6"/>
  <c r="J105" i="6"/>
  <c r="K99" i="6"/>
  <c r="L99" i="6" s="1"/>
  <c r="J99" i="6"/>
  <c r="I99" i="6"/>
  <c r="E157" i="6"/>
  <c r="G99" i="6"/>
  <c r="K93" i="6"/>
  <c r="I93" i="6"/>
  <c r="O97" i="6"/>
  <c r="H87" i="6"/>
  <c r="N97" i="6" s="1"/>
  <c r="E102" i="6"/>
  <c r="E38" i="6" s="1"/>
  <c r="G111" i="6"/>
  <c r="J111" i="6"/>
  <c r="K111" i="6"/>
  <c r="L111" i="6" s="1"/>
  <c r="K113" i="6"/>
  <c r="E171" i="6"/>
  <c r="J85" i="6"/>
  <c r="G85" i="6"/>
  <c r="J86" i="6"/>
  <c r="E143" i="6"/>
  <c r="K103" i="6"/>
  <c r="E161" i="6"/>
  <c r="G103" i="6"/>
  <c r="K101" i="6"/>
  <c r="J102" i="6"/>
  <c r="J101" i="6"/>
  <c r="J106" i="6"/>
  <c r="I106" i="6"/>
  <c r="E164" i="6"/>
  <c r="K106" i="6"/>
  <c r="E151" i="6"/>
  <c r="O94" i="6"/>
  <c r="H107" i="6"/>
  <c r="H116" i="6"/>
  <c r="G105" i="6"/>
  <c r="E159" i="6"/>
  <c r="L104" i="6"/>
  <c r="J94" i="6"/>
  <c r="J107" i="6"/>
  <c r="J93" i="6"/>
  <c r="K108" i="6"/>
  <c r="L108" i="6" s="1"/>
  <c r="E166" i="6"/>
  <c r="K105" i="6"/>
  <c r="H112" i="6"/>
  <c r="E173" i="6"/>
  <c r="G115" i="6"/>
  <c r="K100" i="6"/>
  <c r="L100" i="6" s="1"/>
  <c r="J100" i="6"/>
  <c r="G100" i="6"/>
  <c r="H100" i="6" s="1"/>
  <c r="N110" i="6" s="1"/>
  <c r="K83" i="6"/>
  <c r="J84" i="6"/>
  <c r="E92" i="6"/>
  <c r="E28" i="6" s="1"/>
  <c r="O102" i="6"/>
  <c r="I113" i="6"/>
  <c r="H113" i="6" s="1"/>
  <c r="L105" i="6"/>
  <c r="J115" i="6"/>
  <c r="J112" i="6"/>
  <c r="E170" i="6"/>
  <c r="L112" i="6" s="1"/>
  <c r="E156" i="6"/>
  <c r="J98" i="6"/>
  <c r="I98" i="6"/>
  <c r="J87" i="6"/>
  <c r="J88" i="6"/>
  <c r="K87" i="6"/>
  <c r="L87" i="6" s="1"/>
  <c r="I85" i="6"/>
  <c r="K85" i="6"/>
  <c r="E141" i="6"/>
  <c r="I83" i="6"/>
  <c r="H83" i="6" s="1"/>
  <c r="N93" i="6" s="1"/>
  <c r="E116" i="6"/>
  <c r="E52" i="6" s="1"/>
  <c r="I112" i="6"/>
  <c r="G93" i="6"/>
  <c r="G108" i="6"/>
  <c r="G98" i="6"/>
  <c r="H98" i="6" s="1"/>
  <c r="N108" i="6" s="1"/>
  <c r="J83" i="6"/>
  <c r="I101" i="6"/>
  <c r="J104" i="6"/>
  <c r="J113" i="6"/>
  <c r="K115" i="6"/>
  <c r="K98" i="6"/>
  <c r="L98" i="6" s="1"/>
  <c r="AA21" i="21"/>
  <c r="AB21" i="21" s="1"/>
  <c r="Z22" i="17"/>
  <c r="AA22" i="17" s="1"/>
  <c r="Z23" i="16"/>
  <c r="AA23" i="16" s="1"/>
  <c r="CP19" i="22"/>
  <c r="CT19" i="22" s="1"/>
  <c r="CP19" i="23"/>
  <c r="CT19" i="23" s="1"/>
  <c r="AB21" i="5"/>
  <c r="AC21" i="5" s="1"/>
  <c r="Q7" i="21"/>
  <c r="R7" i="21" s="1"/>
  <c r="P8" i="17"/>
  <c r="Q8" i="17" s="1"/>
  <c r="R7" i="5"/>
  <c r="S7" i="5" s="1"/>
  <c r="X34" i="21"/>
  <c r="Y34" i="21" s="1"/>
  <c r="W35" i="17"/>
  <c r="X35" i="17" s="1"/>
  <c r="W36" i="16"/>
  <c r="X36" i="16" s="1"/>
  <c r="CE32" i="22"/>
  <c r="CI32" i="22" s="1"/>
  <c r="Y34" i="5"/>
  <c r="Z34" i="5" s="1"/>
  <c r="CE32" i="23"/>
  <c r="CI32" i="23" s="1"/>
  <c r="C38" i="16"/>
  <c r="D38" i="16" s="1"/>
  <c r="D36" i="21"/>
  <c r="E36" i="21" s="1"/>
  <c r="Q34" i="22"/>
  <c r="U34" i="22" s="1"/>
  <c r="X29" i="21"/>
  <c r="Y29" i="21" s="1"/>
  <c r="W30" i="17"/>
  <c r="X30" i="17" s="1"/>
  <c r="W31" i="16"/>
  <c r="X31" i="16" s="1"/>
  <c r="CE27" i="23"/>
  <c r="CI27" i="23" s="1"/>
  <c r="Y29" i="5"/>
  <c r="Z29" i="5" s="1"/>
  <c r="CE27" i="22"/>
  <c r="CI27" i="22" s="1"/>
  <c r="N28" i="21"/>
  <c r="O28" i="21" s="1"/>
  <c r="M29" i="17"/>
  <c r="N29" i="17" s="1"/>
  <c r="AX26" i="23"/>
  <c r="BB26" i="23" s="1"/>
  <c r="M30" i="16"/>
  <c r="N30" i="16" s="1"/>
  <c r="O28" i="5"/>
  <c r="P28" i="5" s="1"/>
  <c r="AX26" i="22"/>
  <c r="BB26" i="22" s="1"/>
  <c r="AX8" i="10"/>
  <c r="AY8" i="10" s="1"/>
  <c r="AD8" i="10"/>
  <c r="C9" i="17"/>
  <c r="D9" i="17" s="1"/>
  <c r="D8" i="21"/>
  <c r="E8" i="21" s="1"/>
  <c r="E8" i="5"/>
  <c r="F8" i="5" s="1"/>
  <c r="C10" i="16"/>
  <c r="D10" i="16" s="1"/>
  <c r="Q6" i="23"/>
  <c r="U6" i="23" s="1"/>
  <c r="Q6" i="22"/>
  <c r="U6" i="22" s="1"/>
  <c r="Q9" i="21"/>
  <c r="R9" i="21" s="1"/>
  <c r="P11" i="16"/>
  <c r="Q11" i="16" s="1"/>
  <c r="BI7" i="22"/>
  <c r="BM7" i="22" s="1"/>
  <c r="R9" i="5"/>
  <c r="S9" i="5" s="1"/>
  <c r="P10" i="17"/>
  <c r="Q10" i="17" s="1"/>
  <c r="BI7" i="23"/>
  <c r="BM7" i="23" s="1"/>
  <c r="AA26" i="21"/>
  <c r="AB26" i="21" s="1"/>
  <c r="Z28" i="16"/>
  <c r="AA28" i="16" s="1"/>
  <c r="CP24" i="22"/>
  <c r="CT24" i="22" s="1"/>
  <c r="Z27" i="17"/>
  <c r="AA27" i="17" s="1"/>
  <c r="AB26" i="5"/>
  <c r="AC26" i="5" s="1"/>
  <c r="CP24" i="23"/>
  <c r="CT24" i="23" s="1"/>
  <c r="D38" i="21"/>
  <c r="E38" i="21" s="1"/>
  <c r="C40" i="16"/>
  <c r="D40" i="16" s="1"/>
  <c r="Q36" i="22"/>
  <c r="U36" i="22" s="1"/>
  <c r="N34" i="21"/>
  <c r="O34" i="21" s="1"/>
  <c r="M35" i="17"/>
  <c r="N35" i="17" s="1"/>
  <c r="O34" i="5"/>
  <c r="P34" i="5" s="1"/>
  <c r="D34" i="21"/>
  <c r="E34" i="21" s="1"/>
  <c r="Q32" i="23"/>
  <c r="U32" i="23" s="1"/>
  <c r="D31" i="21"/>
  <c r="E31" i="21" s="1"/>
  <c r="C32" i="17"/>
  <c r="D32" i="17" s="1"/>
  <c r="E31" i="5"/>
  <c r="F31" i="5" s="1"/>
  <c r="O27" i="5"/>
  <c r="P27" i="5" s="1"/>
  <c r="N26" i="21"/>
  <c r="O26" i="21" s="1"/>
  <c r="M28" i="16"/>
  <c r="N28" i="16" s="1"/>
  <c r="M27" i="17"/>
  <c r="N27" i="17" s="1"/>
  <c r="O26" i="5"/>
  <c r="P26" i="5" s="1"/>
  <c r="X25" i="21"/>
  <c r="Y25" i="21" s="1"/>
  <c r="W26" i="17"/>
  <c r="X26" i="17" s="1"/>
  <c r="W27" i="16"/>
  <c r="X27" i="16" s="1"/>
  <c r="CE23" i="23"/>
  <c r="CI23" i="23" s="1"/>
  <c r="G19" i="21"/>
  <c r="H19" i="21" s="1"/>
  <c r="F20" i="17"/>
  <c r="G20" i="17" s="1"/>
  <c r="AB17" i="23"/>
  <c r="AB17" i="22"/>
  <c r="AF17" i="22" s="1"/>
  <c r="Q16" i="21"/>
  <c r="R16" i="21" s="1"/>
  <c r="P17" i="17"/>
  <c r="Q17" i="17" s="1"/>
  <c r="P18" i="16"/>
  <c r="Q18" i="16" s="1"/>
  <c r="BI14" i="23"/>
  <c r="BM14" i="23" s="1"/>
  <c r="AD16" i="10"/>
  <c r="AX16" i="10"/>
  <c r="AY16" i="10" s="1"/>
  <c r="CE12" i="22"/>
  <c r="CI12" i="22" s="1"/>
  <c r="N13" i="21"/>
  <c r="O13" i="21" s="1"/>
  <c r="M14" i="17"/>
  <c r="N14" i="17" s="1"/>
  <c r="M15" i="16"/>
  <c r="N15" i="16" s="1"/>
  <c r="AX11" i="22"/>
  <c r="BB11" i="22" s="1"/>
  <c r="AX11" i="23"/>
  <c r="BB11" i="23" s="1"/>
  <c r="Q10" i="22"/>
  <c r="U10" i="22" s="1"/>
  <c r="N12" i="21"/>
  <c r="O12" i="21" s="1"/>
  <c r="M13" i="17"/>
  <c r="N13" i="17" s="1"/>
  <c r="M14" i="16"/>
  <c r="N14" i="16" s="1"/>
  <c r="AX10" i="23"/>
  <c r="G9" i="21"/>
  <c r="H9" i="21" s="1"/>
  <c r="F11" i="16"/>
  <c r="G11" i="16" s="1"/>
  <c r="H9" i="5"/>
  <c r="I9" i="5" s="1"/>
  <c r="R23" i="5"/>
  <c r="S23" i="5" s="1"/>
  <c r="R30" i="5"/>
  <c r="S30" i="5" s="1"/>
  <c r="Q27" i="21"/>
  <c r="R27" i="21" s="1"/>
  <c r="P28" i="17"/>
  <c r="Q28" i="17" s="1"/>
  <c r="P29" i="16"/>
  <c r="Q29" i="16" s="1"/>
  <c r="BI25" i="23"/>
  <c r="BM25" i="23" s="1"/>
  <c r="BI25" i="22"/>
  <c r="BM25" i="22" s="1"/>
  <c r="Q26" i="21"/>
  <c r="R26" i="21" s="1"/>
  <c r="P28" i="16"/>
  <c r="Q28" i="16" s="1"/>
  <c r="P27" i="17"/>
  <c r="Q27" i="17" s="1"/>
  <c r="R26" i="5"/>
  <c r="S26" i="5" s="1"/>
  <c r="Q28" i="21"/>
  <c r="R28" i="21" s="1"/>
  <c r="P29" i="17"/>
  <c r="Q29" i="17" s="1"/>
  <c r="P30" i="16"/>
  <c r="Q30" i="16" s="1"/>
  <c r="R28" i="5"/>
  <c r="S28" i="5" s="1"/>
  <c r="F29" i="17"/>
  <c r="G29" i="17" s="1"/>
  <c r="D35" i="21"/>
  <c r="E35" i="21" s="1"/>
  <c r="C37" i="16"/>
  <c r="D37" i="16" s="1"/>
  <c r="E35" i="5"/>
  <c r="F35" i="5" s="1"/>
  <c r="D30" i="21"/>
  <c r="E30" i="21" s="1"/>
  <c r="C31" i="17"/>
  <c r="D31" i="17" s="1"/>
  <c r="C32" i="16"/>
  <c r="D32" i="16" s="1"/>
  <c r="E30" i="5"/>
  <c r="F30" i="5" s="1"/>
  <c r="AX24" i="23"/>
  <c r="BB24" i="23" s="1"/>
  <c r="X26" i="21"/>
  <c r="Y26" i="21" s="1"/>
  <c r="W27" i="17"/>
  <c r="X27" i="17" s="1"/>
  <c r="W28" i="16"/>
  <c r="X28" i="16" s="1"/>
  <c r="Y26" i="5"/>
  <c r="Z26" i="5" s="1"/>
  <c r="X27" i="21"/>
  <c r="Y27" i="21" s="1"/>
  <c r="W29" i="16"/>
  <c r="X29" i="16" s="1"/>
  <c r="W28" i="17"/>
  <c r="X28" i="17" s="1"/>
  <c r="CE25" i="22"/>
  <c r="CI25" i="22" s="1"/>
  <c r="G21" i="21"/>
  <c r="H21" i="21" s="1"/>
  <c r="F23" i="16"/>
  <c r="G23" i="16" s="1"/>
  <c r="F22" i="17"/>
  <c r="G22" i="17" s="1"/>
  <c r="H21" i="5"/>
  <c r="I21" i="5" s="1"/>
  <c r="H19" i="5"/>
  <c r="I19" i="5" s="1"/>
  <c r="AH18" i="10"/>
  <c r="Q18" i="21"/>
  <c r="R18" i="21" s="1"/>
  <c r="P20" i="16"/>
  <c r="Q20" i="16" s="1"/>
  <c r="P19" i="17"/>
  <c r="Q19" i="17" s="1"/>
  <c r="BI16" i="23"/>
  <c r="R18" i="5"/>
  <c r="S18" i="5" s="1"/>
  <c r="AC22" i="10"/>
  <c r="H22" i="10"/>
  <c r="N20" i="21"/>
  <c r="O20" i="21" s="1"/>
  <c r="M21" i="17"/>
  <c r="N21" i="17" s="1"/>
  <c r="AX18" i="23"/>
  <c r="BB18" i="23" s="1"/>
  <c r="O20" i="5"/>
  <c r="P20" i="5" s="1"/>
  <c r="AC21" i="10"/>
  <c r="H21" i="10"/>
  <c r="G18" i="21"/>
  <c r="H18" i="21" s="1"/>
  <c r="F19" i="17"/>
  <c r="G19" i="17" s="1"/>
  <c r="AB16" i="23"/>
  <c r="AF16" i="23" s="1"/>
  <c r="X20" i="21"/>
  <c r="Y20" i="21" s="1"/>
  <c r="W22" i="16"/>
  <c r="X22" i="16" s="1"/>
  <c r="W21" i="17"/>
  <c r="X21" i="17" s="1"/>
  <c r="CE18" i="23"/>
  <c r="CI18" i="23" s="1"/>
  <c r="Y20" i="5"/>
  <c r="Z20" i="5" s="1"/>
  <c r="BI14" i="22"/>
  <c r="N18" i="21"/>
  <c r="O18" i="21" s="1"/>
  <c r="M20" i="16"/>
  <c r="N20" i="16" s="1"/>
  <c r="M19" i="17"/>
  <c r="N19" i="17" s="1"/>
  <c r="AX16" i="22"/>
  <c r="E18" i="5"/>
  <c r="F18" i="5" s="1"/>
  <c r="G15" i="21"/>
  <c r="H15" i="21" s="1"/>
  <c r="F16" i="17"/>
  <c r="G16" i="17" s="1"/>
  <c r="F17" i="16"/>
  <c r="G17" i="16" s="1"/>
  <c r="AB13" i="23"/>
  <c r="AF13" i="23" s="1"/>
  <c r="AB13" i="22"/>
  <c r="AF13" i="22" s="1"/>
  <c r="C19" i="16"/>
  <c r="D19" i="16" s="1"/>
  <c r="Q15" i="22"/>
  <c r="U15" i="22" s="1"/>
  <c r="D15" i="21"/>
  <c r="E15" i="21" s="1"/>
  <c r="Q13" i="23"/>
  <c r="U13" i="23" s="1"/>
  <c r="E15" i="5"/>
  <c r="F15" i="5" s="1"/>
  <c r="O13" i="5"/>
  <c r="P13" i="5" s="1"/>
  <c r="AI12" i="10"/>
  <c r="BC12" i="10"/>
  <c r="BD12" i="10" s="1"/>
  <c r="G13" i="21"/>
  <c r="H13" i="21" s="1"/>
  <c r="F15" i="16"/>
  <c r="G15" i="16" s="1"/>
  <c r="F14" i="17"/>
  <c r="G14" i="17" s="1"/>
  <c r="AB11" i="22"/>
  <c r="AF11" i="22" s="1"/>
  <c r="AB11" i="23"/>
  <c r="AF11" i="23" s="1"/>
  <c r="AH11" i="10"/>
  <c r="AX11" i="10"/>
  <c r="AY11" i="10" s="1"/>
  <c r="W13" i="16"/>
  <c r="X13" i="16" s="1"/>
  <c r="W12" i="17"/>
  <c r="X12" i="17" s="1"/>
  <c r="AB7" i="22"/>
  <c r="BC8" i="10"/>
  <c r="BD8" i="10" s="1"/>
  <c r="AD9" i="10"/>
  <c r="AX9" i="10"/>
  <c r="AY9" i="10" s="1"/>
  <c r="H8" i="10"/>
  <c r="BM28" i="23"/>
  <c r="BN28" i="23" s="1"/>
  <c r="BO28" i="23" s="1"/>
  <c r="BI21" i="23"/>
  <c r="BI24" i="22"/>
  <c r="BM24" i="22" s="1"/>
  <c r="BI26" i="22"/>
  <c r="BM26" i="22" s="1"/>
  <c r="R27" i="5"/>
  <c r="S27" i="5" s="1"/>
  <c r="BC27" i="10"/>
  <c r="BD27" i="10" s="1"/>
  <c r="G31" i="21"/>
  <c r="H31" i="21" s="1"/>
  <c r="F32" i="17"/>
  <c r="G32" i="17" s="1"/>
  <c r="F33" i="16"/>
  <c r="G33" i="16" s="1"/>
  <c r="AB29" i="23"/>
  <c r="AF29" i="23" s="1"/>
  <c r="AH32" i="10"/>
  <c r="AA27" i="21"/>
  <c r="AB27" i="21" s="1"/>
  <c r="Z29" i="16"/>
  <c r="AA29" i="16" s="1"/>
  <c r="CP25" i="23"/>
  <c r="CT25" i="23" s="1"/>
  <c r="CP25" i="22"/>
  <c r="CT25" i="22" s="1"/>
  <c r="Z28" i="17"/>
  <c r="AA28" i="17" s="1"/>
  <c r="Z36" i="16"/>
  <c r="AA36" i="16" s="1"/>
  <c r="AB34" i="5"/>
  <c r="AC34" i="5" s="1"/>
  <c r="CP32" i="22"/>
  <c r="C33" i="16"/>
  <c r="D33" i="16" s="1"/>
  <c r="M22" i="16"/>
  <c r="N22" i="16" s="1"/>
  <c r="D17" i="21"/>
  <c r="E17" i="21" s="1"/>
  <c r="N39" i="21"/>
  <c r="O39" i="21" s="1"/>
  <c r="M41" i="16"/>
  <c r="N41" i="16" s="1"/>
  <c r="O39" i="5"/>
  <c r="P39" i="5" s="1"/>
  <c r="X38" i="21"/>
  <c r="Y38" i="21" s="1"/>
  <c r="W39" i="17"/>
  <c r="X39" i="17" s="1"/>
  <c r="CE36" i="23"/>
  <c r="CI36" i="23" s="1"/>
  <c r="CE36" i="22"/>
  <c r="CI36" i="22" s="1"/>
  <c r="X36" i="21"/>
  <c r="Y36" i="21" s="1"/>
  <c r="X28" i="21"/>
  <c r="Y28" i="21" s="1"/>
  <c r="W29" i="17"/>
  <c r="X29" i="17" s="1"/>
  <c r="CE26" i="23"/>
  <c r="CI26" i="23" s="1"/>
  <c r="N25" i="21"/>
  <c r="O25" i="21" s="1"/>
  <c r="M26" i="17"/>
  <c r="N26" i="17" s="1"/>
  <c r="M27" i="16"/>
  <c r="N27" i="16" s="1"/>
  <c r="AX23" i="23"/>
  <c r="BB23" i="23" s="1"/>
  <c r="N24" i="21"/>
  <c r="O24" i="21" s="1"/>
  <c r="M25" i="17"/>
  <c r="N25" i="17" s="1"/>
  <c r="M26" i="16"/>
  <c r="N26" i="16" s="1"/>
  <c r="AX22" i="22"/>
  <c r="BB22" i="22" s="1"/>
  <c r="C23" i="16"/>
  <c r="D23" i="16" s="1"/>
  <c r="C22" i="17"/>
  <c r="D22" i="17" s="1"/>
  <c r="D21" i="21"/>
  <c r="E21" i="21" s="1"/>
  <c r="Q19" i="23"/>
  <c r="U19" i="23" s="1"/>
  <c r="X19" i="21"/>
  <c r="Y19" i="21" s="1"/>
  <c r="W21" i="16"/>
  <c r="X21" i="16" s="1"/>
  <c r="W20" i="17"/>
  <c r="X20" i="17" s="1"/>
  <c r="CE17" i="23"/>
  <c r="CI17" i="23" s="1"/>
  <c r="Y19" i="5"/>
  <c r="Z19" i="5" s="1"/>
  <c r="AA16" i="21"/>
  <c r="AB16" i="21" s="1"/>
  <c r="Z17" i="17"/>
  <c r="AA17" i="17" s="1"/>
  <c r="Z18" i="16"/>
  <c r="AA18" i="16" s="1"/>
  <c r="CP14" i="22"/>
  <c r="CT14" i="22" s="1"/>
  <c r="CP14" i="23"/>
  <c r="CN14" i="23" s="1"/>
  <c r="CR14" i="23" s="1"/>
  <c r="AA15" i="21"/>
  <c r="AB15" i="21" s="1"/>
  <c r="Z17" i="16"/>
  <c r="AA17" i="16" s="1"/>
  <c r="Z16" i="17"/>
  <c r="AA16" i="17" s="1"/>
  <c r="CP13" i="22"/>
  <c r="CT13" i="22" s="1"/>
  <c r="AB15" i="5"/>
  <c r="AC15" i="5" s="1"/>
  <c r="Z15" i="17"/>
  <c r="AA15" i="17" s="1"/>
  <c r="CP12" i="23"/>
  <c r="CT12" i="23" s="1"/>
  <c r="F15" i="17"/>
  <c r="G15" i="17" s="1"/>
  <c r="F16" i="16"/>
  <c r="G16" i="16" s="1"/>
  <c r="X14" i="21"/>
  <c r="Y14" i="21" s="1"/>
  <c r="W15" i="17"/>
  <c r="X15" i="17" s="1"/>
  <c r="Y14" i="5"/>
  <c r="Z14" i="5" s="1"/>
  <c r="W16" i="16"/>
  <c r="X16" i="16" s="1"/>
  <c r="X13" i="21"/>
  <c r="Y13" i="21" s="1"/>
  <c r="W14" i="17"/>
  <c r="X14" i="17" s="1"/>
  <c r="W15" i="16"/>
  <c r="X15" i="16" s="1"/>
  <c r="CE11" i="23"/>
  <c r="Y13" i="5"/>
  <c r="Z13" i="5" s="1"/>
  <c r="G12" i="21"/>
  <c r="H12" i="21" s="1"/>
  <c r="F14" i="16"/>
  <c r="G14" i="16" s="1"/>
  <c r="AB10" i="22"/>
  <c r="AF10" i="22" s="1"/>
  <c r="H12" i="5"/>
  <c r="I12" i="5" s="1"/>
  <c r="M10" i="10"/>
  <c r="AH10" i="10"/>
  <c r="C13" i="17"/>
  <c r="D13" i="17" s="1"/>
  <c r="C14" i="16"/>
  <c r="D14" i="16" s="1"/>
  <c r="E12" i="5"/>
  <c r="F12" i="5" s="1"/>
  <c r="D12" i="21"/>
  <c r="E12" i="21" s="1"/>
  <c r="N8" i="21"/>
  <c r="O8" i="21" s="1"/>
  <c r="M9" i="17"/>
  <c r="N9" i="17" s="1"/>
  <c r="M10" i="16"/>
  <c r="N10" i="16" s="1"/>
  <c r="AX6" i="22"/>
  <c r="BB6" i="22" s="1"/>
  <c r="O8" i="5"/>
  <c r="P8" i="5" s="1"/>
  <c r="AY6" i="10"/>
  <c r="F8" i="17"/>
  <c r="G8" i="17" s="1"/>
  <c r="G7" i="21"/>
  <c r="H7" i="21" s="1"/>
  <c r="F9" i="16"/>
  <c r="G9" i="16" s="1"/>
  <c r="Q38" i="21"/>
  <c r="R38" i="21" s="1"/>
  <c r="P40" i="16"/>
  <c r="Q40" i="16" s="1"/>
  <c r="BI36" i="22"/>
  <c r="BG36" i="22" s="1"/>
  <c r="BK36" i="22" s="1"/>
  <c r="P39" i="17"/>
  <c r="Q39" i="17" s="1"/>
  <c r="R38" i="5"/>
  <c r="S38" i="5" s="1"/>
  <c r="Q23" i="21"/>
  <c r="R23" i="21" s="1"/>
  <c r="P24" i="17"/>
  <c r="Q24" i="17" s="1"/>
  <c r="BI21" i="22"/>
  <c r="BM21" i="22" s="1"/>
  <c r="Q30" i="21"/>
  <c r="R30" i="21" s="1"/>
  <c r="P32" i="16"/>
  <c r="Q32" i="16" s="1"/>
  <c r="BI28" i="22"/>
  <c r="BG28" i="22" s="1"/>
  <c r="BK28" i="22" s="1"/>
  <c r="Q31" i="21"/>
  <c r="R31" i="21" s="1"/>
  <c r="P32" i="17"/>
  <c r="Q32" i="17" s="1"/>
  <c r="BI29" i="22"/>
  <c r="BM29" i="22" s="1"/>
  <c r="P33" i="16"/>
  <c r="Q33" i="16" s="1"/>
  <c r="BI29" i="23"/>
  <c r="BM29" i="23" s="1"/>
  <c r="G28" i="21"/>
  <c r="H28" i="21" s="1"/>
  <c r="F30" i="16"/>
  <c r="G30" i="16" s="1"/>
  <c r="AB26" i="23"/>
  <c r="H28" i="5"/>
  <c r="I28" i="5" s="1"/>
  <c r="G39" i="21"/>
  <c r="H39" i="21" s="1"/>
  <c r="F40" i="17"/>
  <c r="G40" i="17" s="1"/>
  <c r="F41" i="16"/>
  <c r="G41" i="16" s="1"/>
  <c r="AB37" i="23"/>
  <c r="AF37" i="23" s="1"/>
  <c r="AB37" i="22"/>
  <c r="AF37" i="22" s="1"/>
  <c r="Q41" i="21"/>
  <c r="R41" i="21" s="1"/>
  <c r="P43" i="16"/>
  <c r="Q43" i="16" s="1"/>
  <c r="BI39" i="22"/>
  <c r="BM39" i="22" s="1"/>
  <c r="BI39" i="23"/>
  <c r="BM39" i="23" s="1"/>
  <c r="AA24" i="21"/>
  <c r="AB24" i="21" s="1"/>
  <c r="Z25" i="17"/>
  <c r="AA25" i="17" s="1"/>
  <c r="Z26" i="16"/>
  <c r="AA26" i="16" s="1"/>
  <c r="CP22" i="23"/>
  <c r="CT22" i="23" s="1"/>
  <c r="AB24" i="5"/>
  <c r="AC24" i="5" s="1"/>
  <c r="CN24" i="23"/>
  <c r="CR24" i="23" s="1"/>
  <c r="CU24" i="23" s="1"/>
  <c r="P42" i="17"/>
  <c r="Q42" i="17" s="1"/>
  <c r="C43" i="16"/>
  <c r="D43" i="16" s="1"/>
  <c r="C42" i="17"/>
  <c r="D42" i="17" s="1"/>
  <c r="E41" i="5"/>
  <c r="F41" i="5" s="1"/>
  <c r="D41" i="21"/>
  <c r="E41" i="21" s="1"/>
  <c r="N33" i="21"/>
  <c r="O33" i="21" s="1"/>
  <c r="M34" i="17"/>
  <c r="N34" i="17" s="1"/>
  <c r="C28" i="17"/>
  <c r="D28" i="17" s="1"/>
  <c r="D27" i="21"/>
  <c r="E27" i="21" s="1"/>
  <c r="C29" i="16"/>
  <c r="D29" i="16" s="1"/>
  <c r="Q25" i="22"/>
  <c r="U25" i="22" s="1"/>
  <c r="E27" i="5"/>
  <c r="F27" i="5" s="1"/>
  <c r="D26" i="21"/>
  <c r="E26" i="21" s="1"/>
  <c r="C28" i="16"/>
  <c r="D28" i="16" s="1"/>
  <c r="Q24" i="22"/>
  <c r="U24" i="22" s="1"/>
  <c r="X24" i="21"/>
  <c r="Y24" i="21" s="1"/>
  <c r="W26" i="16"/>
  <c r="X26" i="16" s="1"/>
  <c r="CE22" i="22"/>
  <c r="CI22" i="22" s="1"/>
  <c r="Y24" i="5"/>
  <c r="Z24" i="5" s="1"/>
  <c r="W25" i="17"/>
  <c r="X25" i="17" s="1"/>
  <c r="C21" i="17"/>
  <c r="D21" i="17" s="1"/>
  <c r="C22" i="16"/>
  <c r="D22" i="16" s="1"/>
  <c r="D20" i="21"/>
  <c r="E20" i="21" s="1"/>
  <c r="E20" i="5"/>
  <c r="F20" i="5" s="1"/>
  <c r="AH16" i="10"/>
  <c r="M16" i="10"/>
  <c r="G16" i="21"/>
  <c r="H16" i="21" s="1"/>
  <c r="F18" i="16"/>
  <c r="G18" i="16" s="1"/>
  <c r="F17" i="17"/>
  <c r="G17" i="17" s="1"/>
  <c r="AB14" i="23"/>
  <c r="AB14" i="22"/>
  <c r="AF14" i="22" s="1"/>
  <c r="AB12" i="23"/>
  <c r="AF12" i="23" s="1"/>
  <c r="Q14" i="21"/>
  <c r="R14" i="21" s="1"/>
  <c r="P16" i="16"/>
  <c r="Q16" i="16" s="1"/>
  <c r="R14" i="5"/>
  <c r="S14" i="5" s="1"/>
  <c r="AD15" i="10"/>
  <c r="AX15" i="10"/>
  <c r="AY15" i="10" s="1"/>
  <c r="N7" i="21"/>
  <c r="O7" i="21" s="1"/>
  <c r="M9" i="16"/>
  <c r="N9" i="16" s="1"/>
  <c r="M8" i="17"/>
  <c r="N8" i="17" s="1"/>
  <c r="O7" i="5"/>
  <c r="P7" i="5" s="1"/>
  <c r="M7" i="10"/>
  <c r="AH7" i="10"/>
  <c r="AA30" i="21"/>
  <c r="AB30" i="21" s="1"/>
  <c r="Z32" i="16"/>
  <c r="AA32" i="16" s="1"/>
  <c r="Z31" i="17"/>
  <c r="AA31" i="17" s="1"/>
  <c r="CP28" i="23"/>
  <c r="CP28" i="22"/>
  <c r="CT28" i="22" s="1"/>
  <c r="G26" i="21"/>
  <c r="H26" i="21" s="1"/>
  <c r="F27" i="17"/>
  <c r="G27" i="17" s="1"/>
  <c r="F28" i="16"/>
  <c r="G28" i="16" s="1"/>
  <c r="AB24" i="22"/>
  <c r="AF24" i="22" s="1"/>
  <c r="H26" i="5"/>
  <c r="I26" i="5" s="1"/>
  <c r="G30" i="21"/>
  <c r="H30" i="21" s="1"/>
  <c r="F31" i="17"/>
  <c r="G31" i="17" s="1"/>
  <c r="F32" i="16"/>
  <c r="G32" i="16" s="1"/>
  <c r="H30" i="5"/>
  <c r="I30" i="5" s="1"/>
  <c r="G33" i="21"/>
  <c r="H33" i="21" s="1"/>
  <c r="F35" i="16"/>
  <c r="G35" i="16" s="1"/>
  <c r="F34" i="17"/>
  <c r="G34" i="17" s="1"/>
  <c r="AB31" i="22"/>
  <c r="AF31" i="22" s="1"/>
  <c r="H33" i="5"/>
  <c r="I33" i="5" s="1"/>
  <c r="Q35" i="21"/>
  <c r="R35" i="21" s="1"/>
  <c r="P36" i="17"/>
  <c r="Q36" i="17" s="1"/>
  <c r="BI33" i="23"/>
  <c r="BM33" i="23" s="1"/>
  <c r="P37" i="16"/>
  <c r="Q37" i="16" s="1"/>
  <c r="BI33" i="22"/>
  <c r="G27" i="21"/>
  <c r="H27" i="21" s="1"/>
  <c r="F28" i="17"/>
  <c r="G28" i="17" s="1"/>
  <c r="H27" i="5"/>
  <c r="I27" i="5" s="1"/>
  <c r="F29" i="16"/>
  <c r="G29" i="16" s="1"/>
  <c r="AB25" i="23"/>
  <c r="AF25" i="23" s="1"/>
  <c r="G34" i="21"/>
  <c r="H34" i="21" s="1"/>
  <c r="F35" i="17"/>
  <c r="G35" i="17" s="1"/>
  <c r="AB32" i="23"/>
  <c r="AF32" i="23" s="1"/>
  <c r="AB32" i="22"/>
  <c r="AF32" i="22" s="1"/>
  <c r="H34" i="5"/>
  <c r="I34" i="5" s="1"/>
  <c r="Q39" i="22"/>
  <c r="U39" i="22" s="1"/>
  <c r="AC40" i="10"/>
  <c r="AX38" i="10"/>
  <c r="AY38" i="10" s="1"/>
  <c r="AD37" i="10"/>
  <c r="C39" i="16"/>
  <c r="D39" i="16" s="1"/>
  <c r="D37" i="21"/>
  <c r="E37" i="21" s="1"/>
  <c r="C38" i="17"/>
  <c r="D38" i="17" s="1"/>
  <c r="E37" i="5"/>
  <c r="F37" i="5" s="1"/>
  <c r="X33" i="21"/>
  <c r="Y33" i="21" s="1"/>
  <c r="W34" i="17"/>
  <c r="X34" i="17" s="1"/>
  <c r="CE31" i="23"/>
  <c r="CI31" i="23" s="1"/>
  <c r="X32" i="21"/>
  <c r="Y32" i="21" s="1"/>
  <c r="W34" i="16"/>
  <c r="X34" i="16" s="1"/>
  <c r="W33" i="17"/>
  <c r="X33" i="17" s="1"/>
  <c r="CE30" i="23"/>
  <c r="CI30" i="23" s="1"/>
  <c r="CE30" i="22"/>
  <c r="CI30" i="22" s="1"/>
  <c r="C31" i="16"/>
  <c r="D31" i="16" s="1"/>
  <c r="D29" i="21"/>
  <c r="E29" i="21" s="1"/>
  <c r="C30" i="17"/>
  <c r="D30" i="17" s="1"/>
  <c r="Q27" i="22"/>
  <c r="U27" i="22" s="1"/>
  <c r="Q39" i="23"/>
  <c r="AX39" i="10"/>
  <c r="AY39" i="10" s="1"/>
  <c r="Q36" i="23"/>
  <c r="U36" i="23" s="1"/>
  <c r="C41" i="17"/>
  <c r="D41" i="17" s="1"/>
  <c r="D40" i="21"/>
  <c r="E40" i="21" s="1"/>
  <c r="Q38" i="23"/>
  <c r="U38" i="23" s="1"/>
  <c r="C42" i="16"/>
  <c r="D42" i="16" s="1"/>
  <c r="E40" i="5"/>
  <c r="F40" i="5" s="1"/>
  <c r="Q35" i="23"/>
  <c r="U35" i="23" s="1"/>
  <c r="D39" i="21"/>
  <c r="E39" i="21" s="1"/>
  <c r="C41" i="16"/>
  <c r="D41" i="16" s="1"/>
  <c r="Q37" i="23"/>
  <c r="U37" i="23" s="1"/>
  <c r="C40" i="17"/>
  <c r="D40" i="17" s="1"/>
  <c r="Q37" i="22"/>
  <c r="U37" i="22" s="1"/>
  <c r="AC36" i="10"/>
  <c r="AC34" i="10"/>
  <c r="Y33" i="5"/>
  <c r="Z33" i="5" s="1"/>
  <c r="C35" i="16"/>
  <c r="D35" i="16" s="1"/>
  <c r="C34" i="17"/>
  <c r="D34" i="17" s="1"/>
  <c r="Q31" i="23"/>
  <c r="U31" i="23" s="1"/>
  <c r="E33" i="5"/>
  <c r="F33" i="5" s="1"/>
  <c r="X30" i="21"/>
  <c r="Y30" i="21" s="1"/>
  <c r="W31" i="17"/>
  <c r="X31" i="17" s="1"/>
  <c r="Y30" i="5"/>
  <c r="Z30" i="5" s="1"/>
  <c r="W32" i="16"/>
  <c r="X32" i="16" s="1"/>
  <c r="Y28" i="5"/>
  <c r="Z28" i="5" s="1"/>
  <c r="CE25" i="23"/>
  <c r="CI25" i="23" s="1"/>
  <c r="M31" i="16"/>
  <c r="N31" i="16" s="1"/>
  <c r="C29" i="17"/>
  <c r="D29" i="17" s="1"/>
  <c r="C30" i="16"/>
  <c r="D30" i="16" s="1"/>
  <c r="D28" i="21"/>
  <c r="E28" i="21" s="1"/>
  <c r="O25" i="5"/>
  <c r="P25" i="5" s="1"/>
  <c r="Y25" i="5"/>
  <c r="Z25" i="5" s="1"/>
  <c r="O24" i="5"/>
  <c r="P24" i="5" s="1"/>
  <c r="BI16" i="22"/>
  <c r="BM16" i="22" s="1"/>
  <c r="AA18" i="21"/>
  <c r="AB18" i="21" s="1"/>
  <c r="Z20" i="16"/>
  <c r="AA20" i="16" s="1"/>
  <c r="AB18" i="5"/>
  <c r="AC18" i="5" s="1"/>
  <c r="H18" i="5"/>
  <c r="I18" i="5" s="1"/>
  <c r="Q19" i="22"/>
  <c r="U19" i="22" s="1"/>
  <c r="Q18" i="22"/>
  <c r="U18" i="22" s="1"/>
  <c r="R16" i="5"/>
  <c r="S16" i="5" s="1"/>
  <c r="AX17" i="10"/>
  <c r="AY17" i="10" s="1"/>
  <c r="BI12" i="22"/>
  <c r="Q15" i="21"/>
  <c r="R15" i="21" s="1"/>
  <c r="P16" i="17"/>
  <c r="Q16" i="17" s="1"/>
  <c r="R15" i="5"/>
  <c r="S15" i="5" s="1"/>
  <c r="P17" i="16"/>
  <c r="Q17" i="16" s="1"/>
  <c r="H15" i="10"/>
  <c r="AB10" i="23"/>
  <c r="AF10" i="23" s="1"/>
  <c r="AB7" i="23"/>
  <c r="AF7" i="23" s="1"/>
  <c r="G10" i="21"/>
  <c r="H10" i="21" s="1"/>
  <c r="F11" i="17"/>
  <c r="G11" i="17" s="1"/>
  <c r="F12" i="16"/>
  <c r="G12" i="16" s="1"/>
  <c r="AB8" i="22"/>
  <c r="D10" i="21"/>
  <c r="E10" i="21" s="1"/>
  <c r="C11" i="17"/>
  <c r="D11" i="17" s="1"/>
  <c r="C12" i="16"/>
  <c r="D12" i="16" s="1"/>
  <c r="E10" i="5"/>
  <c r="F10" i="5" s="1"/>
  <c r="AX7" i="10"/>
  <c r="AY7" i="10" s="1"/>
  <c r="BI24" i="23"/>
  <c r="BM24" i="23" s="1"/>
  <c r="BI26" i="23"/>
  <c r="H39" i="5"/>
  <c r="I39" i="5" s="1"/>
  <c r="AB28" i="22"/>
  <c r="AF28" i="22" s="1"/>
  <c r="AH38" i="10"/>
  <c r="AI23" i="10"/>
  <c r="F21" i="16"/>
  <c r="G21" i="16" s="1"/>
  <c r="W40" i="16"/>
  <c r="X40" i="16" s="1"/>
  <c r="C27" i="17"/>
  <c r="D27" i="17" s="1"/>
  <c r="F13" i="17"/>
  <c r="G13" i="17" s="1"/>
  <c r="M12" i="17"/>
  <c r="N12" i="17" s="1"/>
  <c r="P15" i="17"/>
  <c r="Q15" i="17" s="1"/>
  <c r="N30" i="21"/>
  <c r="O30" i="21" s="1"/>
  <c r="M32" i="16"/>
  <c r="N32" i="16" s="1"/>
  <c r="C26" i="17"/>
  <c r="D26" i="17" s="1"/>
  <c r="C27" i="16"/>
  <c r="D27" i="16" s="1"/>
  <c r="D14" i="21"/>
  <c r="E14" i="21" s="1"/>
  <c r="C15" i="17"/>
  <c r="D15" i="17" s="1"/>
  <c r="C16" i="16"/>
  <c r="D16" i="16" s="1"/>
  <c r="D7" i="21"/>
  <c r="E7" i="21" s="1"/>
  <c r="C9" i="16"/>
  <c r="D9" i="16" s="1"/>
  <c r="G23" i="21"/>
  <c r="H23" i="21" s="1"/>
  <c r="F24" i="17"/>
  <c r="G24" i="17" s="1"/>
  <c r="G38" i="21"/>
  <c r="H38" i="21" s="1"/>
  <c r="F39" i="17"/>
  <c r="G39" i="17" s="1"/>
  <c r="F40" i="16"/>
  <c r="G40" i="16" s="1"/>
  <c r="G36" i="21"/>
  <c r="H36" i="21" s="1"/>
  <c r="F38" i="16"/>
  <c r="G38" i="16" s="1"/>
  <c r="AB34" i="23"/>
  <c r="AF34" i="23" s="1"/>
  <c r="AB34" i="22"/>
  <c r="AA37" i="21"/>
  <c r="AB37" i="21" s="1"/>
  <c r="Z38" i="17"/>
  <c r="AA38" i="17" s="1"/>
  <c r="Z39" i="16"/>
  <c r="AA39" i="16" s="1"/>
  <c r="CP35" i="22"/>
  <c r="Q34" i="21"/>
  <c r="R34" i="21" s="1"/>
  <c r="P36" i="16"/>
  <c r="Q36" i="16" s="1"/>
  <c r="P35" i="17"/>
  <c r="Q35" i="17" s="1"/>
  <c r="BI32" i="23"/>
  <c r="BI32" i="22"/>
  <c r="BM32" i="22" s="1"/>
  <c r="AA40" i="21"/>
  <c r="AB40" i="21" s="1"/>
  <c r="Z41" i="17"/>
  <c r="AA41" i="17" s="1"/>
  <c r="CP38" i="22"/>
  <c r="CN38" i="22" s="1"/>
  <c r="CR38" i="22" s="1"/>
  <c r="CP38" i="23"/>
  <c r="CT38" i="23" s="1"/>
  <c r="Z42" i="16"/>
  <c r="AA42" i="16" s="1"/>
  <c r="Z18" i="23"/>
  <c r="AD18" i="23" s="1"/>
  <c r="AG18" i="23" s="1"/>
  <c r="AI18" i="23" s="1"/>
  <c r="BG38" i="23"/>
  <c r="BK38" i="23" s="1"/>
  <c r="BN38" i="23" s="1"/>
  <c r="BC35" i="10"/>
  <c r="BD35" i="10" s="1"/>
  <c r="AI35" i="10"/>
  <c r="C26" i="16"/>
  <c r="D26" i="16" s="1"/>
  <c r="F37" i="17"/>
  <c r="G37" i="17" s="1"/>
  <c r="D25" i="21"/>
  <c r="E25" i="21" s="1"/>
  <c r="N32" i="21"/>
  <c r="O32" i="21" s="1"/>
  <c r="M33" i="17"/>
  <c r="N33" i="17" s="1"/>
  <c r="M34" i="16"/>
  <c r="N34" i="16" s="1"/>
  <c r="C33" i="17"/>
  <c r="D33" i="17" s="1"/>
  <c r="D32" i="21"/>
  <c r="E32" i="21" s="1"/>
  <c r="G20" i="21"/>
  <c r="H20" i="21" s="1"/>
  <c r="F22" i="16"/>
  <c r="G22" i="16" s="1"/>
  <c r="N19" i="21"/>
  <c r="O19" i="21" s="1"/>
  <c r="D19" i="21"/>
  <c r="E19" i="21" s="1"/>
  <c r="C21" i="16"/>
  <c r="D21" i="16" s="1"/>
  <c r="C20" i="17"/>
  <c r="D20" i="17" s="1"/>
  <c r="N14" i="21"/>
  <c r="O14" i="21" s="1"/>
  <c r="M16" i="16"/>
  <c r="N16" i="16" s="1"/>
  <c r="C15" i="16"/>
  <c r="D15" i="16" s="1"/>
  <c r="D13" i="21"/>
  <c r="E13" i="21" s="1"/>
  <c r="D11" i="21"/>
  <c r="E11" i="21" s="1"/>
  <c r="C13" i="16"/>
  <c r="D13" i="16" s="1"/>
  <c r="C12" i="17"/>
  <c r="D12" i="17" s="1"/>
  <c r="Q37" i="21"/>
  <c r="R37" i="21" s="1"/>
  <c r="P39" i="16"/>
  <c r="Q39" i="16" s="1"/>
  <c r="P38" i="17"/>
  <c r="Q38" i="17" s="1"/>
  <c r="AA29" i="21"/>
  <c r="AB29" i="21" s="1"/>
  <c r="Z30" i="17"/>
  <c r="AA30" i="17" s="1"/>
  <c r="Z31" i="16"/>
  <c r="AA31" i="16" s="1"/>
  <c r="AH24" i="10"/>
  <c r="M24" i="10"/>
  <c r="M31" i="17"/>
  <c r="N31" i="17" s="1"/>
  <c r="M15" i="17"/>
  <c r="N15" i="17" s="1"/>
  <c r="Q29" i="21"/>
  <c r="R29" i="21" s="1"/>
  <c r="P31" i="16"/>
  <c r="Q31" i="16" s="1"/>
  <c r="G40" i="21"/>
  <c r="H40" i="21" s="1"/>
  <c r="F42" i="16"/>
  <c r="G42" i="16" s="1"/>
  <c r="G37" i="21"/>
  <c r="H37" i="21" s="1"/>
  <c r="F39" i="16"/>
  <c r="G39" i="16" s="1"/>
  <c r="F23" i="17"/>
  <c r="G23" i="17" s="1"/>
  <c r="Q40" i="21"/>
  <c r="R40" i="21" s="1"/>
  <c r="P41" i="17"/>
  <c r="Q41" i="17" s="1"/>
  <c r="G41" i="21"/>
  <c r="H41" i="21" s="1"/>
  <c r="F43" i="16"/>
  <c r="G43" i="16" s="1"/>
  <c r="F41" i="17"/>
  <c r="G41" i="17" s="1"/>
  <c r="P30" i="17"/>
  <c r="Q30" i="17" s="1"/>
  <c r="G29" i="21"/>
  <c r="H29" i="21" s="1"/>
  <c r="F31" i="16"/>
  <c r="G31" i="16" s="1"/>
  <c r="G24" i="21"/>
  <c r="H24" i="21" s="1"/>
  <c r="F26" i="16"/>
  <c r="G26" i="16" s="1"/>
  <c r="G35" i="21"/>
  <c r="H35" i="21" s="1"/>
  <c r="F36" i="17"/>
  <c r="G36" i="17" s="1"/>
  <c r="G32" i="21"/>
  <c r="H32" i="21" s="1"/>
  <c r="F34" i="16"/>
  <c r="G34" i="16" s="1"/>
  <c r="AA35" i="21"/>
  <c r="AB35" i="21" s="1"/>
  <c r="Z37" i="16"/>
  <c r="AA37" i="16" s="1"/>
  <c r="AA41" i="21"/>
  <c r="AB41" i="21" s="1"/>
  <c r="Z42" i="17"/>
  <c r="AA42" i="17" s="1"/>
  <c r="P42" i="16"/>
  <c r="Q42" i="16" s="1"/>
  <c r="F38" i="17"/>
  <c r="G38" i="17" s="1"/>
  <c r="F30" i="17"/>
  <c r="G30" i="17" s="1"/>
  <c r="Z25" i="23"/>
  <c r="AD25" i="23" s="1"/>
  <c r="AG25" i="23" s="1"/>
  <c r="AI25" i="23" s="1"/>
  <c r="BG12" i="23"/>
  <c r="BK12" i="23" s="1"/>
  <c r="BN12" i="23" s="1"/>
  <c r="I38" i="10"/>
  <c r="J38" i="10" s="1"/>
  <c r="P37" i="23" s="1"/>
  <c r="T37" i="23" s="1"/>
  <c r="AZ38" i="10"/>
  <c r="BA38" i="10" s="1"/>
  <c r="CD37" i="23" s="1"/>
  <c r="P109" i="11"/>
  <c r="J113" i="11"/>
  <c r="J110" i="11"/>
  <c r="L110" i="11" s="1"/>
  <c r="K110" i="11" s="1"/>
  <c r="AZ34" i="10" s="1"/>
  <c r="BA34" i="10" s="1"/>
  <c r="J99" i="11"/>
  <c r="L99" i="11" s="1"/>
  <c r="K99" i="11" s="1"/>
  <c r="I23" i="10" s="1"/>
  <c r="J23" i="10" s="1"/>
  <c r="I17" i="10"/>
  <c r="J17" i="10" s="1"/>
  <c r="P16" i="22" s="1"/>
  <c r="T16" i="22" s="1"/>
  <c r="I86" i="11"/>
  <c r="H85" i="11"/>
  <c r="P95" i="11" s="1"/>
  <c r="AW28" i="23"/>
  <c r="BA28" i="23" s="1"/>
  <c r="J85" i="11"/>
  <c r="L85" i="11" s="1"/>
  <c r="K85" i="11" s="1"/>
  <c r="AZ9" i="10" s="1"/>
  <c r="BA9" i="10" s="1"/>
  <c r="CD8" i="23" s="1"/>
  <c r="CH8" i="23" s="1"/>
  <c r="G101" i="11"/>
  <c r="O111" i="11" s="1"/>
  <c r="G86" i="11"/>
  <c r="O96" i="11" s="1"/>
  <c r="F104" i="11"/>
  <c r="F103" i="11"/>
  <c r="G103" i="11" s="1"/>
  <c r="O113" i="11" s="1"/>
  <c r="N113" i="11" s="1"/>
  <c r="I104" i="11"/>
  <c r="I85" i="11"/>
  <c r="H104" i="11"/>
  <c r="P114" i="11" s="1"/>
  <c r="I102" i="11"/>
  <c r="G98" i="11"/>
  <c r="O108" i="11" s="1"/>
  <c r="N108" i="11" s="1"/>
  <c r="J102" i="11"/>
  <c r="F99" i="11"/>
  <c r="G99" i="11" s="1"/>
  <c r="O109" i="11" s="1"/>
  <c r="I114" i="11"/>
  <c r="I99" i="11"/>
  <c r="I103" i="11"/>
  <c r="J104" i="11"/>
  <c r="L104" i="11" s="1"/>
  <c r="K104" i="11" s="1"/>
  <c r="I28" i="10" s="1"/>
  <c r="J28" i="10" s="1"/>
  <c r="P27" i="22" s="1"/>
  <c r="T27" i="22" s="1"/>
  <c r="J103" i="11"/>
  <c r="L103" i="11" s="1"/>
  <c r="M103" i="11" s="1"/>
  <c r="D98" i="11"/>
  <c r="D34" i="11" s="1"/>
  <c r="F114" i="11"/>
  <c r="F102" i="11"/>
  <c r="I113" i="11"/>
  <c r="CD14" i="23"/>
  <c r="CH14" i="23" s="1"/>
  <c r="CD14" i="22"/>
  <c r="CH14" i="22" s="1"/>
  <c r="P6" i="23"/>
  <c r="T6" i="23" s="1"/>
  <c r="P6" i="22"/>
  <c r="T6" i="22" s="1"/>
  <c r="P101" i="11"/>
  <c r="N101" i="11" s="1"/>
  <c r="D91" i="11"/>
  <c r="D27" i="11" s="1"/>
  <c r="AZ29" i="10"/>
  <c r="BA29" i="10" s="1"/>
  <c r="M83" i="11"/>
  <c r="F100" i="11"/>
  <c r="J109" i="11"/>
  <c r="M97" i="11"/>
  <c r="M93" i="11"/>
  <c r="M91" i="11"/>
  <c r="F111" i="11"/>
  <c r="D111" i="11" s="1"/>
  <c r="D47" i="11" s="1"/>
  <c r="P96" i="11"/>
  <c r="I91" i="11"/>
  <c r="I110" i="11"/>
  <c r="H100" i="11"/>
  <c r="I101" i="11"/>
  <c r="D114" i="11"/>
  <c r="D50" i="11" s="1"/>
  <c r="G83" i="11"/>
  <c r="O93" i="11" s="1"/>
  <c r="I100" i="11"/>
  <c r="AE38" i="10"/>
  <c r="AF38" i="10" s="1"/>
  <c r="AW37" i="23" s="1"/>
  <c r="BA37" i="23" s="1"/>
  <c r="J111" i="11"/>
  <c r="L111" i="11" s="1"/>
  <c r="K111" i="11" s="1"/>
  <c r="I35" i="10" s="1"/>
  <c r="J35" i="10" s="1"/>
  <c r="AZ30" i="10"/>
  <c r="BA30" i="10" s="1"/>
  <c r="I29" i="10"/>
  <c r="J29" i="10" s="1"/>
  <c r="P28" i="23" s="1"/>
  <c r="T28" i="23" s="1"/>
  <c r="J101" i="11"/>
  <c r="L101" i="11" s="1"/>
  <c r="K101" i="11" s="1"/>
  <c r="K95" i="11"/>
  <c r="I19" i="10" s="1"/>
  <c r="J19" i="10" s="1"/>
  <c r="D103" i="11"/>
  <c r="D39" i="11" s="1"/>
  <c r="CD37" i="22"/>
  <c r="CH37" i="22" s="1"/>
  <c r="P23" i="22"/>
  <c r="T23" i="22" s="1"/>
  <c r="P23" i="23"/>
  <c r="T23" i="23" s="1"/>
  <c r="P20" i="22"/>
  <c r="T20" i="22" s="1"/>
  <c r="P20" i="23"/>
  <c r="T20" i="23" s="1"/>
  <c r="AE39" i="10"/>
  <c r="AF39" i="10" s="1"/>
  <c r="AZ39" i="10"/>
  <c r="BA39" i="10" s="1"/>
  <c r="I39" i="10"/>
  <c r="J39" i="10" s="1"/>
  <c r="AE40" i="10"/>
  <c r="AF40" i="10" s="1"/>
  <c r="I40" i="10"/>
  <c r="J40" i="10" s="1"/>
  <c r="AE35" i="10"/>
  <c r="AF35" i="10" s="1"/>
  <c r="K86" i="11"/>
  <c r="M86" i="11"/>
  <c r="AW7" i="23"/>
  <c r="BA7" i="23" s="1"/>
  <c r="AW7" i="22"/>
  <c r="BA7" i="22" s="1"/>
  <c r="AZ8" i="10"/>
  <c r="BA8" i="10" s="1"/>
  <c r="I8" i="10"/>
  <c r="J8" i="10" s="1"/>
  <c r="M106" i="11"/>
  <c r="G93" i="11"/>
  <c r="O103" i="11" s="1"/>
  <c r="D93" i="11"/>
  <c r="D29" i="11" s="1"/>
  <c r="M116" i="11"/>
  <c r="L108" i="11"/>
  <c r="K108" i="11" s="1"/>
  <c r="AW16" i="23"/>
  <c r="L113" i="11"/>
  <c r="K113" i="11" s="1"/>
  <c r="AZ24" i="10"/>
  <c r="BA24" i="10" s="1"/>
  <c r="AE24" i="10"/>
  <c r="AF24" i="10" s="1"/>
  <c r="G104" i="11"/>
  <c r="O114" i="11" s="1"/>
  <c r="J88" i="11"/>
  <c r="L88" i="11" s="1"/>
  <c r="K88" i="11" s="1"/>
  <c r="I89" i="11"/>
  <c r="F88" i="11"/>
  <c r="H88" i="11"/>
  <c r="I88" i="11"/>
  <c r="P94" i="11"/>
  <c r="D84" i="11"/>
  <c r="D20" i="11" s="1"/>
  <c r="G84" i="11"/>
  <c r="O94" i="11" s="1"/>
  <c r="H96" i="11"/>
  <c r="J96" i="11"/>
  <c r="L96" i="11" s="1"/>
  <c r="K96" i="11" s="1"/>
  <c r="F96" i="11"/>
  <c r="I97" i="11"/>
  <c r="I96" i="11"/>
  <c r="M114" i="11"/>
  <c r="L107" i="11"/>
  <c r="K107" i="11" s="1"/>
  <c r="AZ28" i="10"/>
  <c r="BA28" i="10" s="1"/>
  <c r="L98" i="11"/>
  <c r="K98" i="11" s="1"/>
  <c r="AZ19" i="10"/>
  <c r="BA19" i="10" s="1"/>
  <c r="K89" i="11"/>
  <c r="M89" i="11"/>
  <c r="D102" i="11"/>
  <c r="D38" i="11" s="1"/>
  <c r="G102" i="11"/>
  <c r="O112" i="11" s="1"/>
  <c r="N112" i="11" s="1"/>
  <c r="P103" i="11"/>
  <c r="G107" i="11"/>
  <c r="P115" i="11"/>
  <c r="D90" i="11"/>
  <c r="D26" i="11" s="1"/>
  <c r="G90" i="11"/>
  <c r="O100" i="11" s="1"/>
  <c r="N100" i="11" s="1"/>
  <c r="I115" i="11"/>
  <c r="H115" i="11"/>
  <c r="D115" i="11" s="1"/>
  <c r="D51" i="11" s="1"/>
  <c r="I116" i="11"/>
  <c r="H112" i="11"/>
  <c r="F112" i="11"/>
  <c r="I112" i="11"/>
  <c r="F108" i="11"/>
  <c r="I109" i="11"/>
  <c r="H108" i="11"/>
  <c r="I106" i="11"/>
  <c r="F105" i="11"/>
  <c r="H87" i="11"/>
  <c r="G87" i="11" s="1"/>
  <c r="O97" i="11" s="1"/>
  <c r="P116" i="11"/>
  <c r="M115" i="11"/>
  <c r="J112" i="11"/>
  <c r="M105" i="11"/>
  <c r="M100" i="11"/>
  <c r="AZ21" i="10"/>
  <c r="BA21" i="10" s="1"/>
  <c r="AE21" i="10"/>
  <c r="AF21" i="10" s="1"/>
  <c r="AE9" i="10"/>
  <c r="AF9" i="10" s="1"/>
  <c r="P93" i="11"/>
  <c r="D83" i="11"/>
  <c r="D19" i="11" s="1"/>
  <c r="G114" i="11"/>
  <c r="I93" i="11"/>
  <c r="F92" i="11"/>
  <c r="J92" i="11"/>
  <c r="L92" i="11" s="1"/>
  <c r="K92" i="11" s="1"/>
  <c r="H92" i="11"/>
  <c r="I92" i="11"/>
  <c r="AZ17" i="10"/>
  <c r="BA17" i="10" s="1"/>
  <c r="AE15" i="10"/>
  <c r="AF15" i="10" s="1"/>
  <c r="I15" i="10"/>
  <c r="J15" i="10" s="1"/>
  <c r="AZ7" i="10"/>
  <c r="BA7" i="10" s="1"/>
  <c r="AE7" i="10"/>
  <c r="AF7" i="10" s="1"/>
  <c r="M84" i="11"/>
  <c r="D109" i="11"/>
  <c r="D45" i="11" s="1"/>
  <c r="H95" i="11"/>
  <c r="I95" i="11"/>
  <c r="F95" i="11"/>
  <c r="H94" i="11"/>
  <c r="F94" i="11"/>
  <c r="J94" i="11"/>
  <c r="I98" i="11"/>
  <c r="F97" i="11"/>
  <c r="H97" i="11"/>
  <c r="M90" i="11"/>
  <c r="K90" i="11"/>
  <c r="G89" i="11"/>
  <c r="O99" i="11" s="1"/>
  <c r="N99" i="11" s="1"/>
  <c r="D89" i="11"/>
  <c r="D25" i="11" s="1"/>
  <c r="I111" i="11"/>
  <c r="F110" i="11"/>
  <c r="G110" i="11" s="1"/>
  <c r="BG32" i="22"/>
  <c r="BK32" i="22" s="1"/>
  <c r="BN32" i="22" s="1"/>
  <c r="BP32" i="22" s="1"/>
  <c r="Z17" i="22"/>
  <c r="AD17" i="22" s="1"/>
  <c r="AG17" i="22" s="1"/>
  <c r="AI17" i="22" s="1"/>
  <c r="Z35" i="22"/>
  <c r="AD35" i="22" s="1"/>
  <c r="AG35" i="22" s="1"/>
  <c r="AH35" i="22" s="1"/>
  <c r="Z39" i="22"/>
  <c r="AD39" i="22" s="1"/>
  <c r="CS20" i="22"/>
  <c r="CN19" i="22"/>
  <c r="CR19" i="22" s="1"/>
  <c r="CU19" i="22" s="1"/>
  <c r="CV19" i="22" s="1"/>
  <c r="Z25" i="22"/>
  <c r="AD25" i="22" s="1"/>
  <c r="AG25" i="22" s="1"/>
  <c r="AE21" i="22"/>
  <c r="BG13" i="22"/>
  <c r="BK13" i="22" s="1"/>
  <c r="BN13" i="22" s="1"/>
  <c r="BO13" i="22" s="1"/>
  <c r="AE30" i="22"/>
  <c r="BG35" i="22"/>
  <c r="BK35" i="22" s="1"/>
  <c r="CN14" i="22"/>
  <c r="CR14" i="22" s="1"/>
  <c r="CU14" i="22" s="1"/>
  <c r="CW14" i="22" s="1"/>
  <c r="CY25" i="22"/>
  <c r="DC25" i="22" s="1"/>
  <c r="DF25" i="22" s="1"/>
  <c r="CN16" i="22"/>
  <c r="CR16" i="22" s="1"/>
  <c r="CU16" i="22" s="1"/>
  <c r="CN13" i="22"/>
  <c r="CR13" i="22" s="1"/>
  <c r="CU13" i="22" s="1"/>
  <c r="CV13" i="22" s="1"/>
  <c r="Z18" i="22"/>
  <c r="AD18" i="22" s="1"/>
  <c r="AG18" i="22" s="1"/>
  <c r="AH18" i="22" s="1"/>
  <c r="U35" i="22"/>
  <c r="BG21" i="22"/>
  <c r="BK21" i="22" s="1"/>
  <c r="BN21" i="22" s="1"/>
  <c r="BP21" i="22" s="1"/>
  <c r="Z27" i="22"/>
  <c r="AD27" i="22" s="1"/>
  <c r="AG27" i="22" s="1"/>
  <c r="AI27" i="22" s="1"/>
  <c r="CS34" i="22"/>
  <c r="CI24" i="22"/>
  <c r="CN27" i="22"/>
  <c r="CR27" i="22" s="1"/>
  <c r="CU27" i="22" s="1"/>
  <c r="CW27" i="22" s="1"/>
  <c r="CN28" i="22"/>
  <c r="CR28" i="22" s="1"/>
  <c r="CU28" i="22" s="1"/>
  <c r="CV28" i="22" s="1"/>
  <c r="Z38" i="22"/>
  <c r="AD38" i="22" s="1"/>
  <c r="AG38" i="22" s="1"/>
  <c r="AH38" i="22" s="1"/>
  <c r="AV28" i="22"/>
  <c r="AZ28" i="22" s="1"/>
  <c r="BC28" i="22" s="1"/>
  <c r="BE28" i="22" s="1"/>
  <c r="AK6" i="22"/>
  <c r="AO6" i="22" s="1"/>
  <c r="AR6" i="22" s="1"/>
  <c r="G5" i="22"/>
  <c r="G6" i="22" s="1"/>
  <c r="AK33" i="22"/>
  <c r="AO33" i="22" s="1"/>
  <c r="AR33" i="22" s="1"/>
  <c r="AT33" i="22" s="1"/>
  <c r="BG24" i="22"/>
  <c r="BK24" i="22" s="1"/>
  <c r="BN24" i="22" s="1"/>
  <c r="BO24" i="22" s="1"/>
  <c r="Z32" i="22"/>
  <c r="AD32" i="22" s="1"/>
  <c r="AG32" i="22" s="1"/>
  <c r="AH32" i="22" s="1"/>
  <c r="Z36" i="22"/>
  <c r="AD36" i="22" s="1"/>
  <c r="AG36" i="22" s="1"/>
  <c r="AI36" i="22" s="1"/>
  <c r="AG39" i="22"/>
  <c r="AI39" i="22" s="1"/>
  <c r="Z12" i="22"/>
  <c r="AD12" i="22" s="1"/>
  <c r="AF12" i="22"/>
  <c r="CI23" i="22"/>
  <c r="Z26" i="22"/>
  <c r="AD26" i="22" s="1"/>
  <c r="AG26" i="22" s="1"/>
  <c r="AI26" i="22" s="1"/>
  <c r="BG38" i="22"/>
  <c r="BK38" i="22" s="1"/>
  <c r="BN38" i="22" s="1"/>
  <c r="BO38" i="22" s="1"/>
  <c r="BL27" i="22"/>
  <c r="BG27" i="22"/>
  <c r="BK27" i="22" s="1"/>
  <c r="BM28" i="22"/>
  <c r="BG29" i="22"/>
  <c r="BK29" i="22" s="1"/>
  <c r="BN29" i="22" s="1"/>
  <c r="BO29" i="22" s="1"/>
  <c r="BM35" i="22"/>
  <c r="CN22" i="22"/>
  <c r="CR22" i="22" s="1"/>
  <c r="CU22" i="22" s="1"/>
  <c r="CV22" i="22" s="1"/>
  <c r="Z11" i="22"/>
  <c r="AD11" i="22" s="1"/>
  <c r="AG11" i="22" s="1"/>
  <c r="AI11" i="22" s="1"/>
  <c r="BG7" i="22"/>
  <c r="BK7" i="22" s="1"/>
  <c r="BN7" i="22" s="1"/>
  <c r="Z24" i="22"/>
  <c r="AD24" i="22" s="1"/>
  <c r="AG24" i="22" s="1"/>
  <c r="BL39" i="22"/>
  <c r="BG39" i="22"/>
  <c r="BK39" i="22" s="1"/>
  <c r="CS33" i="22"/>
  <c r="CW22" i="22"/>
  <c r="BP38" i="22"/>
  <c r="BB30" i="23"/>
  <c r="Z14" i="23"/>
  <c r="AD14" i="23" s="1"/>
  <c r="U22" i="23"/>
  <c r="Z37" i="23"/>
  <c r="AD37" i="23" s="1"/>
  <c r="AG37" i="23" s="1"/>
  <c r="CN38" i="23"/>
  <c r="CR38" i="23" s="1"/>
  <c r="CU38" i="23" s="1"/>
  <c r="CW38" i="23" s="1"/>
  <c r="CN35" i="23"/>
  <c r="CR35" i="23" s="1"/>
  <c r="Z12" i="23"/>
  <c r="AD12" i="23" s="1"/>
  <c r="AG12" i="23" s="1"/>
  <c r="Z27" i="23"/>
  <c r="AD27" i="23" s="1"/>
  <c r="AG27" i="23" s="1"/>
  <c r="CI28" i="23"/>
  <c r="CT13" i="23"/>
  <c r="CN13" i="23"/>
  <c r="CR13" i="23" s="1"/>
  <c r="BB32" i="23"/>
  <c r="Z11" i="23"/>
  <c r="AD11" i="23" s="1"/>
  <c r="AG11" i="23" s="1"/>
  <c r="Z28" i="23"/>
  <c r="AD28" i="23" s="1"/>
  <c r="AG28" i="23" s="1"/>
  <c r="BM26" i="23"/>
  <c r="BG26" i="23"/>
  <c r="BK26" i="23" s="1"/>
  <c r="CN27" i="23"/>
  <c r="CR27" i="23" s="1"/>
  <c r="CU27" i="23" s="1"/>
  <c r="CV27" i="23" s="1"/>
  <c r="CN25" i="23"/>
  <c r="CR25" i="23" s="1"/>
  <c r="BL17" i="23"/>
  <c r="CI11" i="23"/>
  <c r="Z30" i="23"/>
  <c r="AD30" i="23" s="1"/>
  <c r="AG30" i="23" s="1"/>
  <c r="BL7" i="23"/>
  <c r="AE38" i="23"/>
  <c r="Z38" i="23"/>
  <c r="AD38" i="23" s="1"/>
  <c r="Z34" i="23"/>
  <c r="AD34" i="23" s="1"/>
  <c r="AE34" i="23"/>
  <c r="BG24" i="23"/>
  <c r="BK24" i="23" s="1"/>
  <c r="BN24" i="23" s="1"/>
  <c r="BM27" i="23"/>
  <c r="BG27" i="23"/>
  <c r="BK27" i="23" s="1"/>
  <c r="CU35" i="23"/>
  <c r="CW35" i="23" s="1"/>
  <c r="U39" i="23"/>
  <c r="U28" i="23"/>
  <c r="CN19" i="23"/>
  <c r="CR19" i="23" s="1"/>
  <c r="CU19" i="23" s="1"/>
  <c r="Z19" i="23"/>
  <c r="AD19" i="23" s="1"/>
  <c r="AG19" i="23" s="1"/>
  <c r="BB10" i="23"/>
  <c r="D5" i="23"/>
  <c r="F5" i="23" s="1"/>
  <c r="F4" i="23"/>
  <c r="AF14" i="23"/>
  <c r="AG14" i="23" s="1"/>
  <c r="BM13" i="23"/>
  <c r="BG13" i="23"/>
  <c r="BK13" i="23" s="1"/>
  <c r="AE33" i="23"/>
  <c r="BL6" i="23"/>
  <c r="CW27" i="23"/>
  <c r="Z8" i="23"/>
  <c r="AD8" i="23" s="1"/>
  <c r="U9" i="23"/>
  <c r="Z10" i="23"/>
  <c r="AD10" i="23" s="1"/>
  <c r="AG10" i="23" s="1"/>
  <c r="BM21" i="23"/>
  <c r="BG21" i="23"/>
  <c r="BK21" i="23" s="1"/>
  <c r="BL36" i="23"/>
  <c r="BG36" i="23"/>
  <c r="BK36" i="23" s="1"/>
  <c r="AE24" i="23"/>
  <c r="Z24" i="23"/>
  <c r="AD24" i="23" s="1"/>
  <c r="CS15" i="23"/>
  <c r="Z13" i="23"/>
  <c r="AD13" i="23" s="1"/>
  <c r="AG13" i="23" s="1"/>
  <c r="U11" i="23"/>
  <c r="AG22" i="23"/>
  <c r="CN12" i="23"/>
  <c r="CR12" i="23" s="1"/>
  <c r="CU12" i="23" s="1"/>
  <c r="Z31" i="23"/>
  <c r="AD31" i="23" s="1"/>
  <c r="AG31" i="23" s="1"/>
  <c r="BG33" i="23"/>
  <c r="BK33" i="23" s="1"/>
  <c r="BN33" i="23" s="1"/>
  <c r="Z39" i="23"/>
  <c r="AD39" i="23" s="1"/>
  <c r="AG39" i="23" s="1"/>
  <c r="Z32" i="23"/>
  <c r="AD32" i="23" s="1"/>
  <c r="AG32" i="23" s="1"/>
  <c r="Z35" i="23"/>
  <c r="AD35" i="23" s="1"/>
  <c r="AG35" i="23" s="1"/>
  <c r="BG25" i="23"/>
  <c r="BK25" i="23" s="1"/>
  <c r="BN25" i="23" s="1"/>
  <c r="CN39" i="23"/>
  <c r="CR39" i="23" s="1"/>
  <c r="CU39" i="23" s="1"/>
  <c r="AK22" i="23"/>
  <c r="AO22" i="23" s="1"/>
  <c r="AR22" i="23" s="1"/>
  <c r="AE23" i="23"/>
  <c r="CN33" i="23"/>
  <c r="CR33" i="23" s="1"/>
  <c r="CU33" i="23" s="1"/>
  <c r="BG29" i="23"/>
  <c r="BK29" i="23" s="1"/>
  <c r="BN29" i="23" s="1"/>
  <c r="Z36" i="23"/>
  <c r="AD36" i="23" s="1"/>
  <c r="AG36" i="23" s="1"/>
  <c r="M63" i="27"/>
  <c r="M68" i="27"/>
  <c r="M78" i="2"/>
  <c r="M78" i="6"/>
  <c r="M52" i="27"/>
  <c r="M58" i="27"/>
  <c r="M50" i="27"/>
  <c r="M85" i="6"/>
  <c r="M54" i="27"/>
  <c r="M87" i="6"/>
  <c r="M83" i="2"/>
  <c r="M67" i="27"/>
  <c r="M91" i="2"/>
  <c r="M91" i="6"/>
  <c r="N90" i="11"/>
  <c r="M79" i="6"/>
  <c r="N86" i="11"/>
  <c r="M82" i="6"/>
  <c r="M82" i="2"/>
  <c r="N81" i="11"/>
  <c r="M107" i="2"/>
  <c r="M90" i="2"/>
  <c r="N77" i="11"/>
  <c r="M90" i="6"/>
  <c r="M86" i="6"/>
  <c r="N89" i="11"/>
  <c r="M65" i="27"/>
  <c r="M64" i="27"/>
  <c r="M92" i="2"/>
  <c r="M88" i="2"/>
  <c r="M92" i="6"/>
  <c r="M89" i="2"/>
  <c r="M85" i="2"/>
  <c r="M81" i="2"/>
  <c r="N88" i="11"/>
  <c r="N84" i="11"/>
  <c r="M89" i="6"/>
  <c r="M46" i="27"/>
  <c r="M81" i="6"/>
  <c r="M62" i="27"/>
  <c r="M93" i="2"/>
  <c r="M49" i="27"/>
  <c r="M61" i="27"/>
  <c r="M53" i="27"/>
  <c r="M69" i="27"/>
  <c r="M57" i="27"/>
  <c r="M77" i="6"/>
  <c r="N92" i="11"/>
  <c r="M84" i="2"/>
  <c r="M80" i="2"/>
  <c r="N91" i="11"/>
  <c r="N87" i="11"/>
  <c r="N83" i="11"/>
  <c r="N79" i="11"/>
  <c r="M88" i="6"/>
  <c r="M84" i="6"/>
  <c r="M80" i="6"/>
  <c r="M48" i="27"/>
  <c r="M60" i="27"/>
  <c r="M56" i="27"/>
  <c r="M87" i="2"/>
  <c r="M79" i="2"/>
  <c r="N82" i="11"/>
  <c r="N78" i="11"/>
  <c r="M83" i="6"/>
  <c r="M51" i="27"/>
  <c r="M47" i="27"/>
  <c r="M59" i="27"/>
  <c r="M55" i="27"/>
  <c r="N80" i="11"/>
  <c r="M86" i="2"/>
  <c r="N85" i="11"/>
  <c r="M110" i="2"/>
  <c r="K60" i="27" l="1"/>
  <c r="C60" i="27"/>
  <c r="I60" i="27" s="1"/>
  <c r="M94" i="2"/>
  <c r="M110" i="6"/>
  <c r="AM18" i="22"/>
  <c r="AQ18" i="22" s="1"/>
  <c r="AM18" i="23"/>
  <c r="I21" i="17"/>
  <c r="J21" i="17" s="1"/>
  <c r="I22" i="16"/>
  <c r="J22" i="16" s="1"/>
  <c r="K20" i="5"/>
  <c r="L20" i="5" s="1"/>
  <c r="AM21" i="22"/>
  <c r="AQ21" i="22" s="1"/>
  <c r="BH39" i="10"/>
  <c r="BI39" i="10" s="1"/>
  <c r="AC41" i="17" s="1"/>
  <c r="AD41" i="17" s="1"/>
  <c r="S42" i="16"/>
  <c r="T42" i="16" s="1"/>
  <c r="CY6" i="23"/>
  <c r="DC6" i="23" s="1"/>
  <c r="DF6" i="23" s="1"/>
  <c r="DH6" i="23" s="1"/>
  <c r="AD8" i="21"/>
  <c r="AE8" i="21" s="1"/>
  <c r="I16" i="17"/>
  <c r="J16" i="17" s="1"/>
  <c r="BH34" i="10"/>
  <c r="BI34" i="10" s="1"/>
  <c r="AD35" i="21" s="1"/>
  <c r="AE35" i="21" s="1"/>
  <c r="BR7" i="22"/>
  <c r="BV7" i="22" s="1"/>
  <c r="BY7" i="22" s="1"/>
  <c r="CA7" i="22" s="1"/>
  <c r="DA6" i="22"/>
  <c r="DE6" i="22" s="1"/>
  <c r="BH35" i="10"/>
  <c r="BI35" i="10" s="1"/>
  <c r="AD36" i="21" s="1"/>
  <c r="AE36" i="21" s="1"/>
  <c r="M116" i="2"/>
  <c r="AM15" i="22"/>
  <c r="AQ15" i="22" s="1"/>
  <c r="AM36" i="23"/>
  <c r="AK36" i="23" s="1"/>
  <c r="AO36" i="23" s="1"/>
  <c r="T27" i="21"/>
  <c r="U27" i="21" s="1"/>
  <c r="BH18" i="10"/>
  <c r="BI18" i="10" s="1"/>
  <c r="AD19" i="21" s="1"/>
  <c r="AE19" i="21" s="1"/>
  <c r="BR25" i="22"/>
  <c r="BV25" i="22" s="1"/>
  <c r="BY25" i="22" s="1"/>
  <c r="BZ25" i="22" s="1"/>
  <c r="I35" i="17"/>
  <c r="J35" i="17" s="1"/>
  <c r="AM20" i="22"/>
  <c r="AQ20" i="22" s="1"/>
  <c r="S37" i="17"/>
  <c r="T37" i="17" s="1"/>
  <c r="AN22" i="10"/>
  <c r="S25" i="16" s="1"/>
  <c r="T25" i="16" s="1"/>
  <c r="I8" i="17"/>
  <c r="J8" i="17" s="1"/>
  <c r="BT31" i="22"/>
  <c r="BX31" i="22" s="1"/>
  <c r="AC21" i="16"/>
  <c r="AD21" i="16" s="1"/>
  <c r="AK34" i="23"/>
  <c r="AO34" i="23" s="1"/>
  <c r="AR34" i="23" s="1"/>
  <c r="AT34" i="23" s="1"/>
  <c r="K22" i="5"/>
  <c r="L22" i="5" s="1"/>
  <c r="BT15" i="23"/>
  <c r="BX15" i="23" s="1"/>
  <c r="I31" i="17"/>
  <c r="J31" i="17" s="1"/>
  <c r="S38" i="16"/>
  <c r="T38" i="16" s="1"/>
  <c r="BT25" i="23"/>
  <c r="BR25" i="23" s="1"/>
  <c r="BV25" i="23" s="1"/>
  <c r="BT15" i="22"/>
  <c r="BX15" i="22" s="1"/>
  <c r="BR34" i="22"/>
  <c r="BV34" i="22" s="1"/>
  <c r="BY34" i="22" s="1"/>
  <c r="CA34" i="22" s="1"/>
  <c r="T17" i="21"/>
  <c r="U17" i="21" s="1"/>
  <c r="I40" i="16"/>
  <c r="J40" i="16" s="1"/>
  <c r="BY38" i="23"/>
  <c r="BZ38" i="23" s="1"/>
  <c r="I32" i="16"/>
  <c r="J32" i="16" s="1"/>
  <c r="T36" i="21"/>
  <c r="U36" i="21" s="1"/>
  <c r="BT8" i="22"/>
  <c r="BX8" i="22" s="1"/>
  <c r="S28" i="17"/>
  <c r="T28" i="17" s="1"/>
  <c r="AM21" i="23"/>
  <c r="AQ21" i="23" s="1"/>
  <c r="AC10" i="16"/>
  <c r="AD10" i="16" s="1"/>
  <c r="S10" i="17"/>
  <c r="T10" i="17" s="1"/>
  <c r="AM8" i="22"/>
  <c r="AQ8" i="22" s="1"/>
  <c r="I25" i="16"/>
  <c r="J25" i="16" s="1"/>
  <c r="AN7" i="10"/>
  <c r="BT6" i="23" s="1"/>
  <c r="BR6" i="23" s="1"/>
  <c r="BV6" i="23" s="1"/>
  <c r="AK21" i="22"/>
  <c r="AO21" i="22" s="1"/>
  <c r="AR21" i="22" s="1"/>
  <c r="AT21" i="22" s="1"/>
  <c r="I24" i="17"/>
  <c r="J24" i="17" s="1"/>
  <c r="J23" i="21"/>
  <c r="K23" i="21" s="1"/>
  <c r="U17" i="5"/>
  <c r="V17" i="5" s="1"/>
  <c r="AM16" i="22"/>
  <c r="AQ16" i="22" s="1"/>
  <c r="AC9" i="17"/>
  <c r="AD9" i="17" s="1"/>
  <c r="I11" i="17"/>
  <c r="J11" i="17" s="1"/>
  <c r="K34" i="5"/>
  <c r="L34" i="5" s="1"/>
  <c r="S18" i="17"/>
  <c r="T18" i="17" s="1"/>
  <c r="AM28" i="23"/>
  <c r="AQ28" i="23" s="1"/>
  <c r="BT34" i="23"/>
  <c r="AE8" i="5"/>
  <c r="AF8" i="5" s="1"/>
  <c r="I19" i="17"/>
  <c r="J19" i="17" s="1"/>
  <c r="U36" i="5"/>
  <c r="V36" i="5" s="1"/>
  <c r="AQ20" i="23"/>
  <c r="AR20" i="23" s="1"/>
  <c r="BM12" i="22"/>
  <c r="BG12" i="22"/>
  <c r="BK12" i="22" s="1"/>
  <c r="BN12" i="22" s="1"/>
  <c r="BM14" i="22"/>
  <c r="BG14" i="22"/>
  <c r="BK14" i="22" s="1"/>
  <c r="BN14" i="22" s="1"/>
  <c r="BO14" i="22" s="1"/>
  <c r="BH14" i="10"/>
  <c r="BI14" i="10" s="1"/>
  <c r="AE15" i="5" s="1"/>
  <c r="AF15" i="5" s="1"/>
  <c r="AN14" i="10"/>
  <c r="S16" i="17" s="1"/>
  <c r="T16" i="17" s="1"/>
  <c r="S9" i="16"/>
  <c r="T9" i="16" s="1"/>
  <c r="T7" i="21"/>
  <c r="U7" i="21" s="1"/>
  <c r="K16" i="5"/>
  <c r="L16" i="5" s="1"/>
  <c r="AM14" i="22"/>
  <c r="AQ14" i="22" s="1"/>
  <c r="AM14" i="23"/>
  <c r="AQ14" i="23" s="1"/>
  <c r="I41" i="16"/>
  <c r="J41" i="16" s="1"/>
  <c r="AM37" i="23"/>
  <c r="AK37" i="23" s="1"/>
  <c r="AO37" i="23" s="1"/>
  <c r="J39" i="21"/>
  <c r="K39" i="21" s="1"/>
  <c r="K39" i="5"/>
  <c r="L39" i="5" s="1"/>
  <c r="AM37" i="22"/>
  <c r="AQ37" i="22" s="1"/>
  <c r="BM35" i="23"/>
  <c r="BG35" i="23"/>
  <c r="BK35" i="23" s="1"/>
  <c r="BN35" i="23" s="1"/>
  <c r="BP35" i="23" s="1"/>
  <c r="AB23" i="5"/>
  <c r="AC23" i="5" s="1"/>
  <c r="CP21" i="23"/>
  <c r="CP21" i="22"/>
  <c r="Z25" i="16"/>
  <c r="AA25" i="16" s="1"/>
  <c r="Z24" i="17"/>
  <c r="AA24" i="17" s="1"/>
  <c r="P22" i="17"/>
  <c r="Q22" i="17" s="1"/>
  <c r="BI19" i="22"/>
  <c r="R21" i="5"/>
  <c r="S21" i="5" s="1"/>
  <c r="Q21" i="21"/>
  <c r="R21" i="21" s="1"/>
  <c r="BI19" i="23"/>
  <c r="BM19" i="23" s="1"/>
  <c r="AM17" i="22"/>
  <c r="AM17" i="23"/>
  <c r="AQ17" i="23" s="1"/>
  <c r="I21" i="16"/>
  <c r="J21" i="16" s="1"/>
  <c r="J19" i="21"/>
  <c r="K19" i="21" s="1"/>
  <c r="K19" i="5"/>
  <c r="L19" i="5" s="1"/>
  <c r="AF33" i="22"/>
  <c r="Z33" i="22"/>
  <c r="AD33" i="22" s="1"/>
  <c r="CP36" i="22"/>
  <c r="CP36" i="23"/>
  <c r="AB38" i="5"/>
  <c r="AC38" i="5" s="1"/>
  <c r="AA38" i="21"/>
  <c r="AB38" i="21" s="1"/>
  <c r="Z40" i="16"/>
  <c r="AA40" i="16" s="1"/>
  <c r="Z39" i="17"/>
  <c r="AA39" i="17" s="1"/>
  <c r="AF22" i="22"/>
  <c r="Z22" i="22"/>
  <c r="AD22" i="22" s="1"/>
  <c r="CP29" i="23"/>
  <c r="Z32" i="17"/>
  <c r="AA32" i="17" s="1"/>
  <c r="AB31" i="5"/>
  <c r="AC31" i="5" s="1"/>
  <c r="AA31" i="21"/>
  <c r="AB31" i="21" s="1"/>
  <c r="CP29" i="22"/>
  <c r="AF29" i="22"/>
  <c r="Z29" i="22"/>
  <c r="AD29" i="22" s="1"/>
  <c r="AG29" i="22" s="1"/>
  <c r="AH29" i="22" s="1"/>
  <c r="CT16" i="23"/>
  <c r="BM32" i="23"/>
  <c r="BG32" i="23"/>
  <c r="BK32" i="23" s="1"/>
  <c r="CT35" i="22"/>
  <c r="CN35" i="22"/>
  <c r="CR35" i="22" s="1"/>
  <c r="AF34" i="22"/>
  <c r="Z34" i="22"/>
  <c r="AD34" i="22" s="1"/>
  <c r="CT32" i="22"/>
  <c r="CN32" i="22"/>
  <c r="CR32" i="22" s="1"/>
  <c r="I43" i="16"/>
  <c r="J43" i="16" s="1"/>
  <c r="I40" i="17"/>
  <c r="J40" i="17" s="1"/>
  <c r="BH17" i="10"/>
  <c r="BI17" i="10" s="1"/>
  <c r="DA16" i="22" s="1"/>
  <c r="AN27" i="10"/>
  <c r="BT26" i="23" s="1"/>
  <c r="BX26" i="23" s="1"/>
  <c r="AM25" i="23"/>
  <c r="I28" i="17"/>
  <c r="J28" i="17" s="1"/>
  <c r="J27" i="21"/>
  <c r="K27" i="21" s="1"/>
  <c r="AM25" i="22"/>
  <c r="AQ25" i="22" s="1"/>
  <c r="K27" i="5"/>
  <c r="L27" i="5" s="1"/>
  <c r="AM23" i="22"/>
  <c r="AK23" i="22" s="1"/>
  <c r="AO23" i="22" s="1"/>
  <c r="I27" i="16"/>
  <c r="J27" i="16" s="1"/>
  <c r="CT38" i="22"/>
  <c r="Z30" i="22"/>
  <c r="AD30" i="22" s="1"/>
  <c r="AG30" i="22" s="1"/>
  <c r="AH30" i="22" s="1"/>
  <c r="AA23" i="21"/>
  <c r="AB23" i="21" s="1"/>
  <c r="AF8" i="22"/>
  <c r="Z8" i="22"/>
  <c r="AD8" i="22" s="1"/>
  <c r="BM33" i="22"/>
  <c r="BG33" i="22"/>
  <c r="BK33" i="22" s="1"/>
  <c r="P23" i="16"/>
  <c r="Q23" i="16" s="1"/>
  <c r="Z33" i="16"/>
  <c r="AA33" i="16" s="1"/>
  <c r="AQ31" i="22"/>
  <c r="AK31" i="22"/>
  <c r="AO31" i="22" s="1"/>
  <c r="AH11" i="23"/>
  <c r="AI11" i="23"/>
  <c r="AB20" i="23"/>
  <c r="H22" i="5"/>
  <c r="I22" i="5" s="1"/>
  <c r="AB20" i="22"/>
  <c r="BC31" i="10"/>
  <c r="BD31" i="10" s="1"/>
  <c r="AI31" i="10"/>
  <c r="AB21" i="23"/>
  <c r="H23" i="5"/>
  <c r="I23" i="5" s="1"/>
  <c r="AB21" i="22"/>
  <c r="CT14" i="23"/>
  <c r="CN33" i="22"/>
  <c r="CR33" i="22" s="1"/>
  <c r="CU33" i="22" s="1"/>
  <c r="CW33" i="22" s="1"/>
  <c r="CN12" i="22"/>
  <c r="CR12" i="22" s="1"/>
  <c r="CU12" i="22" s="1"/>
  <c r="CW12" i="22" s="1"/>
  <c r="Z16" i="22"/>
  <c r="AD16" i="22" s="1"/>
  <c r="AG16" i="22" s="1"/>
  <c r="AH16" i="22" s="1"/>
  <c r="F24" i="16"/>
  <c r="G24" i="16" s="1"/>
  <c r="G22" i="21"/>
  <c r="H22" i="21" s="1"/>
  <c r="G14" i="21"/>
  <c r="H14" i="21" s="1"/>
  <c r="Z16" i="16"/>
  <c r="AA16" i="16" s="1"/>
  <c r="J34" i="21"/>
  <c r="K34" i="21" s="1"/>
  <c r="I23" i="17"/>
  <c r="J23" i="17" s="1"/>
  <c r="J30" i="21"/>
  <c r="K30" i="21" s="1"/>
  <c r="U33" i="5"/>
  <c r="V33" i="5" s="1"/>
  <c r="AE10" i="5"/>
  <c r="AF10" i="5" s="1"/>
  <c r="DA8" i="22"/>
  <c r="DE8" i="22" s="1"/>
  <c r="S29" i="16"/>
  <c r="T29" i="16" s="1"/>
  <c r="U27" i="5"/>
  <c r="V27" i="5" s="1"/>
  <c r="AI19" i="10"/>
  <c r="BC19" i="10"/>
  <c r="BD19" i="10" s="1"/>
  <c r="BC21" i="10"/>
  <c r="BD21" i="10" s="1"/>
  <c r="AI21" i="10"/>
  <c r="Z35" i="17"/>
  <c r="AA35" i="17" s="1"/>
  <c r="CP32" i="23"/>
  <c r="Z33" i="23"/>
  <c r="AD33" i="23" s="1"/>
  <c r="Z16" i="23"/>
  <c r="AD16" i="23" s="1"/>
  <c r="AG16" i="23" s="1"/>
  <c r="AI16" i="23" s="1"/>
  <c r="CN24" i="22"/>
  <c r="CR24" i="22" s="1"/>
  <c r="CU24" i="22" s="1"/>
  <c r="CW24" i="22" s="1"/>
  <c r="Z19" i="22"/>
  <c r="AD19" i="22" s="1"/>
  <c r="AG19" i="22" s="1"/>
  <c r="CN39" i="22"/>
  <c r="CR39" i="22" s="1"/>
  <c r="CU39" i="22" s="1"/>
  <c r="CW39" i="22" s="1"/>
  <c r="BG16" i="22"/>
  <c r="BK16" i="22" s="1"/>
  <c r="BN16" i="22" s="1"/>
  <c r="BO16" i="22" s="1"/>
  <c r="BR38" i="22"/>
  <c r="BV38" i="22" s="1"/>
  <c r="BY38" i="22" s="1"/>
  <c r="CA38" i="22" s="1"/>
  <c r="F25" i="16"/>
  <c r="G25" i="16" s="1"/>
  <c r="H14" i="5"/>
  <c r="I14" i="5" s="1"/>
  <c r="AB14" i="5"/>
  <c r="AC14" i="5" s="1"/>
  <c r="AA14" i="21"/>
  <c r="AB14" i="21" s="1"/>
  <c r="AA34" i="21"/>
  <c r="AB34" i="21" s="1"/>
  <c r="K31" i="5"/>
  <c r="L31" i="5" s="1"/>
  <c r="J22" i="21"/>
  <c r="K22" i="21" s="1"/>
  <c r="AC35" i="16"/>
  <c r="AD35" i="16" s="1"/>
  <c r="AM28" i="22"/>
  <c r="AQ28" i="22" s="1"/>
  <c r="AD10" i="21"/>
  <c r="AE10" i="21" s="1"/>
  <c r="J7" i="21"/>
  <c r="K7" i="21" s="1"/>
  <c r="BH31" i="10"/>
  <c r="BI31" i="10" s="1"/>
  <c r="AC34" i="16" s="1"/>
  <c r="AD34" i="16" s="1"/>
  <c r="BC9" i="10"/>
  <c r="BD9" i="10" s="1"/>
  <c r="AI9" i="10"/>
  <c r="M100" i="2"/>
  <c r="N114" i="11"/>
  <c r="AK16" i="23"/>
  <c r="AO16" i="23" s="1"/>
  <c r="AR16" i="23" s="1"/>
  <c r="AT16" i="23" s="1"/>
  <c r="CD28" i="23"/>
  <c r="CH28" i="23" s="1"/>
  <c r="CD28" i="22"/>
  <c r="CH28" i="22" s="1"/>
  <c r="BB16" i="22"/>
  <c r="AV16" i="22"/>
  <c r="AZ16" i="22" s="1"/>
  <c r="DA26" i="22"/>
  <c r="DE26" i="22" s="1"/>
  <c r="AD28" i="21"/>
  <c r="AE28" i="21" s="1"/>
  <c r="AC30" i="16"/>
  <c r="AD30" i="16" s="1"/>
  <c r="M20" i="17"/>
  <c r="N20" i="17" s="1"/>
  <c r="AX17" i="22"/>
  <c r="BB17" i="22" s="1"/>
  <c r="O19" i="5"/>
  <c r="P19" i="5" s="1"/>
  <c r="AX17" i="23"/>
  <c r="BB17" i="23" s="1"/>
  <c r="AX27" i="22"/>
  <c r="BB27" i="22" s="1"/>
  <c r="AX27" i="23"/>
  <c r="BB27" i="23" s="1"/>
  <c r="AX9" i="22"/>
  <c r="BB9" i="22" s="1"/>
  <c r="O11" i="5"/>
  <c r="P11" i="5" s="1"/>
  <c r="J28" i="21"/>
  <c r="K28" i="21" s="1"/>
  <c r="AM26" i="23"/>
  <c r="AM26" i="22"/>
  <c r="Q16" i="23"/>
  <c r="U16" i="23" s="1"/>
  <c r="M30" i="17"/>
  <c r="N30" i="17" s="1"/>
  <c r="AD35" i="10"/>
  <c r="M37" i="17" s="1"/>
  <c r="N37" i="17" s="1"/>
  <c r="AX9" i="23"/>
  <c r="BB9" i="23" s="1"/>
  <c r="CE34" i="22"/>
  <c r="CI34" i="22" s="1"/>
  <c r="C20" i="16"/>
  <c r="D20" i="16" s="1"/>
  <c r="AX25" i="22"/>
  <c r="BB25" i="22" s="1"/>
  <c r="M28" i="17"/>
  <c r="N28" i="17" s="1"/>
  <c r="AX25" i="23"/>
  <c r="BB25" i="23" s="1"/>
  <c r="Q32" i="22"/>
  <c r="U32" i="22" s="1"/>
  <c r="I29" i="17"/>
  <c r="J29" i="17" s="1"/>
  <c r="J25" i="21"/>
  <c r="K25" i="21" s="1"/>
  <c r="AD33" i="21"/>
  <c r="AE33" i="21" s="1"/>
  <c r="BH23" i="10"/>
  <c r="BI23" i="10" s="1"/>
  <c r="AD24" i="21" s="1"/>
  <c r="AE24" i="21" s="1"/>
  <c r="I20" i="16"/>
  <c r="J20" i="16" s="1"/>
  <c r="J18" i="21"/>
  <c r="K18" i="21" s="1"/>
  <c r="T9" i="21"/>
  <c r="U9" i="21" s="1"/>
  <c r="S11" i="17"/>
  <c r="T11" i="17" s="1"/>
  <c r="AM8" i="23"/>
  <c r="J10" i="21"/>
  <c r="K10" i="21" s="1"/>
  <c r="AD30" i="10"/>
  <c r="AX30" i="10"/>
  <c r="AY30" i="10" s="1"/>
  <c r="M35" i="16"/>
  <c r="N35" i="16" s="1"/>
  <c r="O33" i="5"/>
  <c r="P33" i="5" s="1"/>
  <c r="AX31" i="23"/>
  <c r="BB31" i="23" s="1"/>
  <c r="AX20" i="10"/>
  <c r="AY20" i="10" s="1"/>
  <c r="AD20" i="10"/>
  <c r="AK33" i="23"/>
  <c r="AO33" i="23" s="1"/>
  <c r="AR33" i="23" s="1"/>
  <c r="AS33" i="23" s="1"/>
  <c r="AK18" i="22"/>
  <c r="AO18" i="22" s="1"/>
  <c r="AR18" i="22" s="1"/>
  <c r="AS18" i="22" s="1"/>
  <c r="N29" i="21"/>
  <c r="O29" i="21" s="1"/>
  <c r="M13" i="16"/>
  <c r="N13" i="16" s="1"/>
  <c r="W37" i="17"/>
  <c r="X37" i="17" s="1"/>
  <c r="AX37" i="22"/>
  <c r="BB37" i="22" s="1"/>
  <c r="Y11" i="5"/>
  <c r="Z11" i="5" s="1"/>
  <c r="X11" i="21"/>
  <c r="Y11" i="21" s="1"/>
  <c r="C19" i="17"/>
  <c r="D19" i="17" s="1"/>
  <c r="M29" i="16"/>
  <c r="N29" i="16" s="1"/>
  <c r="C36" i="16"/>
  <c r="D36" i="16" s="1"/>
  <c r="E36" i="5"/>
  <c r="F36" i="5" s="1"/>
  <c r="C37" i="17"/>
  <c r="D37" i="17" s="1"/>
  <c r="K28" i="5"/>
  <c r="L28" i="5" s="1"/>
  <c r="AM23" i="23"/>
  <c r="I17" i="17"/>
  <c r="J17" i="17" s="1"/>
  <c r="J16" i="21"/>
  <c r="K16" i="21" s="1"/>
  <c r="AC41" i="16"/>
  <c r="AD41" i="16" s="1"/>
  <c r="U7" i="5"/>
  <c r="V7" i="5" s="1"/>
  <c r="BH8" i="10"/>
  <c r="BI8" i="10" s="1"/>
  <c r="DA7" i="23" s="1"/>
  <c r="BH15" i="10"/>
  <c r="BI15" i="10" s="1"/>
  <c r="DA14" i="23" s="1"/>
  <c r="K18" i="5"/>
  <c r="L18" i="5" s="1"/>
  <c r="U9" i="5"/>
  <c r="V9" i="5" s="1"/>
  <c r="K10" i="5"/>
  <c r="L10" i="5" s="1"/>
  <c r="AN36" i="10"/>
  <c r="BT35" i="23" s="1"/>
  <c r="Q26" i="23"/>
  <c r="U26" i="23" s="1"/>
  <c r="E28" i="5"/>
  <c r="F28" i="5" s="1"/>
  <c r="Q29" i="23"/>
  <c r="U29" i="23" s="1"/>
  <c r="Q29" i="22"/>
  <c r="Q13" i="22"/>
  <c r="U13" i="22" s="1"/>
  <c r="C17" i="16"/>
  <c r="D17" i="16" s="1"/>
  <c r="AK31" i="23"/>
  <c r="AO31" i="23" s="1"/>
  <c r="AR31" i="23" s="1"/>
  <c r="AT31" i="23" s="1"/>
  <c r="AK36" i="22"/>
  <c r="AO36" i="22" s="1"/>
  <c r="AR36" i="22" s="1"/>
  <c r="AT36" i="22" s="1"/>
  <c r="AK34" i="22"/>
  <c r="AO34" i="22" s="1"/>
  <c r="AR34" i="22" s="1"/>
  <c r="AT34" i="22" s="1"/>
  <c r="P29" i="22"/>
  <c r="T29" i="22" s="1"/>
  <c r="M21" i="16"/>
  <c r="N21" i="16" s="1"/>
  <c r="Q26" i="22"/>
  <c r="U26" i="22" s="1"/>
  <c r="O29" i="5"/>
  <c r="P29" i="5" s="1"/>
  <c r="AX32" i="22"/>
  <c r="BB32" i="22" s="1"/>
  <c r="CE34" i="23"/>
  <c r="CI34" i="23" s="1"/>
  <c r="E38" i="5"/>
  <c r="F38" i="5" s="1"/>
  <c r="N11" i="21"/>
  <c r="O11" i="21" s="1"/>
  <c r="AX31" i="22"/>
  <c r="BB31" i="22" s="1"/>
  <c r="W30" i="16"/>
  <c r="X30" i="16" s="1"/>
  <c r="W38" i="16"/>
  <c r="X38" i="16" s="1"/>
  <c r="M40" i="17"/>
  <c r="N40" i="17" s="1"/>
  <c r="CE9" i="23"/>
  <c r="CI9" i="23" s="1"/>
  <c r="C16" i="17"/>
  <c r="D16" i="17" s="1"/>
  <c r="D18" i="21"/>
  <c r="E18" i="21" s="1"/>
  <c r="C35" i="17"/>
  <c r="D35" i="17" s="1"/>
  <c r="M36" i="16"/>
  <c r="N36" i="16" s="1"/>
  <c r="AM32" i="23"/>
  <c r="AQ32" i="23" s="1"/>
  <c r="I24" i="16"/>
  <c r="J24" i="16" s="1"/>
  <c r="S21" i="16"/>
  <c r="T21" i="16" s="1"/>
  <c r="J38" i="21"/>
  <c r="K38" i="21" s="1"/>
  <c r="I18" i="16"/>
  <c r="J18" i="16" s="1"/>
  <c r="K7" i="5"/>
  <c r="L7" i="5" s="1"/>
  <c r="S8" i="17"/>
  <c r="T8" i="17" s="1"/>
  <c r="AD25" i="21"/>
  <c r="AE25" i="21" s="1"/>
  <c r="BT7" i="23"/>
  <c r="BX7" i="23" s="1"/>
  <c r="S11" i="16"/>
  <c r="T11" i="16" s="1"/>
  <c r="AM32" i="22"/>
  <c r="I30" i="16"/>
  <c r="J30" i="16" s="1"/>
  <c r="BH6" i="10"/>
  <c r="BI6" i="10" s="1"/>
  <c r="AD7" i="21" s="1"/>
  <c r="AE7" i="21" s="1"/>
  <c r="M104" i="2"/>
  <c r="M98" i="2"/>
  <c r="AX14" i="10"/>
  <c r="AY14" i="10" s="1"/>
  <c r="AD14" i="10"/>
  <c r="BH21" i="10"/>
  <c r="BI21" i="10" s="1"/>
  <c r="AN21" i="10"/>
  <c r="O18" i="5"/>
  <c r="P18" i="5" s="1"/>
  <c r="AX16" i="23"/>
  <c r="BB16" i="23" s="1"/>
  <c r="M102" i="2"/>
  <c r="M95" i="2"/>
  <c r="M99" i="6"/>
  <c r="M111" i="2"/>
  <c r="M114" i="2"/>
  <c r="M96" i="2"/>
  <c r="H115" i="2"/>
  <c r="H96" i="2"/>
  <c r="N106" i="2" s="1"/>
  <c r="M117" i="2"/>
  <c r="E115" i="2"/>
  <c r="E50" i="2" s="1"/>
  <c r="M109" i="2"/>
  <c r="E98" i="2"/>
  <c r="E33" i="2" s="1"/>
  <c r="O108" i="2"/>
  <c r="E110" i="2"/>
  <c r="E45" i="2" s="1"/>
  <c r="H102" i="2"/>
  <c r="N112" i="2" s="1"/>
  <c r="I113" i="2"/>
  <c r="H113" i="2" s="1"/>
  <c r="O106" i="2"/>
  <c r="E96" i="2"/>
  <c r="E31" i="2" s="1"/>
  <c r="O105" i="2"/>
  <c r="M105" i="2" s="1"/>
  <c r="E95" i="2"/>
  <c r="E30" i="2" s="1"/>
  <c r="H91" i="2"/>
  <c r="N101" i="2" s="1"/>
  <c r="E92" i="2"/>
  <c r="E27" i="2" s="1"/>
  <c r="E101" i="2"/>
  <c r="E36" i="2" s="1"/>
  <c r="E112" i="2"/>
  <c r="E47" i="2" s="1"/>
  <c r="O112" i="2"/>
  <c r="E102" i="2"/>
  <c r="E37" i="2" s="1"/>
  <c r="E91" i="2"/>
  <c r="E26" i="2" s="1"/>
  <c r="O101" i="2"/>
  <c r="H112" i="2"/>
  <c r="E89" i="2"/>
  <c r="E24" i="2" s="1"/>
  <c r="O99" i="2"/>
  <c r="E116" i="2"/>
  <c r="E51" i="2" s="1"/>
  <c r="E103" i="2"/>
  <c r="E38" i="2" s="1"/>
  <c r="O113" i="2"/>
  <c r="M113" i="2" s="1"/>
  <c r="I109" i="2"/>
  <c r="H109" i="2"/>
  <c r="I117" i="2"/>
  <c r="H117" i="2" s="1"/>
  <c r="E87" i="2"/>
  <c r="E22" i="2" s="1"/>
  <c r="O97" i="2"/>
  <c r="M97" i="2" s="1"/>
  <c r="I111" i="2"/>
  <c r="H110" i="2"/>
  <c r="I108" i="2"/>
  <c r="H108" i="2" s="1"/>
  <c r="H89" i="2"/>
  <c r="N99" i="2" s="1"/>
  <c r="H98" i="2"/>
  <c r="N108" i="2" s="1"/>
  <c r="AE37" i="5"/>
  <c r="AF37" i="5" s="1"/>
  <c r="AC39" i="16"/>
  <c r="AD39" i="16" s="1"/>
  <c r="BT30" i="23"/>
  <c r="BT30" i="22"/>
  <c r="BX30" i="22" s="1"/>
  <c r="U32" i="5"/>
  <c r="V32" i="5" s="1"/>
  <c r="T32" i="21"/>
  <c r="U32" i="21" s="1"/>
  <c r="S34" i="16"/>
  <c r="T34" i="16" s="1"/>
  <c r="I33" i="16"/>
  <c r="J33" i="16" s="1"/>
  <c r="BT17" i="22"/>
  <c r="BX17" i="22" s="1"/>
  <c r="AC26" i="17"/>
  <c r="AD26" i="17" s="1"/>
  <c r="T10" i="21"/>
  <c r="U10" i="21" s="1"/>
  <c r="K38" i="5"/>
  <c r="L38" i="5" s="1"/>
  <c r="S40" i="16"/>
  <c r="T40" i="16" s="1"/>
  <c r="DA23" i="23"/>
  <c r="CY23" i="23" s="1"/>
  <c r="DC23" i="23" s="1"/>
  <c r="DA38" i="22"/>
  <c r="AE40" i="5"/>
  <c r="AF40" i="5" s="1"/>
  <c r="DA23" i="22"/>
  <c r="DE23" i="22" s="1"/>
  <c r="S12" i="16"/>
  <c r="T12" i="16" s="1"/>
  <c r="I26" i="17"/>
  <c r="J26" i="17" s="1"/>
  <c r="K25" i="5"/>
  <c r="L25" i="5" s="1"/>
  <c r="AR7" i="23"/>
  <c r="AS7" i="23" s="1"/>
  <c r="BT8" i="23"/>
  <c r="CY15" i="22"/>
  <c r="DC15" i="22" s="1"/>
  <c r="DF15" i="22" s="1"/>
  <c r="DG15" i="22" s="1"/>
  <c r="I39" i="17"/>
  <c r="J39" i="17" s="1"/>
  <c r="DA38" i="23"/>
  <c r="CY38" i="23" s="1"/>
  <c r="DC38" i="23" s="1"/>
  <c r="AC27" i="16"/>
  <c r="AD27" i="16" s="1"/>
  <c r="AQ18" i="23"/>
  <c r="AK18" i="23"/>
  <c r="AO18" i="23" s="1"/>
  <c r="AN28" i="10"/>
  <c r="BH28" i="10"/>
  <c r="BI28" i="10" s="1"/>
  <c r="AC33" i="16"/>
  <c r="AD33" i="16" s="1"/>
  <c r="DA29" i="22"/>
  <c r="AE31" i="5"/>
  <c r="AF31" i="5" s="1"/>
  <c r="DA29" i="23"/>
  <c r="S19" i="17"/>
  <c r="T19" i="17" s="1"/>
  <c r="BT16" i="22"/>
  <c r="U18" i="5"/>
  <c r="V18" i="5" s="1"/>
  <c r="BX29" i="23"/>
  <c r="BR29" i="23"/>
  <c r="BV29" i="23" s="1"/>
  <c r="S37" i="16"/>
  <c r="T37" i="16" s="1"/>
  <c r="U35" i="5"/>
  <c r="V35" i="5" s="1"/>
  <c r="BT33" i="23"/>
  <c r="AC38" i="17"/>
  <c r="AD38" i="17" s="1"/>
  <c r="DA35" i="23"/>
  <c r="CY35" i="23" s="1"/>
  <c r="DC35" i="23" s="1"/>
  <c r="AQ7" i="22"/>
  <c r="AK7" i="22"/>
  <c r="AO7" i="22" s="1"/>
  <c r="BT36" i="23"/>
  <c r="U38" i="5"/>
  <c r="V38" i="5" s="1"/>
  <c r="S39" i="17"/>
  <c r="T39" i="17" s="1"/>
  <c r="AK38" i="23"/>
  <c r="AO38" i="23" s="1"/>
  <c r="AR38" i="23" s="1"/>
  <c r="AS38" i="23" s="1"/>
  <c r="AD31" i="21"/>
  <c r="AE31" i="21" s="1"/>
  <c r="BT16" i="23"/>
  <c r="AD37" i="21"/>
  <c r="AE37" i="21" s="1"/>
  <c r="S36" i="17"/>
  <c r="T36" i="17" s="1"/>
  <c r="AQ13" i="22"/>
  <c r="AK13" i="22"/>
  <c r="AO13" i="22" s="1"/>
  <c r="K29" i="5"/>
  <c r="L29" i="5" s="1"/>
  <c r="AM27" i="22"/>
  <c r="I30" i="17"/>
  <c r="J30" i="17" s="1"/>
  <c r="AM27" i="23"/>
  <c r="K17" i="5"/>
  <c r="L17" i="5" s="1"/>
  <c r="AM15" i="23"/>
  <c r="I19" i="16"/>
  <c r="J19" i="16" s="1"/>
  <c r="I18" i="17"/>
  <c r="J18" i="17" s="1"/>
  <c r="DA37" i="22"/>
  <c r="DA37" i="23"/>
  <c r="AE39" i="5"/>
  <c r="AF39" i="5" s="1"/>
  <c r="AD39" i="21"/>
  <c r="AE39" i="21" s="1"/>
  <c r="K15" i="5"/>
  <c r="L15" i="5" s="1"/>
  <c r="J15" i="21"/>
  <c r="K15" i="21" s="1"/>
  <c r="AM13" i="23"/>
  <c r="I17" i="16"/>
  <c r="J17" i="16" s="1"/>
  <c r="AN40" i="10"/>
  <c r="BH40" i="10"/>
  <c r="BI40" i="10" s="1"/>
  <c r="AD38" i="21"/>
  <c r="AE38" i="21" s="1"/>
  <c r="DA36" i="22"/>
  <c r="AC39" i="17"/>
  <c r="AD39" i="17" s="1"/>
  <c r="S34" i="17"/>
  <c r="T34" i="17" s="1"/>
  <c r="BT31" i="23"/>
  <c r="BX31" i="23" s="1"/>
  <c r="S35" i="16"/>
  <c r="T35" i="16" s="1"/>
  <c r="CY15" i="23"/>
  <c r="DC15" i="23" s="1"/>
  <c r="DF15" i="23" s="1"/>
  <c r="DG15" i="23" s="1"/>
  <c r="AK11" i="22"/>
  <c r="AO11" i="22" s="1"/>
  <c r="AR11" i="22" s="1"/>
  <c r="AS11" i="22" s="1"/>
  <c r="I31" i="16"/>
  <c r="J31" i="16" s="1"/>
  <c r="BX37" i="23"/>
  <c r="BR37" i="23"/>
  <c r="BV37" i="23" s="1"/>
  <c r="S20" i="16"/>
  <c r="T20" i="16" s="1"/>
  <c r="DA35" i="22"/>
  <c r="BT33" i="22"/>
  <c r="BX33" i="22" s="1"/>
  <c r="BT36" i="22"/>
  <c r="DA36" i="23"/>
  <c r="AC40" i="16"/>
  <c r="AD40" i="16" s="1"/>
  <c r="BT23" i="22"/>
  <c r="S27" i="16"/>
  <c r="T27" i="16" s="1"/>
  <c r="U25" i="5"/>
  <c r="V25" i="5" s="1"/>
  <c r="BT23" i="23"/>
  <c r="AE28" i="5"/>
  <c r="AF28" i="5" s="1"/>
  <c r="DA26" i="23"/>
  <c r="K41" i="5"/>
  <c r="L41" i="5" s="1"/>
  <c r="I42" i="17"/>
  <c r="J42" i="17" s="1"/>
  <c r="AM39" i="23"/>
  <c r="DA31" i="23"/>
  <c r="DA31" i="22"/>
  <c r="AK6" i="23"/>
  <c r="AO6" i="23" s="1"/>
  <c r="AR6" i="23" s="1"/>
  <c r="AS6" i="23" s="1"/>
  <c r="BR29" i="22"/>
  <c r="BV29" i="22" s="1"/>
  <c r="BY29" i="22" s="1"/>
  <c r="CA29" i="22" s="1"/>
  <c r="J41" i="21"/>
  <c r="K41" i="21" s="1"/>
  <c r="S26" i="17"/>
  <c r="T26" i="17" s="1"/>
  <c r="AC29" i="17"/>
  <c r="AD29" i="17" s="1"/>
  <c r="AC34" i="17"/>
  <c r="AD34" i="17" s="1"/>
  <c r="S33" i="17"/>
  <c r="T33" i="17" s="1"/>
  <c r="DA8" i="23"/>
  <c r="AC12" i="16"/>
  <c r="AD12" i="16" s="1"/>
  <c r="AM29" i="23"/>
  <c r="I32" i="17"/>
  <c r="J32" i="17" s="1"/>
  <c r="AM29" i="22"/>
  <c r="AN29" i="10"/>
  <c r="BH29" i="10"/>
  <c r="BI29" i="10" s="1"/>
  <c r="S20" i="17"/>
  <c r="T20" i="17" s="1"/>
  <c r="U19" i="5"/>
  <c r="V19" i="5" s="1"/>
  <c r="BT17" i="23"/>
  <c r="AN25" i="10"/>
  <c r="BH25" i="10"/>
  <c r="BI25" i="10" s="1"/>
  <c r="AQ35" i="23"/>
  <c r="AK35" i="23"/>
  <c r="AO35" i="23" s="1"/>
  <c r="BH20" i="10"/>
  <c r="BI20" i="10" s="1"/>
  <c r="AN20" i="10"/>
  <c r="BH12" i="10"/>
  <c r="BI12" i="10" s="1"/>
  <c r="AN12" i="10"/>
  <c r="AS33" i="22"/>
  <c r="J26" i="21"/>
  <c r="K26" i="21" s="1"/>
  <c r="I27" i="17"/>
  <c r="J27" i="17" s="1"/>
  <c r="I28" i="16"/>
  <c r="J28" i="16" s="1"/>
  <c r="K26" i="5"/>
  <c r="L26" i="5" s="1"/>
  <c r="AM24" i="22"/>
  <c r="AM24" i="23"/>
  <c r="J21" i="21"/>
  <c r="K21" i="21" s="1"/>
  <c r="I23" i="16"/>
  <c r="J23" i="16" s="1"/>
  <c r="AM19" i="23"/>
  <c r="K21" i="5"/>
  <c r="L21" i="5" s="1"/>
  <c r="I22" i="17"/>
  <c r="J22" i="17" s="1"/>
  <c r="AM19" i="22"/>
  <c r="T24" i="21"/>
  <c r="U24" i="21" s="1"/>
  <c r="S26" i="16"/>
  <c r="T26" i="16" s="1"/>
  <c r="BT22" i="23"/>
  <c r="U24" i="5"/>
  <c r="V24" i="5" s="1"/>
  <c r="BT22" i="22"/>
  <c r="S25" i="17"/>
  <c r="T25" i="17" s="1"/>
  <c r="BH13" i="10"/>
  <c r="BI13" i="10" s="1"/>
  <c r="AN13" i="10"/>
  <c r="AN10" i="10"/>
  <c r="BH10" i="10"/>
  <c r="BI10" i="10" s="1"/>
  <c r="T16" i="21"/>
  <c r="U16" i="21" s="1"/>
  <c r="S18" i="16"/>
  <c r="T18" i="16" s="1"/>
  <c r="BT14" i="23"/>
  <c r="S17" i="17"/>
  <c r="T17" i="17" s="1"/>
  <c r="BT14" i="22"/>
  <c r="U16" i="5"/>
  <c r="V16" i="5" s="1"/>
  <c r="J12" i="21"/>
  <c r="K12" i="21" s="1"/>
  <c r="I13" i="17"/>
  <c r="J13" i="17" s="1"/>
  <c r="AM10" i="22"/>
  <c r="I14" i="16"/>
  <c r="J14" i="16" s="1"/>
  <c r="K12" i="5"/>
  <c r="L12" i="5" s="1"/>
  <c r="AM10" i="23"/>
  <c r="AQ11" i="23"/>
  <c r="AK11" i="23"/>
  <c r="AO11" i="23" s="1"/>
  <c r="AD15" i="21"/>
  <c r="AE15" i="21" s="1"/>
  <c r="AK30" i="23"/>
  <c r="AO30" i="23" s="1"/>
  <c r="AR30" i="23" s="1"/>
  <c r="AT30" i="23" s="1"/>
  <c r="AK12" i="22"/>
  <c r="AO12" i="22" s="1"/>
  <c r="AR12" i="22" s="1"/>
  <c r="AS12" i="22" s="1"/>
  <c r="AK39" i="22"/>
  <c r="AO39" i="22" s="1"/>
  <c r="AR39" i="22" s="1"/>
  <c r="AT39" i="22" s="1"/>
  <c r="T34" i="21"/>
  <c r="U34" i="21" s="1"/>
  <c r="S36" i="16"/>
  <c r="T36" i="16" s="1"/>
  <c r="BT32" i="22"/>
  <c r="U34" i="5"/>
  <c r="V34" i="5" s="1"/>
  <c r="BT32" i="23"/>
  <c r="S35" i="17"/>
  <c r="T35" i="17" s="1"/>
  <c r="AQ22" i="22"/>
  <c r="AK22" i="22"/>
  <c r="AO22" i="22" s="1"/>
  <c r="J11" i="21"/>
  <c r="K11" i="21" s="1"/>
  <c r="I13" i="16"/>
  <c r="J13" i="16" s="1"/>
  <c r="I12" i="17"/>
  <c r="J12" i="17" s="1"/>
  <c r="AM9" i="22"/>
  <c r="AM9" i="23"/>
  <c r="K11" i="5"/>
  <c r="L11" i="5" s="1"/>
  <c r="AN11" i="10"/>
  <c r="BH11" i="10"/>
  <c r="BI11" i="10" s="1"/>
  <c r="AD20" i="21"/>
  <c r="AE20" i="21" s="1"/>
  <c r="DA18" i="23"/>
  <c r="DA18" i="22"/>
  <c r="AC21" i="17"/>
  <c r="AD21" i="17" s="1"/>
  <c r="AE20" i="5"/>
  <c r="AF20" i="5" s="1"/>
  <c r="AC22" i="16"/>
  <c r="AD22" i="16" s="1"/>
  <c r="CY25" i="23"/>
  <c r="DC25" i="23" s="1"/>
  <c r="DF25" i="23" s="1"/>
  <c r="DG25" i="23" s="1"/>
  <c r="AK30" i="22"/>
  <c r="AO30" i="22" s="1"/>
  <c r="AR30" i="22" s="1"/>
  <c r="AT30" i="22" s="1"/>
  <c r="AK12" i="23"/>
  <c r="AO12" i="23" s="1"/>
  <c r="AR12" i="23" s="1"/>
  <c r="AD34" i="21"/>
  <c r="AE34" i="21" s="1"/>
  <c r="DA32" i="23"/>
  <c r="AC36" i="16"/>
  <c r="AD36" i="16" s="1"/>
  <c r="DA32" i="22"/>
  <c r="AC35" i="17"/>
  <c r="AD35" i="17" s="1"/>
  <c r="AE34" i="5"/>
  <c r="AF34" i="5" s="1"/>
  <c r="T20" i="21"/>
  <c r="U20" i="21" s="1"/>
  <c r="S22" i="16"/>
  <c r="T22" i="16" s="1"/>
  <c r="S21" i="17"/>
  <c r="T21" i="17" s="1"/>
  <c r="U20" i="5"/>
  <c r="V20" i="5" s="1"/>
  <c r="BT18" i="22"/>
  <c r="BT18" i="23"/>
  <c r="AD23" i="21"/>
  <c r="AE23" i="21" s="1"/>
  <c r="AC24" i="17"/>
  <c r="AD24" i="17" s="1"/>
  <c r="AC25" i="16"/>
  <c r="AD25" i="16" s="1"/>
  <c r="DA21" i="22"/>
  <c r="DA21" i="23"/>
  <c r="AE23" i="5"/>
  <c r="AF23" i="5" s="1"/>
  <c r="M105" i="6"/>
  <c r="M102" i="6"/>
  <c r="H102" i="6"/>
  <c r="N112" i="6" s="1"/>
  <c r="M112" i="6" s="1"/>
  <c r="H85" i="6"/>
  <c r="N95" i="6" s="1"/>
  <c r="L102" i="6"/>
  <c r="M106" i="6"/>
  <c r="L91" i="6"/>
  <c r="E104" i="6"/>
  <c r="E40" i="6" s="1"/>
  <c r="H93" i="6"/>
  <c r="N103" i="6" s="1"/>
  <c r="L83" i="6"/>
  <c r="L113" i="6"/>
  <c r="H94" i="6"/>
  <c r="N104" i="6" s="1"/>
  <c r="O100" i="6"/>
  <c r="L115" i="6"/>
  <c r="L85" i="6"/>
  <c r="H105" i="6"/>
  <c r="N115" i="6" s="1"/>
  <c r="O114" i="6"/>
  <c r="E90" i="6"/>
  <c r="E26" i="6" s="1"/>
  <c r="L107" i="6"/>
  <c r="E86" i="6"/>
  <c r="E22" i="6" s="1"/>
  <c r="H84" i="6"/>
  <c r="N94" i="6" s="1"/>
  <c r="M94" i="6" s="1"/>
  <c r="E89" i="6"/>
  <c r="E25" i="6" s="1"/>
  <c r="I110" i="6"/>
  <c r="H114" i="6"/>
  <c r="E114" i="6"/>
  <c r="E50" i="6" s="1"/>
  <c r="L103" i="6"/>
  <c r="H90" i="6"/>
  <c r="N100" i="6" s="1"/>
  <c r="H104" i="6"/>
  <c r="N114" i="6" s="1"/>
  <c r="I109" i="6"/>
  <c r="H109" i="6" s="1"/>
  <c r="O101" i="6"/>
  <c r="H88" i="6"/>
  <c r="N98" i="6" s="1"/>
  <c r="E91" i="6"/>
  <c r="E27" i="6" s="1"/>
  <c r="L93" i="6"/>
  <c r="E94" i="6"/>
  <c r="E30" i="6" s="1"/>
  <c r="O104" i="6"/>
  <c r="H91" i="6"/>
  <c r="N101" i="6" s="1"/>
  <c r="H97" i="6"/>
  <c r="N107" i="6" s="1"/>
  <c r="O107" i="6"/>
  <c r="E97" i="6"/>
  <c r="E33" i="6" s="1"/>
  <c r="O98" i="6"/>
  <c r="E88" i="6"/>
  <c r="E24" i="6" s="1"/>
  <c r="H86" i="6"/>
  <c r="N96" i="6" s="1"/>
  <c r="M96" i="6" s="1"/>
  <c r="L101" i="6"/>
  <c r="E84" i="6"/>
  <c r="E20" i="6" s="1"/>
  <c r="E95" i="6"/>
  <c r="E31" i="6" s="1"/>
  <c r="N109" i="11"/>
  <c r="AE28" i="10"/>
  <c r="AF28" i="10" s="1"/>
  <c r="AW27" i="22" s="1"/>
  <c r="AE30" i="10"/>
  <c r="AF30" i="10" s="1"/>
  <c r="AW29" i="22" s="1"/>
  <c r="M104" i="11"/>
  <c r="I34" i="10"/>
  <c r="J34" i="10" s="1"/>
  <c r="P33" i="22" s="1"/>
  <c r="M87" i="11"/>
  <c r="AE11" i="10"/>
  <c r="AF11" i="10" s="1"/>
  <c r="AW10" i="23" s="1"/>
  <c r="CD10" i="23"/>
  <c r="CH10" i="23" s="1"/>
  <c r="M110" i="11"/>
  <c r="M96" i="11"/>
  <c r="P37" i="22"/>
  <c r="D85" i="11"/>
  <c r="D21" i="11" s="1"/>
  <c r="D116" i="11"/>
  <c r="D52" i="11" s="1"/>
  <c r="M88" i="11"/>
  <c r="G106" i="11"/>
  <c r="O116" i="11" s="1"/>
  <c r="N116" i="11" s="1"/>
  <c r="G111" i="11"/>
  <c r="I9" i="10"/>
  <c r="J9" i="10" s="1"/>
  <c r="P8" i="22" s="1"/>
  <c r="G105" i="11"/>
  <c r="O115" i="11" s="1"/>
  <c r="N115" i="11" s="1"/>
  <c r="I11" i="10"/>
  <c r="J11" i="10" s="1"/>
  <c r="P10" i="23" s="1"/>
  <c r="CD8" i="22"/>
  <c r="CH8" i="22" s="1"/>
  <c r="K103" i="11"/>
  <c r="AE27" i="10" s="1"/>
  <c r="AF27" i="10" s="1"/>
  <c r="P28" i="22"/>
  <c r="T28" i="22" s="1"/>
  <c r="M85" i="11"/>
  <c r="N111" i="11"/>
  <c r="M97" i="6"/>
  <c r="M98" i="11"/>
  <c r="G88" i="11"/>
  <c r="O98" i="11" s="1"/>
  <c r="AE34" i="10"/>
  <c r="AF34" i="10" s="1"/>
  <c r="AW33" i="23" s="1"/>
  <c r="E101" i="6"/>
  <c r="E37" i="6" s="1"/>
  <c r="O111" i="6"/>
  <c r="O103" i="6"/>
  <c r="E93" i="6"/>
  <c r="E29" i="6" s="1"/>
  <c r="E100" i="6"/>
  <c r="E36" i="6" s="1"/>
  <c r="E106" i="6"/>
  <c r="E42" i="6" s="1"/>
  <c r="O116" i="6"/>
  <c r="H106" i="6"/>
  <c r="N116" i="6" s="1"/>
  <c r="E99" i="6"/>
  <c r="E35" i="6" s="1"/>
  <c r="O109" i="6"/>
  <c r="E112" i="6"/>
  <c r="E48" i="6" s="1"/>
  <c r="H103" i="6"/>
  <c r="N113" i="6" s="1"/>
  <c r="M113" i="6" s="1"/>
  <c r="E103" i="6"/>
  <c r="E39" i="6" s="1"/>
  <c r="I111" i="6"/>
  <c r="H111" i="6" s="1"/>
  <c r="H99" i="6"/>
  <c r="N109" i="6" s="1"/>
  <c r="E83" i="6"/>
  <c r="E19" i="6" s="1"/>
  <c r="O93" i="6"/>
  <c r="M93" i="6" s="1"/>
  <c r="O108" i="6"/>
  <c r="M108" i="6" s="1"/>
  <c r="E98" i="6"/>
  <c r="E34" i="6" s="1"/>
  <c r="I115" i="6"/>
  <c r="E105" i="6"/>
  <c r="E41" i="6" s="1"/>
  <c r="O115" i="6"/>
  <c r="I108" i="6"/>
  <c r="E85" i="6"/>
  <c r="E21" i="6" s="1"/>
  <c r="O95" i="6"/>
  <c r="E113" i="6"/>
  <c r="E49" i="6" s="1"/>
  <c r="L106" i="6"/>
  <c r="H101" i="6"/>
  <c r="N111" i="6" s="1"/>
  <c r="N96" i="11"/>
  <c r="AI12" i="23"/>
  <c r="AH12" i="23"/>
  <c r="N38" i="21"/>
  <c r="O38" i="21" s="1"/>
  <c r="M40" i="16"/>
  <c r="N40" i="16" s="1"/>
  <c r="AX36" i="22"/>
  <c r="BB36" i="22" s="1"/>
  <c r="AX36" i="23"/>
  <c r="BB36" i="23" s="1"/>
  <c r="O38" i="5"/>
  <c r="P38" i="5" s="1"/>
  <c r="M39" i="17"/>
  <c r="N39" i="17" s="1"/>
  <c r="AF26" i="23"/>
  <c r="Z26" i="23"/>
  <c r="AD26" i="23" s="1"/>
  <c r="AI32" i="10"/>
  <c r="BC32" i="10"/>
  <c r="BD32" i="10" s="1"/>
  <c r="BG16" i="23"/>
  <c r="BK16" i="23" s="1"/>
  <c r="BM16" i="23"/>
  <c r="N17" i="21"/>
  <c r="O17" i="21" s="1"/>
  <c r="M18" i="17"/>
  <c r="N18" i="17" s="1"/>
  <c r="AX15" i="22"/>
  <c r="BB15" i="22" s="1"/>
  <c r="AX15" i="23"/>
  <c r="BB15" i="23" s="1"/>
  <c r="M19" i="16"/>
  <c r="N19" i="16" s="1"/>
  <c r="O17" i="5"/>
  <c r="P17" i="5" s="1"/>
  <c r="CN28" i="23"/>
  <c r="CR28" i="23" s="1"/>
  <c r="CT28" i="23"/>
  <c r="BC10" i="10"/>
  <c r="BD10" i="10" s="1"/>
  <c r="AI10" i="10"/>
  <c r="C11" i="16"/>
  <c r="D11" i="16" s="1"/>
  <c r="Q7" i="22"/>
  <c r="U7" i="22" s="1"/>
  <c r="D9" i="21"/>
  <c r="E9" i="21" s="1"/>
  <c r="E9" i="5"/>
  <c r="F9" i="5" s="1"/>
  <c r="C10" i="17"/>
  <c r="D10" i="17" s="1"/>
  <c r="Q7" i="23"/>
  <c r="U7" i="23" s="1"/>
  <c r="BC11" i="10"/>
  <c r="BD11" i="10" s="1"/>
  <c r="AI11" i="10"/>
  <c r="D23" i="21"/>
  <c r="E23" i="21" s="1"/>
  <c r="C24" i="17"/>
  <c r="D24" i="17" s="1"/>
  <c r="C25" i="16"/>
  <c r="D25" i="16" s="1"/>
  <c r="Q21" i="22"/>
  <c r="U21" i="22" s="1"/>
  <c r="Q21" i="23"/>
  <c r="U21" i="23" s="1"/>
  <c r="E23" i="5"/>
  <c r="F23" i="5" s="1"/>
  <c r="N9" i="21"/>
  <c r="O9" i="21" s="1"/>
  <c r="M10" i="17"/>
  <c r="N10" i="17" s="1"/>
  <c r="M11" i="16"/>
  <c r="N11" i="16" s="1"/>
  <c r="AX7" i="23"/>
  <c r="AX7" i="22"/>
  <c r="O9" i="5"/>
  <c r="P9" i="5" s="1"/>
  <c r="BG39" i="23"/>
  <c r="BK39" i="23" s="1"/>
  <c r="CN22" i="23"/>
  <c r="CR22" i="23" s="1"/>
  <c r="CU22" i="23" s="1"/>
  <c r="CV22" i="23" s="1"/>
  <c r="BG7" i="23"/>
  <c r="BK7" i="23" s="1"/>
  <c r="BN7" i="23" s="1"/>
  <c r="BP7" i="23" s="1"/>
  <c r="BG14" i="23"/>
  <c r="BK14" i="23" s="1"/>
  <c r="BN14" i="23" s="1"/>
  <c r="AH26" i="22"/>
  <c r="BD28" i="22"/>
  <c r="O16" i="22"/>
  <c r="S16" i="22" s="1"/>
  <c r="V16" i="22" s="1"/>
  <c r="X16" i="22" s="1"/>
  <c r="Z37" i="22"/>
  <c r="AD37" i="22" s="1"/>
  <c r="AG37" i="22" s="1"/>
  <c r="O28" i="22"/>
  <c r="S28" i="22" s="1"/>
  <c r="V28" i="22" s="1"/>
  <c r="X28" i="22" s="1"/>
  <c r="CN25" i="22"/>
  <c r="CR25" i="22" s="1"/>
  <c r="CU25" i="22" s="1"/>
  <c r="CW25" i="22" s="1"/>
  <c r="BM36" i="22"/>
  <c r="BG25" i="22"/>
  <c r="BK25" i="22" s="1"/>
  <c r="BN25" i="22" s="1"/>
  <c r="Z28" i="22"/>
  <c r="AD28" i="22" s="1"/>
  <c r="AG28" i="22" s="1"/>
  <c r="AH28" i="22" s="1"/>
  <c r="Z13" i="22"/>
  <c r="AD13" i="22" s="1"/>
  <c r="AG13" i="22" s="1"/>
  <c r="AH13" i="22" s="1"/>
  <c r="P16" i="23"/>
  <c r="T16" i="23" s="1"/>
  <c r="P27" i="23"/>
  <c r="T27" i="23" s="1"/>
  <c r="Q36" i="21"/>
  <c r="R36" i="21" s="1"/>
  <c r="P37" i="17"/>
  <c r="Q37" i="17" s="1"/>
  <c r="BI34" i="22"/>
  <c r="BI34" i="23"/>
  <c r="R36" i="5"/>
  <c r="S36" i="5" s="1"/>
  <c r="P38" i="16"/>
  <c r="Q38" i="16" s="1"/>
  <c r="Q24" i="21"/>
  <c r="R24" i="21" s="1"/>
  <c r="P25" i="17"/>
  <c r="Q25" i="17" s="1"/>
  <c r="P26" i="16"/>
  <c r="Q26" i="16" s="1"/>
  <c r="BI22" i="23"/>
  <c r="BI22" i="22"/>
  <c r="R24" i="5"/>
  <c r="S24" i="5" s="1"/>
  <c r="X8" i="21"/>
  <c r="Y8" i="21" s="1"/>
  <c r="W10" i="16"/>
  <c r="X10" i="16" s="1"/>
  <c r="CE6" i="22"/>
  <c r="CI6" i="22" s="1"/>
  <c r="W9" i="17"/>
  <c r="X9" i="17" s="1"/>
  <c r="CE6" i="23"/>
  <c r="CI6" i="23" s="1"/>
  <c r="Y8" i="5"/>
  <c r="Z8" i="5" s="1"/>
  <c r="C17" i="17"/>
  <c r="D17" i="17" s="1"/>
  <c r="D16" i="21"/>
  <c r="E16" i="21" s="1"/>
  <c r="Q14" i="23"/>
  <c r="U14" i="23" s="1"/>
  <c r="E16" i="5"/>
  <c r="F16" i="5" s="1"/>
  <c r="C18" i="16"/>
  <c r="D18" i="16" s="1"/>
  <c r="Q14" i="22"/>
  <c r="U14" i="22" s="1"/>
  <c r="X18" i="21"/>
  <c r="Y18" i="21" s="1"/>
  <c r="W19" i="17"/>
  <c r="X19" i="17" s="1"/>
  <c r="W20" i="16"/>
  <c r="X20" i="16" s="1"/>
  <c r="CE16" i="22"/>
  <c r="CI16" i="22" s="1"/>
  <c r="Y18" i="5"/>
  <c r="Z18" i="5" s="1"/>
  <c r="CE16" i="23"/>
  <c r="CI16" i="23" s="1"/>
  <c r="AX36" i="10"/>
  <c r="AY36" i="10" s="1"/>
  <c r="AD36" i="10"/>
  <c r="X39" i="21"/>
  <c r="Y39" i="21" s="1"/>
  <c r="W41" i="16"/>
  <c r="X41" i="16" s="1"/>
  <c r="CE37" i="22"/>
  <c r="W40" i="17"/>
  <c r="X40" i="17" s="1"/>
  <c r="CE37" i="23"/>
  <c r="CI37" i="23" s="1"/>
  <c r="Y39" i="5"/>
  <c r="Z39" i="5" s="1"/>
  <c r="G8" i="21"/>
  <c r="H8" i="21" s="1"/>
  <c r="F10" i="16"/>
  <c r="G10" i="16" s="1"/>
  <c r="F9" i="17"/>
  <c r="G9" i="17" s="1"/>
  <c r="AB6" i="23"/>
  <c r="H8" i="5"/>
  <c r="I8" i="5" s="1"/>
  <c r="AB6" i="22"/>
  <c r="X16" i="21"/>
  <c r="Y16" i="21" s="1"/>
  <c r="W18" i="16"/>
  <c r="X18" i="16" s="1"/>
  <c r="W17" i="17"/>
  <c r="X17" i="17" s="1"/>
  <c r="CE14" i="22"/>
  <c r="CE14" i="23"/>
  <c r="Y16" i="5"/>
  <c r="Z16" i="5" s="1"/>
  <c r="BC16" i="10"/>
  <c r="BD16" i="10" s="1"/>
  <c r="AI16" i="10"/>
  <c r="X7" i="21"/>
  <c r="Y7" i="21" s="1"/>
  <c r="W8" i="17"/>
  <c r="X8" i="17" s="1"/>
  <c r="W9" i="16"/>
  <c r="X9" i="16" s="1"/>
  <c r="Y7" i="5"/>
  <c r="Z7" i="5" s="1"/>
  <c r="G11" i="21"/>
  <c r="H11" i="21" s="1"/>
  <c r="F12" i="17"/>
  <c r="G12" i="17" s="1"/>
  <c r="H11" i="5"/>
  <c r="I11" i="5" s="1"/>
  <c r="F13" i="16"/>
  <c r="G13" i="16" s="1"/>
  <c r="AB9" i="23"/>
  <c r="AB9" i="22"/>
  <c r="BG19" i="23"/>
  <c r="BK19" i="23" s="1"/>
  <c r="Z7" i="22"/>
  <c r="AD7" i="22" s="1"/>
  <c r="AF7" i="22"/>
  <c r="AD22" i="10"/>
  <c r="AX22" i="10"/>
  <c r="AY22" i="10" s="1"/>
  <c r="AF17" i="23"/>
  <c r="Z17" i="23"/>
  <c r="AD17" i="23" s="1"/>
  <c r="X9" i="21"/>
  <c r="Y9" i="21" s="1"/>
  <c r="W10" i="17"/>
  <c r="X10" i="17" s="1"/>
  <c r="W11" i="16"/>
  <c r="X11" i="16" s="1"/>
  <c r="CE7" i="22"/>
  <c r="CI7" i="22" s="1"/>
  <c r="CE7" i="23"/>
  <c r="CI7" i="23" s="1"/>
  <c r="Y9" i="5"/>
  <c r="Z9" i="5" s="1"/>
  <c r="G25" i="21"/>
  <c r="H25" i="21" s="1"/>
  <c r="F27" i="16"/>
  <c r="G27" i="16" s="1"/>
  <c r="AB23" i="23"/>
  <c r="H25" i="5"/>
  <c r="I25" i="5" s="1"/>
  <c r="F26" i="17"/>
  <c r="G26" i="17" s="1"/>
  <c r="AB23" i="22"/>
  <c r="AD34" i="10"/>
  <c r="AX34" i="10"/>
  <c r="AY34" i="10" s="1"/>
  <c r="X40" i="21"/>
  <c r="Y40" i="21" s="1"/>
  <c r="W42" i="16"/>
  <c r="X42" i="16" s="1"/>
  <c r="CE38" i="23"/>
  <c r="CI38" i="23" s="1"/>
  <c r="CE38" i="22"/>
  <c r="CI38" i="22" s="1"/>
  <c r="W41" i="17"/>
  <c r="X41" i="17" s="1"/>
  <c r="Y40" i="5"/>
  <c r="Z40" i="5" s="1"/>
  <c r="N10" i="21"/>
  <c r="O10" i="21" s="1"/>
  <c r="M12" i="16"/>
  <c r="N12" i="16" s="1"/>
  <c r="M11" i="17"/>
  <c r="N11" i="17" s="1"/>
  <c r="AX8" i="23"/>
  <c r="BB8" i="23" s="1"/>
  <c r="AX8" i="22"/>
  <c r="BB8" i="22" s="1"/>
  <c r="O10" i="5"/>
  <c r="P10" i="5" s="1"/>
  <c r="X12" i="21"/>
  <c r="Y12" i="21" s="1"/>
  <c r="W14" i="16"/>
  <c r="X14" i="16" s="1"/>
  <c r="W13" i="17"/>
  <c r="X13" i="17" s="1"/>
  <c r="CE10" i="22"/>
  <c r="CI10" i="22" s="1"/>
  <c r="Y12" i="5"/>
  <c r="Z12" i="5" s="1"/>
  <c r="CE10" i="23"/>
  <c r="CI10" i="23" s="1"/>
  <c r="Q13" i="21"/>
  <c r="R13" i="21" s="1"/>
  <c r="P15" i="16"/>
  <c r="Q15" i="16" s="1"/>
  <c r="P14" i="17"/>
  <c r="Q14" i="17" s="1"/>
  <c r="BI11" i="22"/>
  <c r="R13" i="5"/>
  <c r="S13" i="5" s="1"/>
  <c r="BI11" i="23"/>
  <c r="AD21" i="10"/>
  <c r="AX21" i="10"/>
  <c r="AY21" i="10" s="1"/>
  <c r="AI18" i="10"/>
  <c r="BC18" i="10"/>
  <c r="BD18" i="10" s="1"/>
  <c r="Z7" i="23"/>
  <c r="AD7" i="23" s="1"/>
  <c r="AG7" i="23" s="1"/>
  <c r="AI7" i="23" s="1"/>
  <c r="Z14" i="22"/>
  <c r="AD14" i="22" s="1"/>
  <c r="AG14" i="22" s="1"/>
  <c r="AI14" i="22" s="1"/>
  <c r="AI24" i="10"/>
  <c r="BC24" i="10"/>
  <c r="BD24" i="10" s="1"/>
  <c r="N40" i="21"/>
  <c r="O40" i="21" s="1"/>
  <c r="M41" i="17"/>
  <c r="N41" i="17" s="1"/>
  <c r="M42" i="16"/>
  <c r="N42" i="16" s="1"/>
  <c r="AX38" i="22"/>
  <c r="BB38" i="22" s="1"/>
  <c r="AX38" i="23"/>
  <c r="BB38" i="23" s="1"/>
  <c r="O40" i="5"/>
  <c r="P40" i="5" s="1"/>
  <c r="AI7" i="10"/>
  <c r="BC7" i="10"/>
  <c r="BD7" i="10" s="1"/>
  <c r="G17" i="21"/>
  <c r="H17" i="21" s="1"/>
  <c r="F19" i="16"/>
  <c r="G19" i="16" s="1"/>
  <c r="F18" i="17"/>
  <c r="G18" i="17" s="1"/>
  <c r="H17" i="5"/>
  <c r="I17" i="5" s="1"/>
  <c r="AB15" i="22"/>
  <c r="AB15" i="23"/>
  <c r="AA9" i="21"/>
  <c r="AB9" i="21" s="1"/>
  <c r="Z10" i="17"/>
  <c r="AA10" i="17" s="1"/>
  <c r="CP7" i="22"/>
  <c r="AB9" i="5"/>
  <c r="AC9" i="5" s="1"/>
  <c r="Z11" i="16"/>
  <c r="AA11" i="16" s="1"/>
  <c r="CP7" i="23"/>
  <c r="O6" i="23"/>
  <c r="S6" i="23" s="1"/>
  <c r="V6" i="23" s="1"/>
  <c r="X6" i="23" s="1"/>
  <c r="BN27" i="23"/>
  <c r="BP27" i="23" s="1"/>
  <c r="Z29" i="23"/>
  <c r="AD29" i="23" s="1"/>
  <c r="AG29" i="23" s="1"/>
  <c r="AH29" i="23" s="1"/>
  <c r="AH27" i="22"/>
  <c r="AI35" i="22"/>
  <c r="CW13" i="22"/>
  <c r="BG26" i="22"/>
  <c r="BK26" i="22" s="1"/>
  <c r="BN26" i="22" s="1"/>
  <c r="Z10" i="22"/>
  <c r="AD10" i="22" s="1"/>
  <c r="AG10" i="22" s="1"/>
  <c r="AI10" i="22" s="1"/>
  <c r="Z31" i="22"/>
  <c r="AD31" i="22" s="1"/>
  <c r="AG31" i="22" s="1"/>
  <c r="AI31" i="22" s="1"/>
  <c r="AA36" i="21"/>
  <c r="AB36" i="21" s="1"/>
  <c r="Z37" i="17"/>
  <c r="AA37" i="17" s="1"/>
  <c r="CP34" i="22"/>
  <c r="AB36" i="5"/>
  <c r="AC36" i="5" s="1"/>
  <c r="CP34" i="23"/>
  <c r="Z38" i="16"/>
  <c r="AA38" i="16" s="1"/>
  <c r="BC38" i="10"/>
  <c r="BD38" i="10" s="1"/>
  <c r="AI38" i="10"/>
  <c r="N36" i="21"/>
  <c r="O36" i="21" s="1"/>
  <c r="AX34" i="22"/>
  <c r="BB34" i="22" s="1"/>
  <c r="AX34" i="23"/>
  <c r="BB34" i="23" s="1"/>
  <c r="O36" i="5"/>
  <c r="P36" i="5" s="1"/>
  <c r="AD40" i="10"/>
  <c r="AX40" i="10"/>
  <c r="AY40" i="10" s="1"/>
  <c r="N16" i="21"/>
  <c r="O16" i="21" s="1"/>
  <c r="M17" i="17"/>
  <c r="N17" i="17" s="1"/>
  <c r="M18" i="16"/>
  <c r="N18" i="16" s="1"/>
  <c r="AX14" i="22"/>
  <c r="BB14" i="22" s="1"/>
  <c r="AX14" i="23"/>
  <c r="BB14" i="23" s="1"/>
  <c r="O16" i="5"/>
  <c r="P16" i="5" s="1"/>
  <c r="AA7" i="21"/>
  <c r="AB7" i="21" s="1"/>
  <c r="Z9" i="16"/>
  <c r="AA9" i="16" s="1"/>
  <c r="Z8" i="17"/>
  <c r="AA8" i="17" s="1"/>
  <c r="AB7" i="5"/>
  <c r="AC7" i="5" s="1"/>
  <c r="AA28" i="21"/>
  <c r="AB28" i="21" s="1"/>
  <c r="Z29" i="17"/>
  <c r="AA29" i="17" s="1"/>
  <c r="Z30" i="16"/>
  <c r="AA30" i="16" s="1"/>
  <c r="CP26" i="22"/>
  <c r="CP26" i="23"/>
  <c r="AB28" i="5"/>
  <c r="AC28" i="5" s="1"/>
  <c r="X10" i="21"/>
  <c r="Y10" i="21" s="1"/>
  <c r="W11" i="17"/>
  <c r="X11" i="17" s="1"/>
  <c r="W12" i="16"/>
  <c r="X12" i="16" s="1"/>
  <c r="CE8" i="23"/>
  <c r="CE8" i="22"/>
  <c r="Y10" i="5"/>
  <c r="Z10" i="5" s="1"/>
  <c r="AA13" i="21"/>
  <c r="AB13" i="21" s="1"/>
  <c r="Z14" i="17"/>
  <c r="AA14" i="17" s="1"/>
  <c r="Z15" i="16"/>
  <c r="AA15" i="16" s="1"/>
  <c r="CP11" i="23"/>
  <c r="AB13" i="5"/>
  <c r="AC13" i="5" s="1"/>
  <c r="CP11" i="22"/>
  <c r="D22" i="21"/>
  <c r="E22" i="21" s="1"/>
  <c r="C24" i="16"/>
  <c r="D24" i="16" s="1"/>
  <c r="C23" i="17"/>
  <c r="D23" i="17" s="1"/>
  <c r="E22" i="5"/>
  <c r="F22" i="5" s="1"/>
  <c r="Q20" i="23"/>
  <c r="U20" i="23" s="1"/>
  <c r="Q20" i="22"/>
  <c r="U20" i="22" s="1"/>
  <c r="X17" i="21"/>
  <c r="Y17" i="21" s="1"/>
  <c r="W18" i="17"/>
  <c r="X18" i="17" s="1"/>
  <c r="CE15" i="22"/>
  <c r="CI15" i="22" s="1"/>
  <c r="CE15" i="23"/>
  <c r="CI15" i="23" s="1"/>
  <c r="W19" i="16"/>
  <c r="X19" i="16" s="1"/>
  <c r="Y17" i="5"/>
  <c r="Z17" i="5" s="1"/>
  <c r="N94" i="11"/>
  <c r="L102" i="11"/>
  <c r="K102" i="11" s="1"/>
  <c r="O37" i="23"/>
  <c r="S37" i="23" s="1"/>
  <c r="V37" i="23" s="1"/>
  <c r="W37" i="23" s="1"/>
  <c r="D112" i="11"/>
  <c r="D48" i="11" s="1"/>
  <c r="D104" i="11"/>
  <c r="D40" i="11" s="1"/>
  <c r="AZ35" i="10"/>
  <c r="BA35" i="10" s="1"/>
  <c r="CD34" i="23" s="1"/>
  <c r="AE23" i="10"/>
  <c r="AF23" i="10" s="1"/>
  <c r="AW22" i="22" s="1"/>
  <c r="G100" i="11"/>
  <c r="O110" i="11" s="1"/>
  <c r="AV28" i="23"/>
  <c r="AZ28" i="23" s="1"/>
  <c r="BC28" i="23" s="1"/>
  <c r="BE28" i="23" s="1"/>
  <c r="G108" i="11"/>
  <c r="AE19" i="10"/>
  <c r="AF19" i="10" s="1"/>
  <c r="AW18" i="23" s="1"/>
  <c r="AZ23" i="10"/>
  <c r="BA23" i="10" s="1"/>
  <c r="CD22" i="22" s="1"/>
  <c r="M99" i="11"/>
  <c r="M111" i="11"/>
  <c r="D99" i="11"/>
  <c r="D35" i="11" s="1"/>
  <c r="G85" i="11"/>
  <c r="O95" i="11" s="1"/>
  <c r="N95" i="11" s="1"/>
  <c r="N93" i="11"/>
  <c r="D110" i="11"/>
  <c r="D46" i="11" s="1"/>
  <c r="AV37" i="23"/>
  <c r="AZ37" i="23" s="1"/>
  <c r="BC37" i="23" s="1"/>
  <c r="O28" i="23"/>
  <c r="S28" i="23" s="1"/>
  <c r="V28" i="23" s="1"/>
  <c r="W28" i="23" s="1"/>
  <c r="CC28" i="23"/>
  <c r="CG28" i="23" s="1"/>
  <c r="CJ28" i="23" s="1"/>
  <c r="CL28" i="23" s="1"/>
  <c r="O6" i="22"/>
  <c r="S6" i="22" s="1"/>
  <c r="V6" i="22" s="1"/>
  <c r="W6" i="22" s="1"/>
  <c r="O23" i="22"/>
  <c r="S23" i="22" s="1"/>
  <c r="V23" i="22" s="1"/>
  <c r="X23" i="22" s="1"/>
  <c r="M92" i="11"/>
  <c r="G96" i="11"/>
  <c r="O106" i="11" s="1"/>
  <c r="AW37" i="22"/>
  <c r="CD29" i="23"/>
  <c r="CD29" i="22"/>
  <c r="CH37" i="23"/>
  <c r="O27" i="22"/>
  <c r="S27" i="22" s="1"/>
  <c r="V27" i="22" s="1"/>
  <c r="X27" i="22" s="1"/>
  <c r="BA16" i="23"/>
  <c r="G94" i="11"/>
  <c r="O104" i="11" s="1"/>
  <c r="M107" i="11"/>
  <c r="D100" i="11"/>
  <c r="D36" i="11" s="1"/>
  <c r="P110" i="11"/>
  <c r="L109" i="11"/>
  <c r="K109" i="11" s="1"/>
  <c r="N103" i="11"/>
  <c r="D97" i="11"/>
  <c r="D33" i="11" s="1"/>
  <c r="P107" i="11"/>
  <c r="CD6" i="23"/>
  <c r="CD6" i="22"/>
  <c r="CD18" i="23"/>
  <c r="CD18" i="22"/>
  <c r="AW27" i="23"/>
  <c r="AZ37" i="10"/>
  <c r="BA37" i="10" s="1"/>
  <c r="I37" i="10"/>
  <c r="J37" i="10" s="1"/>
  <c r="AE37" i="10"/>
  <c r="AF37" i="10" s="1"/>
  <c r="P39" i="23"/>
  <c r="P39" i="22"/>
  <c r="CD38" i="23"/>
  <c r="CD38" i="22"/>
  <c r="CD33" i="23"/>
  <c r="CD33" i="22"/>
  <c r="O20" i="22"/>
  <c r="S20" i="22" s="1"/>
  <c r="V20" i="22" s="1"/>
  <c r="P104" i="11"/>
  <c r="D94" i="11"/>
  <c r="D30" i="11" s="1"/>
  <c r="P14" i="23"/>
  <c r="P14" i="22"/>
  <c r="P8" i="23"/>
  <c r="CD27" i="22"/>
  <c r="CD27" i="23"/>
  <c r="CD7" i="22"/>
  <c r="CD7" i="23"/>
  <c r="AW34" i="22"/>
  <c r="AW34" i="23"/>
  <c r="M108" i="11"/>
  <c r="P22" i="22"/>
  <c r="P22" i="23"/>
  <c r="AZ14" i="10"/>
  <c r="BA14" i="10" s="1"/>
  <c r="I14" i="10"/>
  <c r="J14" i="10" s="1"/>
  <c r="AE14" i="10"/>
  <c r="AF14" i="10" s="1"/>
  <c r="G95" i="11"/>
  <c r="O105" i="11" s="1"/>
  <c r="AW14" i="22"/>
  <c r="AW14" i="23"/>
  <c r="G92" i="11"/>
  <c r="O102" i="11" s="1"/>
  <c r="AW8" i="22"/>
  <c r="AW8" i="23"/>
  <c r="CD20" i="23"/>
  <c r="CD20" i="22"/>
  <c r="L112" i="11"/>
  <c r="K112" i="11" s="1"/>
  <c r="D87" i="11"/>
  <c r="D23" i="11" s="1"/>
  <c r="P97" i="11"/>
  <c r="N97" i="11" s="1"/>
  <c r="D108" i="11"/>
  <c r="D44" i="11" s="1"/>
  <c r="D105" i="11"/>
  <c r="D41" i="11" s="1"/>
  <c r="I22" i="10"/>
  <c r="J22" i="10" s="1"/>
  <c r="AE22" i="10"/>
  <c r="AF22" i="10" s="1"/>
  <c r="AZ22" i="10"/>
  <c r="BA22" i="10" s="1"/>
  <c r="AZ31" i="10"/>
  <c r="BA31" i="10" s="1"/>
  <c r="AE31" i="10"/>
  <c r="AF31" i="10" s="1"/>
  <c r="I31" i="10"/>
  <c r="J31" i="10" s="1"/>
  <c r="I20" i="10"/>
  <c r="J20" i="10" s="1"/>
  <c r="AE20" i="10"/>
  <c r="AF20" i="10" s="1"/>
  <c r="AZ20" i="10"/>
  <c r="BA20" i="10" s="1"/>
  <c r="P98" i="11"/>
  <c r="D88" i="11"/>
  <c r="D24" i="11" s="1"/>
  <c r="I12" i="10"/>
  <c r="J12" i="10" s="1"/>
  <c r="AZ12" i="10"/>
  <c r="BA12" i="10" s="1"/>
  <c r="AE12" i="10"/>
  <c r="AF12" i="10" s="1"/>
  <c r="CD23" i="23"/>
  <c r="CD23" i="22"/>
  <c r="CD34" i="22"/>
  <c r="CD39" i="22"/>
  <c r="CD39" i="23"/>
  <c r="G115" i="11"/>
  <c r="P33" i="23"/>
  <c r="P105" i="11"/>
  <c r="D95" i="11"/>
  <c r="D31" i="11" s="1"/>
  <c r="I25" i="10"/>
  <c r="J25" i="10" s="1"/>
  <c r="AZ25" i="10"/>
  <c r="BA25" i="10" s="1"/>
  <c r="AE25" i="10"/>
  <c r="AF25" i="10" s="1"/>
  <c r="AE32" i="10"/>
  <c r="AF32" i="10" s="1"/>
  <c r="I32" i="10"/>
  <c r="J32" i="10" s="1"/>
  <c r="AZ32" i="10"/>
  <c r="BA32" i="10" s="1"/>
  <c r="P7" i="22"/>
  <c r="P7" i="23"/>
  <c r="CD22" i="23"/>
  <c r="G97" i="11"/>
  <c r="O107" i="11" s="1"/>
  <c r="AZ16" i="10"/>
  <c r="BA16" i="10" s="1"/>
  <c r="AE16" i="10"/>
  <c r="AF16" i="10" s="1"/>
  <c r="I16" i="10"/>
  <c r="J16" i="10" s="1"/>
  <c r="AW20" i="22"/>
  <c r="AW20" i="23"/>
  <c r="M101" i="11"/>
  <c r="AW23" i="22"/>
  <c r="AW23" i="23"/>
  <c r="I10" i="10"/>
  <c r="J10" i="10" s="1"/>
  <c r="AZ10" i="10"/>
  <c r="BA10" i="10" s="1"/>
  <c r="AE10" i="10"/>
  <c r="AF10" i="10" s="1"/>
  <c r="AW39" i="23"/>
  <c r="AW39" i="22"/>
  <c r="AW38" i="22"/>
  <c r="AW38" i="23"/>
  <c r="O29" i="23"/>
  <c r="S29" i="23" s="1"/>
  <c r="V29" i="23" s="1"/>
  <c r="O23" i="23"/>
  <c r="S23" i="23" s="1"/>
  <c r="V23" i="23" s="1"/>
  <c r="X23" i="23" s="1"/>
  <c r="L94" i="11"/>
  <c r="K94" i="11" s="1"/>
  <c r="AW6" i="23"/>
  <c r="AW6" i="22"/>
  <c r="CD16" i="23"/>
  <c r="CD16" i="22"/>
  <c r="P102" i="11"/>
  <c r="D92" i="11"/>
  <c r="D28" i="11" s="1"/>
  <c r="G112" i="11"/>
  <c r="I13" i="10"/>
  <c r="J13" i="10" s="1"/>
  <c r="AE13" i="10"/>
  <c r="AF13" i="10" s="1"/>
  <c r="AZ13" i="10"/>
  <c r="BA13" i="10" s="1"/>
  <c r="I27" i="10"/>
  <c r="J27" i="10" s="1"/>
  <c r="D96" i="11"/>
  <c r="D32" i="11" s="1"/>
  <c r="P106" i="11"/>
  <c r="M113" i="11"/>
  <c r="AW29" i="23"/>
  <c r="P18" i="23"/>
  <c r="P18" i="22"/>
  <c r="P34" i="22"/>
  <c r="P34" i="23"/>
  <c r="P38" i="23"/>
  <c r="P38" i="22"/>
  <c r="BO32" i="22"/>
  <c r="BP24" i="22"/>
  <c r="BN36" i="22"/>
  <c r="BP36" i="22" s="1"/>
  <c r="BZ37" i="22"/>
  <c r="BP13" i="22"/>
  <c r="AI29" i="22"/>
  <c r="AI38" i="22"/>
  <c r="AS38" i="22"/>
  <c r="CV39" i="22"/>
  <c r="CV24" i="22"/>
  <c r="BP29" i="22"/>
  <c r="CV14" i="22"/>
  <c r="BN28" i="22"/>
  <c r="BO28" i="22" s="1"/>
  <c r="AH31" i="22"/>
  <c r="AH39" i="22"/>
  <c r="BP14" i="22"/>
  <c r="AH17" i="22"/>
  <c r="AH36" i="22"/>
  <c r="CV16" i="22"/>
  <c r="CW16" i="22"/>
  <c r="AI32" i="22"/>
  <c r="BO21" i="22"/>
  <c r="CV27" i="22"/>
  <c r="AH37" i="22"/>
  <c r="AI37" i="22"/>
  <c r="BN35" i="22"/>
  <c r="BP35" i="22" s="1"/>
  <c r="AT35" i="22"/>
  <c r="AS35" i="22"/>
  <c r="DG25" i="22"/>
  <c r="DH25" i="22"/>
  <c r="BO7" i="22"/>
  <c r="BP7" i="22"/>
  <c r="AH14" i="22"/>
  <c r="AH25" i="22"/>
  <c r="AI25" i="22"/>
  <c r="AI18" i="22"/>
  <c r="CV12" i="22"/>
  <c r="AI16" i="22"/>
  <c r="CW28" i="22"/>
  <c r="BN39" i="22"/>
  <c r="BP28" i="22"/>
  <c r="BN27" i="22"/>
  <c r="CU38" i="22"/>
  <c r="AG12" i="22"/>
  <c r="AH11" i="22"/>
  <c r="CW19" i="22"/>
  <c r="AH24" i="22"/>
  <c r="AI24" i="22"/>
  <c r="AS6" i="22"/>
  <c r="AT6" i="22"/>
  <c r="CV35" i="23"/>
  <c r="BP28" i="23"/>
  <c r="AH25" i="23"/>
  <c r="AH18" i="23"/>
  <c r="AH16" i="23"/>
  <c r="AH37" i="23"/>
  <c r="AI37" i="23"/>
  <c r="BN36" i="23"/>
  <c r="BP36" i="23" s="1"/>
  <c r="BN21" i="23"/>
  <c r="BP21" i="23" s="1"/>
  <c r="AG33" i="23"/>
  <c r="AI33" i="23" s="1"/>
  <c r="BO27" i="23"/>
  <c r="AG8" i="23"/>
  <c r="AI8" i="23" s="1"/>
  <c r="CU16" i="23"/>
  <c r="BP38" i="23"/>
  <c r="BO38" i="23"/>
  <c r="CW22" i="23"/>
  <c r="CV38" i="23"/>
  <c r="BN13" i="23"/>
  <c r="BP13" i="23" s="1"/>
  <c r="F6" i="23"/>
  <c r="CU25" i="23"/>
  <c r="BN26" i="23"/>
  <c r="AH28" i="23"/>
  <c r="AI28" i="23"/>
  <c r="AG34" i="23"/>
  <c r="AG38" i="23"/>
  <c r="CV24" i="23"/>
  <c r="CW24" i="23"/>
  <c r="CU13" i="23"/>
  <c r="AH36" i="23"/>
  <c r="AI36" i="23"/>
  <c r="AT22" i="23"/>
  <c r="AS22" i="23"/>
  <c r="AH39" i="23"/>
  <c r="AI39" i="23"/>
  <c r="AI10" i="23"/>
  <c r="AH10" i="23"/>
  <c r="AH33" i="23"/>
  <c r="CW19" i="23"/>
  <c r="CV19" i="23"/>
  <c r="CW39" i="23"/>
  <c r="CV39" i="23"/>
  <c r="AI32" i="23"/>
  <c r="AH32" i="23"/>
  <c r="BP33" i="23"/>
  <c r="BO33" i="23"/>
  <c r="CW12" i="23"/>
  <c r="CV12" i="23"/>
  <c r="AH22" i="23"/>
  <c r="AI22" i="23"/>
  <c r="AI30" i="23"/>
  <c r="AH30" i="23"/>
  <c r="BO7" i="23"/>
  <c r="CU14" i="23"/>
  <c r="BP29" i="23"/>
  <c r="BO29" i="23"/>
  <c r="CW33" i="23"/>
  <c r="CV33" i="23"/>
  <c r="AI27" i="23"/>
  <c r="AH27" i="23"/>
  <c r="BP25" i="23"/>
  <c r="BO25" i="23"/>
  <c r="BO35" i="23"/>
  <c r="BP24" i="23"/>
  <c r="BO24" i="23"/>
  <c r="AH13" i="23"/>
  <c r="AI13" i="23"/>
  <c r="BO12" i="23"/>
  <c r="BP12" i="23"/>
  <c r="AI14" i="23"/>
  <c r="AH14" i="23"/>
  <c r="AI19" i="23"/>
  <c r="AH19" i="23"/>
  <c r="BN39" i="23"/>
  <c r="AH35" i="23"/>
  <c r="AI35" i="23"/>
  <c r="AI31" i="23"/>
  <c r="AH31" i="23"/>
  <c r="AG24" i="23"/>
  <c r="B61" i="27" l="1"/>
  <c r="D60" i="27"/>
  <c r="L60" i="27"/>
  <c r="U60" i="27"/>
  <c r="T60" i="27"/>
  <c r="R60" i="27"/>
  <c r="M95" i="6"/>
  <c r="T8" i="21"/>
  <c r="U8" i="21" s="1"/>
  <c r="AQ36" i="23"/>
  <c r="AE35" i="5"/>
  <c r="AF35" i="5" s="1"/>
  <c r="AT7" i="23"/>
  <c r="DA17" i="23"/>
  <c r="CY17" i="23" s="1"/>
  <c r="DC17" i="23" s="1"/>
  <c r="DG6" i="23"/>
  <c r="DA16" i="23"/>
  <c r="DE16" i="23" s="1"/>
  <c r="DA33" i="22"/>
  <c r="CY33" i="22" s="1"/>
  <c r="DC33" i="22" s="1"/>
  <c r="AC36" i="17"/>
  <c r="AD36" i="17" s="1"/>
  <c r="AD40" i="21"/>
  <c r="AE40" i="21" s="1"/>
  <c r="AC42" i="16"/>
  <c r="AD42" i="16" s="1"/>
  <c r="AC20" i="17"/>
  <c r="AD20" i="17" s="1"/>
  <c r="AE36" i="5"/>
  <c r="AF36" i="5" s="1"/>
  <c r="AK15" i="22"/>
  <c r="AO15" i="22" s="1"/>
  <c r="AR15" i="22" s="1"/>
  <c r="AT15" i="22" s="1"/>
  <c r="AS21" i="22"/>
  <c r="BR8" i="22"/>
  <c r="BV8" i="22" s="1"/>
  <c r="BY8" i="22" s="1"/>
  <c r="CA8" i="22" s="1"/>
  <c r="AE18" i="5"/>
  <c r="AF18" i="5" s="1"/>
  <c r="CA38" i="23"/>
  <c r="DA33" i="23"/>
  <c r="DE33" i="23" s="1"/>
  <c r="AC37" i="16"/>
  <c r="AD37" i="16" s="1"/>
  <c r="BZ7" i="22"/>
  <c r="BZ34" i="22"/>
  <c r="AS36" i="22"/>
  <c r="BR15" i="22"/>
  <c r="BV15" i="22" s="1"/>
  <c r="BY15" i="22" s="1"/>
  <c r="BZ15" i="22" s="1"/>
  <c r="T28" i="21"/>
  <c r="U28" i="21" s="1"/>
  <c r="AK25" i="22"/>
  <c r="AO25" i="22" s="1"/>
  <c r="AR25" i="22" s="1"/>
  <c r="AS25" i="22" s="1"/>
  <c r="S24" i="17"/>
  <c r="T24" i="17" s="1"/>
  <c r="AK37" i="22"/>
  <c r="AO37" i="22" s="1"/>
  <c r="AR37" i="22" s="1"/>
  <c r="AS37" i="22" s="1"/>
  <c r="T23" i="21"/>
  <c r="U23" i="21" s="1"/>
  <c r="AC38" i="16"/>
  <c r="AD38" i="16" s="1"/>
  <c r="DA34" i="22"/>
  <c r="BT21" i="23"/>
  <c r="BR21" i="23" s="1"/>
  <c r="BV21" i="23" s="1"/>
  <c r="AK32" i="23"/>
  <c r="AO32" i="23" s="1"/>
  <c r="AR32" i="23" s="1"/>
  <c r="AT32" i="23" s="1"/>
  <c r="CY6" i="22"/>
  <c r="DC6" i="22" s="1"/>
  <c r="DF6" i="22" s="1"/>
  <c r="DG6" i="22" s="1"/>
  <c r="DA34" i="23"/>
  <c r="DE34" i="23" s="1"/>
  <c r="CA25" i="22"/>
  <c r="AC26" i="16"/>
  <c r="AD26" i="16" s="1"/>
  <c r="U23" i="5"/>
  <c r="V23" i="5" s="1"/>
  <c r="AC17" i="16"/>
  <c r="AD17" i="16" s="1"/>
  <c r="S39" i="16"/>
  <c r="T39" i="16" s="1"/>
  <c r="BX25" i="23"/>
  <c r="BY25" i="23" s="1"/>
  <c r="BZ25" i="23" s="1"/>
  <c r="BR17" i="22"/>
  <c r="BV17" i="22" s="1"/>
  <c r="BY17" i="22" s="1"/>
  <c r="AC37" i="17"/>
  <c r="AD37" i="17" s="1"/>
  <c r="DA14" i="22"/>
  <c r="DE14" i="22" s="1"/>
  <c r="AS34" i="23"/>
  <c r="BT21" i="22"/>
  <c r="BX21" i="22" s="1"/>
  <c r="AC16" i="17"/>
  <c r="AD16" i="17" s="1"/>
  <c r="S10" i="16"/>
  <c r="T10" i="16" s="1"/>
  <c r="AK20" i="22"/>
  <c r="AO20" i="22" s="1"/>
  <c r="AR20" i="22" s="1"/>
  <c r="DA17" i="22"/>
  <c r="AE19" i="5"/>
  <c r="AF19" i="5" s="1"/>
  <c r="AE9" i="5"/>
  <c r="AF9" i="5" s="1"/>
  <c r="BR31" i="22"/>
  <c r="BV31" i="22" s="1"/>
  <c r="BY31" i="22" s="1"/>
  <c r="CA31" i="22" s="1"/>
  <c r="AK14" i="23"/>
  <c r="AO14" i="23" s="1"/>
  <c r="AR14" i="23" s="1"/>
  <c r="AS14" i="23" s="1"/>
  <c r="AT33" i="23"/>
  <c r="DE17" i="23"/>
  <c r="DF17" i="23" s="1"/>
  <c r="AD9" i="21"/>
  <c r="AE9" i="21" s="1"/>
  <c r="AR36" i="23"/>
  <c r="AS36" i="23" s="1"/>
  <c r="AS34" i="22"/>
  <c r="AS16" i="23"/>
  <c r="DA13" i="23"/>
  <c r="CY13" i="23" s="1"/>
  <c r="DC13" i="23" s="1"/>
  <c r="S17" i="16"/>
  <c r="T17" i="16" s="1"/>
  <c r="U28" i="5"/>
  <c r="V28" i="5" s="1"/>
  <c r="CY8" i="22"/>
  <c r="DC8" i="22" s="1"/>
  <c r="DF8" i="22" s="1"/>
  <c r="DH8" i="22" s="1"/>
  <c r="S29" i="17"/>
  <c r="T29" i="17" s="1"/>
  <c r="BR15" i="23"/>
  <c r="BV15" i="23" s="1"/>
  <c r="BY15" i="23" s="1"/>
  <c r="BZ15" i="23" s="1"/>
  <c r="AQ23" i="22"/>
  <c r="AR23" i="22" s="1"/>
  <c r="BX34" i="23"/>
  <c r="BR34" i="23"/>
  <c r="BV34" i="23" s="1"/>
  <c r="AT18" i="22"/>
  <c r="AC25" i="17"/>
  <c r="AD25" i="17" s="1"/>
  <c r="BR33" i="22"/>
  <c r="BV33" i="22" s="1"/>
  <c r="BY33" i="22" s="1"/>
  <c r="CA33" i="22" s="1"/>
  <c r="BT13" i="23"/>
  <c r="BR13" i="23" s="1"/>
  <c r="BV13" i="23" s="1"/>
  <c r="AC10" i="17"/>
  <c r="AD10" i="17" s="1"/>
  <c r="AS31" i="23"/>
  <c r="AE24" i="5"/>
  <c r="AF24" i="5" s="1"/>
  <c r="AQ37" i="23"/>
  <c r="AR37" i="23" s="1"/>
  <c r="AS37" i="23" s="1"/>
  <c r="DE35" i="23"/>
  <c r="DF35" i="23" s="1"/>
  <c r="BR7" i="23"/>
  <c r="BV7" i="23" s="1"/>
  <c r="BY7" i="23" s="1"/>
  <c r="CA7" i="23" s="1"/>
  <c r="DA13" i="22"/>
  <c r="DE13" i="22" s="1"/>
  <c r="BX6" i="23"/>
  <c r="BY6" i="23" s="1"/>
  <c r="BZ6" i="23" s="1"/>
  <c r="T15" i="21"/>
  <c r="U15" i="21" s="1"/>
  <c r="DA7" i="22"/>
  <c r="DE7" i="22" s="1"/>
  <c r="CY26" i="22"/>
  <c r="DC26" i="22" s="1"/>
  <c r="DF26" i="22" s="1"/>
  <c r="DG26" i="22" s="1"/>
  <c r="S30" i="16"/>
  <c r="T30" i="16" s="1"/>
  <c r="AK21" i="23"/>
  <c r="AO21" i="23" s="1"/>
  <c r="AR21" i="23" s="1"/>
  <c r="AT21" i="23" s="1"/>
  <c r="AC8" i="17"/>
  <c r="AD8" i="17" s="1"/>
  <c r="BZ38" i="22"/>
  <c r="DA22" i="23"/>
  <c r="DE22" i="23" s="1"/>
  <c r="AC11" i="16"/>
  <c r="AD11" i="16" s="1"/>
  <c r="DA30" i="23"/>
  <c r="CY30" i="23" s="1"/>
  <c r="DC30" i="23" s="1"/>
  <c r="BT26" i="22"/>
  <c r="BR26" i="22" s="1"/>
  <c r="BV26" i="22" s="1"/>
  <c r="AR7" i="22"/>
  <c r="AS7" i="22" s="1"/>
  <c r="BR26" i="23"/>
  <c r="BV26" i="23" s="1"/>
  <c r="BY26" i="23" s="1"/>
  <c r="CA26" i="23" s="1"/>
  <c r="AK17" i="23"/>
  <c r="AO17" i="23" s="1"/>
  <c r="AR17" i="23" s="1"/>
  <c r="AK8" i="22"/>
  <c r="AO8" i="22" s="1"/>
  <c r="AR8" i="22" s="1"/>
  <c r="AK28" i="23"/>
  <c r="AO28" i="23" s="1"/>
  <c r="AR28" i="23" s="1"/>
  <c r="AK16" i="22"/>
  <c r="AO16" i="22" s="1"/>
  <c r="AR16" i="22" s="1"/>
  <c r="AS16" i="22" s="1"/>
  <c r="S9" i="17"/>
  <c r="T9" i="17" s="1"/>
  <c r="BT6" i="22"/>
  <c r="U8" i="5"/>
  <c r="V8" i="5" s="1"/>
  <c r="BN19" i="23"/>
  <c r="BP19" i="23" s="1"/>
  <c r="BI8" i="22"/>
  <c r="R10" i="5"/>
  <c r="S10" i="5" s="1"/>
  <c r="P11" i="17"/>
  <c r="Q11" i="17" s="1"/>
  <c r="BI8" i="23"/>
  <c r="Q10" i="21"/>
  <c r="R10" i="21" s="1"/>
  <c r="P12" i="16"/>
  <c r="Q12" i="16" s="1"/>
  <c r="BI18" i="22"/>
  <c r="Q20" i="21"/>
  <c r="R20" i="21" s="1"/>
  <c r="P22" i="16"/>
  <c r="Q22" i="16" s="1"/>
  <c r="P21" i="17"/>
  <c r="Q21" i="17" s="1"/>
  <c r="R20" i="5"/>
  <c r="S20" i="5" s="1"/>
  <c r="BI18" i="23"/>
  <c r="AF21" i="23"/>
  <c r="Z21" i="23"/>
  <c r="AD21" i="23" s="1"/>
  <c r="AG21" i="23" s="1"/>
  <c r="AD18" i="21"/>
  <c r="AE18" i="21" s="1"/>
  <c r="AC19" i="17"/>
  <c r="AD19" i="17" s="1"/>
  <c r="CT29" i="22"/>
  <c r="CN29" i="22"/>
  <c r="CR29" i="22" s="1"/>
  <c r="CU29" i="22" s="1"/>
  <c r="CT29" i="23"/>
  <c r="CN29" i="23"/>
  <c r="CR29" i="23" s="1"/>
  <c r="CT36" i="22"/>
  <c r="CN36" i="22"/>
  <c r="CR36" i="22" s="1"/>
  <c r="CU36" i="22" s="1"/>
  <c r="CT21" i="23"/>
  <c r="CN21" i="23"/>
  <c r="CR21" i="23" s="1"/>
  <c r="AH8" i="23"/>
  <c r="AT6" i="23"/>
  <c r="BN16" i="23"/>
  <c r="CY23" i="22"/>
  <c r="DC23" i="22" s="1"/>
  <c r="DF23" i="22" s="1"/>
  <c r="DG23" i="22" s="1"/>
  <c r="DE23" i="23"/>
  <c r="DF23" i="23" s="1"/>
  <c r="DH23" i="23" s="1"/>
  <c r="BT13" i="22"/>
  <c r="BR13" i="22" s="1"/>
  <c r="BV13" i="22" s="1"/>
  <c r="AE16" i="5"/>
  <c r="AF16" i="5" s="1"/>
  <c r="AK28" i="22"/>
  <c r="AO28" i="22" s="1"/>
  <c r="AR28" i="22" s="1"/>
  <c r="AT28" i="22" s="1"/>
  <c r="AC20" i="16"/>
  <c r="AD20" i="16" s="1"/>
  <c r="AB10" i="5"/>
  <c r="AC10" i="5" s="1"/>
  <c r="Z12" i="16"/>
  <c r="AA12" i="16" s="1"/>
  <c r="CP8" i="22"/>
  <c r="Z11" i="17"/>
  <c r="AA11" i="17" s="1"/>
  <c r="AA10" i="21"/>
  <c r="AB10" i="21" s="1"/>
  <c r="CP8" i="23"/>
  <c r="R22" i="5"/>
  <c r="S22" i="5" s="1"/>
  <c r="BI20" i="23"/>
  <c r="P23" i="17"/>
  <c r="Q23" i="17" s="1"/>
  <c r="Q22" i="21"/>
  <c r="R22" i="21" s="1"/>
  <c r="BI20" i="22"/>
  <c r="P24" i="16"/>
  <c r="Q24" i="16" s="1"/>
  <c r="BI30" i="22"/>
  <c r="R32" i="5"/>
  <c r="S32" i="5" s="1"/>
  <c r="Q32" i="21"/>
  <c r="R32" i="21" s="1"/>
  <c r="BI30" i="23"/>
  <c r="P33" i="17"/>
  <c r="Q33" i="17" s="1"/>
  <c r="P34" i="16"/>
  <c r="Q34" i="16" s="1"/>
  <c r="AF20" i="23"/>
  <c r="Z20" i="23"/>
  <c r="AD20" i="23" s="1"/>
  <c r="AG20" i="23" s="1"/>
  <c r="AI20" i="23" s="1"/>
  <c r="AR31" i="22"/>
  <c r="BN33" i="22"/>
  <c r="CU32" i="22"/>
  <c r="CU35" i="22"/>
  <c r="AG22" i="22"/>
  <c r="AG33" i="22"/>
  <c r="BO13" i="23"/>
  <c r="AI29" i="23"/>
  <c r="AE32" i="5"/>
  <c r="AF32" i="5" s="1"/>
  <c r="AD32" i="21"/>
  <c r="AE32" i="21" s="1"/>
  <c r="AI19" i="22"/>
  <c r="AH19" i="22"/>
  <c r="CP20" i="22"/>
  <c r="AA22" i="21"/>
  <c r="AB22" i="21" s="1"/>
  <c r="AB22" i="5"/>
  <c r="AC22" i="5" s="1"/>
  <c r="Z24" i="16"/>
  <c r="AA24" i="16" s="1"/>
  <c r="Z23" i="17"/>
  <c r="AA23" i="17" s="1"/>
  <c r="CP20" i="23"/>
  <c r="AF21" i="22"/>
  <c r="Z21" i="22"/>
  <c r="AD21" i="22" s="1"/>
  <c r="AG21" i="22" s="1"/>
  <c r="CP30" i="23"/>
  <c r="CP30" i="22"/>
  <c r="AB32" i="5"/>
  <c r="AC32" i="5" s="1"/>
  <c r="AA32" i="21"/>
  <c r="AB32" i="21" s="1"/>
  <c r="Z33" i="17"/>
  <c r="AA33" i="17" s="1"/>
  <c r="Z34" i="16"/>
  <c r="AA34" i="16" s="1"/>
  <c r="AS20" i="23"/>
  <c r="AT20" i="23"/>
  <c r="AQ25" i="23"/>
  <c r="AK25" i="23"/>
  <c r="AO25" i="23" s="1"/>
  <c r="BO12" i="22"/>
  <c r="BP12" i="22"/>
  <c r="BZ33" i="22"/>
  <c r="BP16" i="22"/>
  <c r="AS30" i="22"/>
  <c r="AG7" i="22"/>
  <c r="AI7" i="22" s="1"/>
  <c r="AK14" i="22"/>
  <c r="AO14" i="22" s="1"/>
  <c r="AR14" i="22" s="1"/>
  <c r="AS14" i="22" s="1"/>
  <c r="U15" i="5"/>
  <c r="V15" i="5" s="1"/>
  <c r="AD16" i="21"/>
  <c r="AE16" i="21" s="1"/>
  <c r="DA30" i="22"/>
  <c r="DE30" i="22" s="1"/>
  <c r="AC33" i="17"/>
  <c r="AD33" i="17" s="1"/>
  <c r="CT32" i="23"/>
  <c r="CN32" i="23"/>
  <c r="CR32" i="23" s="1"/>
  <c r="CU32" i="23" s="1"/>
  <c r="Z22" i="16"/>
  <c r="AA22" i="16" s="1"/>
  <c r="CP18" i="23"/>
  <c r="AA20" i="21"/>
  <c r="AB20" i="21" s="1"/>
  <c r="Z21" i="17"/>
  <c r="AA21" i="17" s="1"/>
  <c r="AB20" i="5"/>
  <c r="AC20" i="5" s="1"/>
  <c r="CP18" i="22"/>
  <c r="AF20" i="22"/>
  <c r="Z20" i="22"/>
  <c r="AD20" i="22" s="1"/>
  <c r="AG20" i="22" s="1"/>
  <c r="AG8" i="22"/>
  <c r="AG34" i="22"/>
  <c r="BN32" i="23"/>
  <c r="CN36" i="23"/>
  <c r="CR36" i="23" s="1"/>
  <c r="CT36" i="23"/>
  <c r="AQ17" i="22"/>
  <c r="AK17" i="22"/>
  <c r="AO17" i="22" s="1"/>
  <c r="BM19" i="22"/>
  <c r="BG19" i="22"/>
  <c r="BK19" i="22" s="1"/>
  <c r="BN19" i="22" s="1"/>
  <c r="CT21" i="22"/>
  <c r="CN21" i="22"/>
  <c r="CR21" i="22" s="1"/>
  <c r="CU21" i="22" s="1"/>
  <c r="S24" i="16"/>
  <c r="T24" i="16" s="1"/>
  <c r="T22" i="21"/>
  <c r="U22" i="21" s="1"/>
  <c r="BT20" i="23"/>
  <c r="U22" i="5"/>
  <c r="V22" i="5" s="1"/>
  <c r="S23" i="17"/>
  <c r="T23" i="17" s="1"/>
  <c r="BT20" i="22"/>
  <c r="AQ32" i="22"/>
  <c r="AK32" i="22"/>
  <c r="AO32" i="22" s="1"/>
  <c r="AQ23" i="23"/>
  <c r="AK23" i="23"/>
  <c r="AO23" i="23" s="1"/>
  <c r="O21" i="5"/>
  <c r="P21" i="5" s="1"/>
  <c r="M23" i="16"/>
  <c r="N23" i="16" s="1"/>
  <c r="AX19" i="22"/>
  <c r="BB19" i="22" s="1"/>
  <c r="N21" i="21"/>
  <c r="O21" i="21" s="1"/>
  <c r="AX19" i="23"/>
  <c r="BB19" i="23" s="1"/>
  <c r="M22" i="17"/>
  <c r="N22" i="17" s="1"/>
  <c r="AQ8" i="23"/>
  <c r="AK8" i="23"/>
  <c r="AO8" i="23" s="1"/>
  <c r="DH15" i="23"/>
  <c r="DA20" i="22"/>
  <c r="DA20" i="23"/>
  <c r="AE22" i="5"/>
  <c r="AF22" i="5" s="1"/>
  <c r="AD22" i="21"/>
  <c r="AE22" i="21" s="1"/>
  <c r="AC24" i="16"/>
  <c r="AD24" i="16" s="1"/>
  <c r="AC23" i="17"/>
  <c r="AD23" i="17" s="1"/>
  <c r="U29" i="22"/>
  <c r="O29" i="22"/>
  <c r="S29" i="22" s="1"/>
  <c r="V29" i="22" s="1"/>
  <c r="S38" i="17"/>
  <c r="T38" i="17" s="1"/>
  <c r="T37" i="21"/>
  <c r="U37" i="21" s="1"/>
  <c r="CE19" i="22"/>
  <c r="CI19" i="22" s="1"/>
  <c r="CE19" i="23"/>
  <c r="CI19" i="23" s="1"/>
  <c r="Y21" i="5"/>
  <c r="Z21" i="5" s="1"/>
  <c r="X21" i="21"/>
  <c r="Y21" i="21" s="1"/>
  <c r="W22" i="17"/>
  <c r="X22" i="17" s="1"/>
  <c r="W23" i="16"/>
  <c r="X23" i="16" s="1"/>
  <c r="W32" i="17"/>
  <c r="X32" i="17" s="1"/>
  <c r="CE29" i="23"/>
  <c r="CI29" i="23" s="1"/>
  <c r="W33" i="16"/>
  <c r="X33" i="16" s="1"/>
  <c r="CE29" i="22"/>
  <c r="CI29" i="22" s="1"/>
  <c r="Y31" i="5"/>
  <c r="Z31" i="5" s="1"/>
  <c r="X31" i="21"/>
  <c r="Y31" i="21" s="1"/>
  <c r="W28" i="22"/>
  <c r="CC28" i="22"/>
  <c r="CG28" i="22" s="1"/>
  <c r="CJ28" i="22" s="1"/>
  <c r="CK28" i="22" s="1"/>
  <c r="AC18" i="16"/>
  <c r="AD18" i="16" s="1"/>
  <c r="U37" i="5"/>
  <c r="V37" i="5" s="1"/>
  <c r="AX13" i="23"/>
  <c r="BB13" i="23" s="1"/>
  <c r="AX13" i="22"/>
  <c r="BB13" i="22" s="1"/>
  <c r="N15" i="21"/>
  <c r="O15" i="21" s="1"/>
  <c r="O15" i="5"/>
  <c r="P15" i="5" s="1"/>
  <c r="M17" i="16"/>
  <c r="N17" i="16" s="1"/>
  <c r="M16" i="17"/>
  <c r="N16" i="17" s="1"/>
  <c r="AC9" i="16"/>
  <c r="AD9" i="16" s="1"/>
  <c r="AE7" i="5"/>
  <c r="AF7" i="5" s="1"/>
  <c r="AX29" i="22"/>
  <c r="BB29" i="22" s="1"/>
  <c r="M33" i="16"/>
  <c r="N33" i="16" s="1"/>
  <c r="M32" i="17"/>
  <c r="N32" i="17" s="1"/>
  <c r="O31" i="5"/>
  <c r="P31" i="5" s="1"/>
  <c r="AX29" i="23"/>
  <c r="BB29" i="23" s="1"/>
  <c r="N31" i="21"/>
  <c r="O31" i="21" s="1"/>
  <c r="AQ26" i="22"/>
  <c r="AK26" i="22"/>
  <c r="AO26" i="22" s="1"/>
  <c r="AV16" i="23"/>
  <c r="AZ16" i="23" s="1"/>
  <c r="BC16" i="23" s="1"/>
  <c r="BE16" i="23" s="1"/>
  <c r="DH25" i="23"/>
  <c r="BD28" i="23"/>
  <c r="O27" i="23"/>
  <c r="S27" i="23" s="1"/>
  <c r="V27" i="23" s="1"/>
  <c r="M38" i="16"/>
  <c r="N38" i="16" s="1"/>
  <c r="DA22" i="22"/>
  <c r="DE22" i="22" s="1"/>
  <c r="BR31" i="23"/>
  <c r="BV31" i="23" s="1"/>
  <c r="BY31" i="23" s="1"/>
  <c r="AC17" i="17"/>
  <c r="AD17" i="17" s="1"/>
  <c r="BT35" i="22"/>
  <c r="BX35" i="22" s="1"/>
  <c r="AR13" i="22"/>
  <c r="AS13" i="22" s="1"/>
  <c r="BY29" i="23"/>
  <c r="CA29" i="23" s="1"/>
  <c r="W16" i="17"/>
  <c r="X16" i="17" s="1"/>
  <c r="CE13" i="23"/>
  <c r="CI13" i="23" s="1"/>
  <c r="X15" i="21"/>
  <c r="Y15" i="21" s="1"/>
  <c r="W17" i="16"/>
  <c r="X17" i="16" s="1"/>
  <c r="CE13" i="22"/>
  <c r="CI13" i="22" s="1"/>
  <c r="Y15" i="5"/>
  <c r="Z15" i="5" s="1"/>
  <c r="AQ26" i="23"/>
  <c r="AK26" i="23"/>
  <c r="AO26" i="23" s="1"/>
  <c r="BC16" i="22"/>
  <c r="M108" i="2"/>
  <c r="M106" i="2"/>
  <c r="E111" i="2"/>
  <c r="E46" i="2" s="1"/>
  <c r="E117" i="2"/>
  <c r="E52" i="2" s="1"/>
  <c r="E113" i="2"/>
  <c r="E48" i="2" s="1"/>
  <c r="E108" i="2"/>
  <c r="E43" i="2" s="1"/>
  <c r="M99" i="2"/>
  <c r="H111" i="2"/>
  <c r="E109" i="2"/>
  <c r="E44" i="2" s="1"/>
  <c r="M101" i="2"/>
  <c r="M112" i="2"/>
  <c r="BR30" i="22"/>
  <c r="BV30" i="22" s="1"/>
  <c r="BY30" i="22" s="1"/>
  <c r="AS15" i="22"/>
  <c r="DH15" i="22"/>
  <c r="AR18" i="23"/>
  <c r="AS18" i="23" s="1"/>
  <c r="BR30" i="23"/>
  <c r="BV30" i="23" s="1"/>
  <c r="BX30" i="23"/>
  <c r="AT38" i="23"/>
  <c r="BZ29" i="22"/>
  <c r="AR22" i="22"/>
  <c r="DE38" i="23"/>
  <c r="DF38" i="23" s="1"/>
  <c r="BX8" i="23"/>
  <c r="BR8" i="23"/>
  <c r="BV8" i="23" s="1"/>
  <c r="DE38" i="22"/>
  <c r="CY38" i="22"/>
  <c r="DC38" i="22" s="1"/>
  <c r="BX35" i="23"/>
  <c r="BR35" i="23"/>
  <c r="BV35" i="23" s="1"/>
  <c r="AQ29" i="22"/>
  <c r="AK29" i="22"/>
  <c r="AO29" i="22" s="1"/>
  <c r="DE8" i="23"/>
  <c r="CY8" i="23"/>
  <c r="DC8" i="23" s="1"/>
  <c r="DE31" i="23"/>
  <c r="CY31" i="23"/>
  <c r="DC31" i="23" s="1"/>
  <c r="DE26" i="23"/>
  <c r="CY26" i="23"/>
  <c r="DC26" i="23" s="1"/>
  <c r="DE36" i="23"/>
  <c r="CY36" i="23"/>
  <c r="DC36" i="23" s="1"/>
  <c r="CY16" i="23"/>
  <c r="DC16" i="23" s="1"/>
  <c r="AC42" i="17"/>
  <c r="AD42" i="17" s="1"/>
  <c r="AE41" i="5"/>
  <c r="AF41" i="5" s="1"/>
  <c r="DA39" i="23"/>
  <c r="DA39" i="22"/>
  <c r="AD41" i="21"/>
  <c r="AE41" i="21" s="1"/>
  <c r="AC43" i="16"/>
  <c r="AD43" i="16" s="1"/>
  <c r="CY37" i="23"/>
  <c r="DC37" i="23" s="1"/>
  <c r="DE37" i="23"/>
  <c r="AQ27" i="23"/>
  <c r="AK27" i="23"/>
  <c r="AO27" i="23" s="1"/>
  <c r="BX36" i="23"/>
  <c r="BR36" i="23"/>
  <c r="BV36" i="23" s="1"/>
  <c r="AQ39" i="23"/>
  <c r="AK39" i="23"/>
  <c r="AO39" i="23" s="1"/>
  <c r="BX23" i="22"/>
  <c r="BR23" i="22"/>
  <c r="BV23" i="22" s="1"/>
  <c r="DE35" i="22"/>
  <c r="CY35" i="22"/>
  <c r="DC35" i="22" s="1"/>
  <c r="BT39" i="22"/>
  <c r="U41" i="5"/>
  <c r="V41" i="5" s="1"/>
  <c r="S42" i="17"/>
  <c r="T42" i="17" s="1"/>
  <c r="S43" i="16"/>
  <c r="T43" i="16" s="1"/>
  <c r="BT39" i="23"/>
  <c r="T41" i="21"/>
  <c r="U41" i="21" s="1"/>
  <c r="DE37" i="22"/>
  <c r="CY37" i="22"/>
  <c r="DC37" i="22" s="1"/>
  <c r="BR33" i="23"/>
  <c r="BV33" i="23" s="1"/>
  <c r="BX33" i="23"/>
  <c r="CY29" i="23"/>
  <c r="DC29" i="23" s="1"/>
  <c r="DE29" i="23"/>
  <c r="DA27" i="22"/>
  <c r="AC31" i="16"/>
  <c r="AD31" i="16" s="1"/>
  <c r="AD29" i="21"/>
  <c r="AE29" i="21" s="1"/>
  <c r="DA27" i="23"/>
  <c r="AC30" i="17"/>
  <c r="AD30" i="17" s="1"/>
  <c r="AE29" i="5"/>
  <c r="AF29" i="5" s="1"/>
  <c r="AT11" i="22"/>
  <c r="AC32" i="16"/>
  <c r="AD32" i="16" s="1"/>
  <c r="DA28" i="23"/>
  <c r="AC31" i="17"/>
  <c r="AD31" i="17" s="1"/>
  <c r="AD30" i="21"/>
  <c r="AE30" i="21" s="1"/>
  <c r="AE30" i="5"/>
  <c r="AF30" i="5" s="1"/>
  <c r="DA28" i="22"/>
  <c r="AQ29" i="23"/>
  <c r="AK29" i="23"/>
  <c r="AO29" i="23" s="1"/>
  <c r="BX23" i="23"/>
  <c r="BR23" i="23"/>
  <c r="BV23" i="23" s="1"/>
  <c r="BX36" i="22"/>
  <c r="BR36" i="22"/>
  <c r="BV36" i="22" s="1"/>
  <c r="DE36" i="22"/>
  <c r="CY36" i="22"/>
  <c r="DC36" i="22" s="1"/>
  <c r="AQ15" i="23"/>
  <c r="AK15" i="23"/>
  <c r="AO15" i="23" s="1"/>
  <c r="AQ27" i="22"/>
  <c r="AK27" i="22"/>
  <c r="AO27" i="22" s="1"/>
  <c r="BX16" i="23"/>
  <c r="BR16" i="23"/>
  <c r="BV16" i="23" s="1"/>
  <c r="BZ31" i="22"/>
  <c r="U29" i="5"/>
  <c r="V29" i="5" s="1"/>
  <c r="S31" i="16"/>
  <c r="T31" i="16" s="1"/>
  <c r="BT27" i="23"/>
  <c r="T29" i="21"/>
  <c r="U29" i="21" s="1"/>
  <c r="BT27" i="22"/>
  <c r="S30" i="17"/>
  <c r="T30" i="17" s="1"/>
  <c r="BX17" i="23"/>
  <c r="BR17" i="23"/>
  <c r="BV17" i="23" s="1"/>
  <c r="BT28" i="22"/>
  <c r="S31" i="17"/>
  <c r="T31" i="17" s="1"/>
  <c r="U30" i="5"/>
  <c r="V30" i="5" s="1"/>
  <c r="T30" i="21"/>
  <c r="U30" i="21" s="1"/>
  <c r="S32" i="16"/>
  <c r="T32" i="16" s="1"/>
  <c r="BT28" i="23"/>
  <c r="DE31" i="22"/>
  <c r="CY31" i="22"/>
  <c r="DC31" i="22" s="1"/>
  <c r="BY37" i="23"/>
  <c r="AQ13" i="23"/>
  <c r="AK13" i="23"/>
  <c r="AO13" i="23" s="1"/>
  <c r="DE16" i="22"/>
  <c r="CY16" i="22"/>
  <c r="DC16" i="22" s="1"/>
  <c r="BX16" i="22"/>
  <c r="BR16" i="22"/>
  <c r="BV16" i="22" s="1"/>
  <c r="DE29" i="22"/>
  <c r="CY29" i="22"/>
  <c r="DC29" i="22" s="1"/>
  <c r="CY21" i="23"/>
  <c r="DC21" i="23" s="1"/>
  <c r="DE21" i="23"/>
  <c r="AS12" i="23"/>
  <c r="AT12" i="23"/>
  <c r="CY18" i="23"/>
  <c r="DC18" i="23" s="1"/>
  <c r="DE18" i="23"/>
  <c r="AQ9" i="22"/>
  <c r="AK9" i="22"/>
  <c r="AO9" i="22" s="1"/>
  <c r="BX32" i="23"/>
  <c r="BR32" i="23"/>
  <c r="BV32" i="23" s="1"/>
  <c r="BX22" i="22"/>
  <c r="BR22" i="22"/>
  <c r="BV22" i="22" s="1"/>
  <c r="AQ19" i="23"/>
  <c r="AK19" i="23"/>
  <c r="AO19" i="23" s="1"/>
  <c r="AD26" i="21"/>
  <c r="AE26" i="21" s="1"/>
  <c r="DA24" i="23"/>
  <c r="AE26" i="5"/>
  <c r="AF26" i="5" s="1"/>
  <c r="AC28" i="16"/>
  <c r="AD28" i="16" s="1"/>
  <c r="DA24" i="22"/>
  <c r="AC27" i="17"/>
  <c r="AD27" i="17" s="1"/>
  <c r="BR14" i="23"/>
  <c r="BV14" i="23" s="1"/>
  <c r="BX14" i="23"/>
  <c r="T11" i="21"/>
  <c r="U11" i="21" s="1"/>
  <c r="U11" i="5"/>
  <c r="V11" i="5" s="1"/>
  <c r="S12" i="17"/>
  <c r="T12" i="17" s="1"/>
  <c r="S13" i="16"/>
  <c r="T13" i="16" s="1"/>
  <c r="BT9" i="23"/>
  <c r="BT9" i="22"/>
  <c r="T14" i="21"/>
  <c r="U14" i="21" s="1"/>
  <c r="BT12" i="23"/>
  <c r="S16" i="16"/>
  <c r="T16" i="16" s="1"/>
  <c r="S15" i="17"/>
  <c r="T15" i="17" s="1"/>
  <c r="U14" i="5"/>
  <c r="V14" i="5" s="1"/>
  <c r="BT12" i="22"/>
  <c r="AQ19" i="22"/>
  <c r="AK19" i="22"/>
  <c r="AO19" i="22" s="1"/>
  <c r="AD21" i="21"/>
  <c r="AE21" i="21" s="1"/>
  <c r="AC23" i="16"/>
  <c r="AD23" i="16" s="1"/>
  <c r="DA19" i="22"/>
  <c r="DA19" i="23"/>
  <c r="AC22" i="17"/>
  <c r="AD22" i="17" s="1"/>
  <c r="AE21" i="5"/>
  <c r="AF21" i="5" s="1"/>
  <c r="T26" i="21"/>
  <c r="U26" i="21" s="1"/>
  <c r="S27" i="17"/>
  <c r="T27" i="17" s="1"/>
  <c r="S28" i="16"/>
  <c r="T28" i="16" s="1"/>
  <c r="U26" i="5"/>
  <c r="V26" i="5" s="1"/>
  <c r="BT24" i="23"/>
  <c r="BT24" i="22"/>
  <c r="AS30" i="23"/>
  <c r="AS39" i="22"/>
  <c r="AT12" i="22"/>
  <c r="CY22" i="23"/>
  <c r="DC22" i="23" s="1"/>
  <c r="BX32" i="22"/>
  <c r="BR32" i="22"/>
  <c r="BV32" i="22" s="1"/>
  <c r="AR11" i="23"/>
  <c r="AD14" i="21"/>
  <c r="AE14" i="21" s="1"/>
  <c r="DA12" i="22"/>
  <c r="AC16" i="16"/>
  <c r="AD16" i="16" s="1"/>
  <c r="AC15" i="17"/>
  <c r="AD15" i="17" s="1"/>
  <c r="AE14" i="5"/>
  <c r="AF14" i="5" s="1"/>
  <c r="DA12" i="23"/>
  <c r="BX22" i="23"/>
  <c r="BR22" i="23"/>
  <c r="BV22" i="23" s="1"/>
  <c r="CY14" i="23"/>
  <c r="DC14" i="23" s="1"/>
  <c r="DE14" i="23"/>
  <c r="CY7" i="23"/>
  <c r="DC7" i="23" s="1"/>
  <c r="DE7" i="23"/>
  <c r="T13" i="21"/>
  <c r="U13" i="21" s="1"/>
  <c r="S14" i="17"/>
  <c r="T14" i="17" s="1"/>
  <c r="S15" i="16"/>
  <c r="T15" i="16" s="1"/>
  <c r="BT11" i="22"/>
  <c r="BT11" i="23"/>
  <c r="U13" i="5"/>
  <c r="V13" i="5" s="1"/>
  <c r="AR35" i="23"/>
  <c r="BX18" i="22"/>
  <c r="BR18" i="22"/>
  <c r="BV18" i="22" s="1"/>
  <c r="AD12" i="21"/>
  <c r="AE12" i="21" s="1"/>
  <c r="AC13" i="17"/>
  <c r="AD13" i="17" s="1"/>
  <c r="AC14" i="16"/>
  <c r="AD14" i="16" s="1"/>
  <c r="DA10" i="23"/>
  <c r="AE12" i="5"/>
  <c r="AF12" i="5" s="1"/>
  <c r="DA10" i="22"/>
  <c r="AQ10" i="23"/>
  <c r="AK10" i="23"/>
  <c r="AO10" i="23" s="1"/>
  <c r="AD11" i="21"/>
  <c r="AE11" i="21" s="1"/>
  <c r="AC12" i="17"/>
  <c r="AD12" i="17" s="1"/>
  <c r="DA9" i="23"/>
  <c r="AC13" i="16"/>
  <c r="AD13" i="16" s="1"/>
  <c r="DA9" i="22"/>
  <c r="AE11" i="5"/>
  <c r="AF11" i="5" s="1"/>
  <c r="AQ24" i="22"/>
  <c r="AK24" i="22"/>
  <c r="AO24" i="22" s="1"/>
  <c r="T21" i="21"/>
  <c r="U21" i="21" s="1"/>
  <c r="S22" i="17"/>
  <c r="T22" i="17" s="1"/>
  <c r="U21" i="5"/>
  <c r="V21" i="5" s="1"/>
  <c r="S23" i="16"/>
  <c r="T23" i="16" s="1"/>
  <c r="BT19" i="22"/>
  <c r="BT19" i="23"/>
  <c r="DE21" i="22"/>
  <c r="CY21" i="22"/>
  <c r="DC21" i="22" s="1"/>
  <c r="DE32" i="23"/>
  <c r="CY32" i="23"/>
  <c r="DC32" i="23" s="1"/>
  <c r="T12" i="21"/>
  <c r="U12" i="21" s="1"/>
  <c r="S14" i="16"/>
  <c r="T14" i="16" s="1"/>
  <c r="BT10" i="23"/>
  <c r="S13" i="17"/>
  <c r="T13" i="17" s="1"/>
  <c r="U12" i="5"/>
  <c r="V12" i="5" s="1"/>
  <c r="BT10" i="22"/>
  <c r="BX18" i="23"/>
  <c r="BR18" i="23"/>
  <c r="BV18" i="23" s="1"/>
  <c r="DE32" i="22"/>
  <c r="CY32" i="22"/>
  <c r="DC32" i="22" s="1"/>
  <c r="DE18" i="22"/>
  <c r="CY18" i="22"/>
  <c r="DC18" i="22" s="1"/>
  <c r="AK9" i="23"/>
  <c r="AO9" i="23" s="1"/>
  <c r="AQ9" i="23"/>
  <c r="AQ10" i="22"/>
  <c r="AK10" i="22"/>
  <c r="AO10" i="22" s="1"/>
  <c r="BX14" i="22"/>
  <c r="BR14" i="22"/>
  <c r="BV14" i="22" s="1"/>
  <c r="AK24" i="23"/>
  <c r="AO24" i="23" s="1"/>
  <c r="AQ24" i="23"/>
  <c r="AD13" i="21"/>
  <c r="AE13" i="21" s="1"/>
  <c r="AC15" i="16"/>
  <c r="AD15" i="16" s="1"/>
  <c r="AE13" i="5"/>
  <c r="AF13" i="5" s="1"/>
  <c r="AC14" i="17"/>
  <c r="AD14" i="17" s="1"/>
  <c r="DA11" i="22"/>
  <c r="DA11" i="23"/>
  <c r="M114" i="6"/>
  <c r="E110" i="6"/>
  <c r="E46" i="6" s="1"/>
  <c r="M111" i="6"/>
  <c r="H110" i="6"/>
  <c r="M115" i="6"/>
  <c r="M103" i="6"/>
  <c r="M104" i="6"/>
  <c r="M100" i="6"/>
  <c r="M109" i="6"/>
  <c r="M107" i="6"/>
  <c r="M101" i="6"/>
  <c r="M98" i="6"/>
  <c r="E109" i="6"/>
  <c r="E45" i="6" s="1"/>
  <c r="N98" i="11"/>
  <c r="T37" i="22"/>
  <c r="O37" i="22"/>
  <c r="S37" i="22" s="1"/>
  <c r="V37" i="22" s="1"/>
  <c r="P10" i="22"/>
  <c r="O10" i="22" s="1"/>
  <c r="S10" i="22" s="1"/>
  <c r="CC10" i="23"/>
  <c r="CG10" i="23" s="1"/>
  <c r="CJ10" i="23" s="1"/>
  <c r="CK10" i="23" s="1"/>
  <c r="AW10" i="22"/>
  <c r="W16" i="22"/>
  <c r="AW33" i="22"/>
  <c r="BA33" i="22" s="1"/>
  <c r="AW18" i="22"/>
  <c r="X37" i="23"/>
  <c r="AZ27" i="10"/>
  <c r="BA27" i="10" s="1"/>
  <c r="CD26" i="22" s="1"/>
  <c r="O16" i="23"/>
  <c r="S16" i="23" s="1"/>
  <c r="V16" i="23" s="1"/>
  <c r="W16" i="23" s="1"/>
  <c r="M102" i="11"/>
  <c r="M116" i="6"/>
  <c r="E108" i="6"/>
  <c r="E44" i="6" s="1"/>
  <c r="E115" i="6"/>
  <c r="E51" i="6" s="1"/>
  <c r="H108" i="6"/>
  <c r="H115" i="6"/>
  <c r="E111" i="6"/>
  <c r="E47" i="6" s="1"/>
  <c r="N110" i="11"/>
  <c r="CI8" i="22"/>
  <c r="CC8" i="22"/>
  <c r="CG8" i="22" s="1"/>
  <c r="CJ8" i="22" s="1"/>
  <c r="CT7" i="22"/>
  <c r="CN7" i="22"/>
  <c r="CR7" i="22" s="1"/>
  <c r="Z9" i="23"/>
  <c r="AD9" i="23" s="1"/>
  <c r="AF9" i="23"/>
  <c r="AA12" i="21"/>
  <c r="AB12" i="21" s="1"/>
  <c r="Z13" i="17"/>
  <c r="AA13" i="17" s="1"/>
  <c r="Z14" i="16"/>
  <c r="AA14" i="16" s="1"/>
  <c r="CP10" i="22"/>
  <c r="AB12" i="5"/>
  <c r="AC12" i="5" s="1"/>
  <c r="CP10" i="23"/>
  <c r="AA11" i="21"/>
  <c r="AB11" i="21" s="1"/>
  <c r="Z13" i="16"/>
  <c r="AA13" i="16" s="1"/>
  <c r="CP9" i="23"/>
  <c r="Z12" i="17"/>
  <c r="AA12" i="17" s="1"/>
  <c r="CP9" i="22"/>
  <c r="AB11" i="5"/>
  <c r="AC11" i="5" s="1"/>
  <c r="AA33" i="21"/>
  <c r="AB33" i="21" s="1"/>
  <c r="Z34" i="17"/>
  <c r="AA34" i="17" s="1"/>
  <c r="AB33" i="5"/>
  <c r="AC33" i="5" s="1"/>
  <c r="Z35" i="16"/>
  <c r="AA35" i="16" s="1"/>
  <c r="CP31" i="23"/>
  <c r="CP31" i="22"/>
  <c r="AH7" i="23"/>
  <c r="BO36" i="23"/>
  <c r="X28" i="23"/>
  <c r="AH20" i="23"/>
  <c r="W6" i="23"/>
  <c r="BO36" i="22"/>
  <c r="AH10" i="22"/>
  <c r="CC10" i="22"/>
  <c r="CG10" i="22" s="1"/>
  <c r="CJ10" i="22" s="1"/>
  <c r="CN26" i="23"/>
  <c r="CR26" i="23" s="1"/>
  <c r="CU26" i="23" s="1"/>
  <c r="CT26" i="23"/>
  <c r="X41" i="21"/>
  <c r="Y41" i="21" s="1"/>
  <c r="W42" i="17"/>
  <c r="X42" i="17" s="1"/>
  <c r="W43" i="16"/>
  <c r="X43" i="16" s="1"/>
  <c r="CE39" i="22"/>
  <c r="CI39" i="22" s="1"/>
  <c r="Y41" i="5"/>
  <c r="Z41" i="5" s="1"/>
  <c r="CE39" i="23"/>
  <c r="CI39" i="23" s="1"/>
  <c r="Q39" i="21"/>
  <c r="R39" i="21" s="1"/>
  <c r="P40" i="17"/>
  <c r="Q40" i="17" s="1"/>
  <c r="BI37" i="23"/>
  <c r="BI37" i="22"/>
  <c r="P41" i="16"/>
  <c r="Q41" i="16" s="1"/>
  <c r="R39" i="5"/>
  <c r="S39" i="5" s="1"/>
  <c r="Q8" i="21"/>
  <c r="R8" i="21" s="1"/>
  <c r="P9" i="17"/>
  <c r="Q9" i="17" s="1"/>
  <c r="P10" i="16"/>
  <c r="Q10" i="16" s="1"/>
  <c r="BI6" i="23"/>
  <c r="R8" i="5"/>
  <c r="S8" i="5" s="1"/>
  <c r="BI6" i="22"/>
  <c r="Q25" i="21"/>
  <c r="R25" i="21" s="1"/>
  <c r="P27" i="16"/>
  <c r="Q27" i="16" s="1"/>
  <c r="BI23" i="22"/>
  <c r="P26" i="17"/>
  <c r="Q26" i="17" s="1"/>
  <c r="R25" i="5"/>
  <c r="S25" i="5" s="1"/>
  <c r="BI23" i="23"/>
  <c r="Q19" i="21"/>
  <c r="R19" i="21" s="1"/>
  <c r="P20" i="17"/>
  <c r="Q20" i="17" s="1"/>
  <c r="P21" i="16"/>
  <c r="Q21" i="16" s="1"/>
  <c r="BI17" i="23"/>
  <c r="BI17" i="22"/>
  <c r="R19" i="5"/>
  <c r="S19" i="5" s="1"/>
  <c r="N35" i="21"/>
  <c r="O35" i="21" s="1"/>
  <c r="M37" i="16"/>
  <c r="N37" i="16" s="1"/>
  <c r="M36" i="17"/>
  <c r="N36" i="17" s="1"/>
  <c r="AX33" i="23"/>
  <c r="BB33" i="23" s="1"/>
  <c r="O35" i="5"/>
  <c r="P35" i="5" s="1"/>
  <c r="AX33" i="22"/>
  <c r="BB33" i="22" s="1"/>
  <c r="AF23" i="23"/>
  <c r="Z23" i="23"/>
  <c r="AD23" i="23" s="1"/>
  <c r="N23" i="21"/>
  <c r="O23" i="21" s="1"/>
  <c r="M25" i="16"/>
  <c r="N25" i="16" s="1"/>
  <c r="M24" i="17"/>
  <c r="N24" i="17" s="1"/>
  <c r="AX21" i="23"/>
  <c r="BB21" i="23" s="1"/>
  <c r="O23" i="5"/>
  <c r="P23" i="5" s="1"/>
  <c r="AX21" i="22"/>
  <c r="BB21" i="22" s="1"/>
  <c r="AA17" i="21"/>
  <c r="AB17" i="21" s="1"/>
  <c r="Z18" i="17"/>
  <c r="AA18" i="17" s="1"/>
  <c r="CP15" i="22"/>
  <c r="Z19" i="16"/>
  <c r="AA19" i="16" s="1"/>
  <c r="AB17" i="5"/>
  <c r="AC17" i="5" s="1"/>
  <c r="CP15" i="23"/>
  <c r="CI37" i="22"/>
  <c r="CC37" i="22"/>
  <c r="CG37" i="22" s="1"/>
  <c r="CJ37" i="22" s="1"/>
  <c r="X37" i="21"/>
  <c r="Y37" i="21" s="1"/>
  <c r="W38" i="17"/>
  <c r="X38" i="17" s="1"/>
  <c r="W39" i="16"/>
  <c r="X39" i="16" s="1"/>
  <c r="CE35" i="22"/>
  <c r="CI35" i="22" s="1"/>
  <c r="CE35" i="23"/>
  <c r="CI35" i="23" s="1"/>
  <c r="Y37" i="5"/>
  <c r="Z37" i="5" s="1"/>
  <c r="BM22" i="22"/>
  <c r="BG22" i="22"/>
  <c r="BK22" i="22" s="1"/>
  <c r="BN22" i="22" s="1"/>
  <c r="BM34" i="22"/>
  <c r="BG34" i="22"/>
  <c r="BK34" i="22" s="1"/>
  <c r="BP25" i="22"/>
  <c r="BO25" i="22"/>
  <c r="CU28" i="23"/>
  <c r="AG26" i="23"/>
  <c r="AF15" i="22"/>
  <c r="Z15" i="22"/>
  <c r="AD15" i="22" s="1"/>
  <c r="AG15" i="22" s="1"/>
  <c r="N22" i="21"/>
  <c r="O22" i="21" s="1"/>
  <c r="M24" i="16"/>
  <c r="N24" i="16" s="1"/>
  <c r="O22" i="5"/>
  <c r="P22" i="5" s="1"/>
  <c r="AX20" i="23"/>
  <c r="BB20" i="23" s="1"/>
  <c r="AX20" i="22"/>
  <c r="BB20" i="22" s="1"/>
  <c r="M23" i="17"/>
  <c r="N23" i="17" s="1"/>
  <c r="AH7" i="22"/>
  <c r="CI14" i="23"/>
  <c r="CC14" i="23"/>
  <c r="CG14" i="23" s="1"/>
  <c r="AV7" i="22"/>
  <c r="AZ7" i="22" s="1"/>
  <c r="BB7" i="22"/>
  <c r="CL10" i="23"/>
  <c r="AI13" i="22"/>
  <c r="CT11" i="22"/>
  <c r="CN11" i="22"/>
  <c r="CR11" i="22" s="1"/>
  <c r="CU11" i="22" s="1"/>
  <c r="CI8" i="23"/>
  <c r="CC8" i="23"/>
  <c r="CG8" i="23" s="1"/>
  <c r="CT34" i="23"/>
  <c r="CN34" i="23"/>
  <c r="CR34" i="23" s="1"/>
  <c r="CU34" i="23" s="1"/>
  <c r="BP26" i="22"/>
  <c r="BO26" i="22"/>
  <c r="CT7" i="23"/>
  <c r="CN7" i="23"/>
  <c r="CR7" i="23" s="1"/>
  <c r="CU7" i="23" s="1"/>
  <c r="AA8" i="21"/>
  <c r="AB8" i="21" s="1"/>
  <c r="Z9" i="17"/>
  <c r="AA9" i="17" s="1"/>
  <c r="Z10" i="16"/>
  <c r="AA10" i="16" s="1"/>
  <c r="CP6" i="22"/>
  <c r="AB8" i="5"/>
  <c r="AC8" i="5" s="1"/>
  <c r="CP6" i="23"/>
  <c r="AA25" i="21"/>
  <c r="AB25" i="21" s="1"/>
  <c r="Z26" i="17"/>
  <c r="AA26" i="17" s="1"/>
  <c r="CP23" i="22"/>
  <c r="CP23" i="23"/>
  <c r="AB25" i="5"/>
  <c r="AC25" i="5" s="1"/>
  <c r="Z27" i="16"/>
  <c r="AA27" i="16" s="1"/>
  <c r="AA19" i="21"/>
  <c r="AB19" i="21" s="1"/>
  <c r="Z21" i="16"/>
  <c r="AA21" i="16" s="1"/>
  <c r="Z20" i="17"/>
  <c r="AA20" i="17" s="1"/>
  <c r="CP17" i="22"/>
  <c r="CP17" i="23"/>
  <c r="AB19" i="5"/>
  <c r="AC19" i="5" s="1"/>
  <c r="BM11" i="23"/>
  <c r="BG11" i="23"/>
  <c r="BK11" i="23" s="1"/>
  <c r="BN11" i="23" s="1"/>
  <c r="X35" i="21"/>
  <c r="Y35" i="21" s="1"/>
  <c r="W37" i="16"/>
  <c r="X37" i="16" s="1"/>
  <c r="W36" i="17"/>
  <c r="X36" i="17" s="1"/>
  <c r="Y35" i="5"/>
  <c r="Z35" i="5" s="1"/>
  <c r="CE33" i="23"/>
  <c r="CI33" i="23" s="1"/>
  <c r="CE33" i="22"/>
  <c r="CI33" i="22" s="1"/>
  <c r="X23" i="21"/>
  <c r="Y23" i="21" s="1"/>
  <c r="W25" i="16"/>
  <c r="X25" i="16" s="1"/>
  <c r="CE21" i="22"/>
  <c r="CI21" i="22" s="1"/>
  <c r="W24" i="17"/>
  <c r="X24" i="17" s="1"/>
  <c r="Y23" i="5"/>
  <c r="Z23" i="5" s="1"/>
  <c r="CE21" i="23"/>
  <c r="CI21" i="23" s="1"/>
  <c r="Q17" i="21"/>
  <c r="R17" i="21" s="1"/>
  <c r="P19" i="16"/>
  <c r="Q19" i="16" s="1"/>
  <c r="P18" i="17"/>
  <c r="Q18" i="17" s="1"/>
  <c r="BI15" i="23"/>
  <c r="R17" i="5"/>
  <c r="S17" i="5" s="1"/>
  <c r="BI15" i="22"/>
  <c r="CI14" i="22"/>
  <c r="CC14" i="22"/>
  <c r="CG14" i="22" s="1"/>
  <c r="CJ14" i="22" s="1"/>
  <c r="AF6" i="22"/>
  <c r="Z6" i="22"/>
  <c r="AD6" i="22" s="1"/>
  <c r="N37" i="21"/>
  <c r="O37" i="21" s="1"/>
  <c r="M38" i="17"/>
  <c r="N38" i="17" s="1"/>
  <c r="M39" i="16"/>
  <c r="N39" i="16" s="1"/>
  <c r="O37" i="5"/>
  <c r="P37" i="5" s="1"/>
  <c r="AX35" i="23"/>
  <c r="BB35" i="23" s="1"/>
  <c r="AX35" i="22"/>
  <c r="BB35" i="22" s="1"/>
  <c r="BG34" i="23"/>
  <c r="BK34" i="23" s="1"/>
  <c r="BN34" i="23" s="1"/>
  <c r="BP34" i="23" s="1"/>
  <c r="BM34" i="23"/>
  <c r="CC37" i="23"/>
  <c r="CG37" i="23" s="1"/>
  <c r="CJ37" i="23" s="1"/>
  <c r="BP14" i="23"/>
  <c r="BO14" i="23"/>
  <c r="BB7" i="23"/>
  <c r="AV7" i="23"/>
  <c r="AZ7" i="23" s="1"/>
  <c r="Q33" i="21"/>
  <c r="R33" i="21" s="1"/>
  <c r="P35" i="16"/>
  <c r="Q35" i="16" s="1"/>
  <c r="P34" i="17"/>
  <c r="Q34" i="17" s="1"/>
  <c r="R33" i="5"/>
  <c r="S33" i="5" s="1"/>
  <c r="BI31" i="23"/>
  <c r="BI31" i="22"/>
  <c r="BO19" i="23"/>
  <c r="BO35" i="22"/>
  <c r="AI28" i="22"/>
  <c r="CV25" i="22"/>
  <c r="AW22" i="23"/>
  <c r="O20" i="23"/>
  <c r="S20" i="23" s="1"/>
  <c r="V20" i="23" s="1"/>
  <c r="CN11" i="23"/>
  <c r="CR11" i="23" s="1"/>
  <c r="CT11" i="23"/>
  <c r="CT26" i="22"/>
  <c r="CN26" i="22"/>
  <c r="CR26" i="22" s="1"/>
  <c r="CU26" i="22" s="1"/>
  <c r="N41" i="21"/>
  <c r="O41" i="21" s="1"/>
  <c r="M42" i="17"/>
  <c r="N42" i="17" s="1"/>
  <c r="M43" i="16"/>
  <c r="N43" i="16" s="1"/>
  <c r="AX39" i="23"/>
  <c r="BB39" i="23" s="1"/>
  <c r="AX39" i="22"/>
  <c r="BB39" i="22" s="1"/>
  <c r="O41" i="5"/>
  <c r="P41" i="5" s="1"/>
  <c r="AA39" i="21"/>
  <c r="AB39" i="21" s="1"/>
  <c r="Z41" i="16"/>
  <c r="AA41" i="16" s="1"/>
  <c r="Z40" i="17"/>
  <c r="AA40" i="17" s="1"/>
  <c r="AB39" i="5"/>
  <c r="AC39" i="5" s="1"/>
  <c r="CP37" i="23"/>
  <c r="CP37" i="22"/>
  <c r="CT34" i="22"/>
  <c r="CN34" i="22"/>
  <c r="CR34" i="22" s="1"/>
  <c r="AF15" i="23"/>
  <c r="Z15" i="23"/>
  <c r="AD15" i="23" s="1"/>
  <c r="AG15" i="23" s="1"/>
  <c r="X22" i="21"/>
  <c r="Y22" i="21" s="1"/>
  <c r="W23" i="17"/>
  <c r="X23" i="17" s="1"/>
  <c r="Y22" i="5"/>
  <c r="Z22" i="5" s="1"/>
  <c r="CE20" i="23"/>
  <c r="CI20" i="23" s="1"/>
  <c r="W24" i="16"/>
  <c r="X24" i="16" s="1"/>
  <c r="CE20" i="22"/>
  <c r="CI20" i="22" s="1"/>
  <c r="BM11" i="22"/>
  <c r="BG11" i="22"/>
  <c r="BK11" i="22" s="1"/>
  <c r="BN11" i="22" s="1"/>
  <c r="AF23" i="22"/>
  <c r="Z23" i="22"/>
  <c r="AD23" i="22" s="1"/>
  <c r="AG17" i="23"/>
  <c r="AF9" i="22"/>
  <c r="Z9" i="22"/>
  <c r="AD9" i="22" s="1"/>
  <c r="AG9" i="22" s="1"/>
  <c r="AF6" i="23"/>
  <c r="Z6" i="23"/>
  <c r="AD6" i="23" s="1"/>
  <c r="BM22" i="23"/>
  <c r="BG22" i="23"/>
  <c r="BK22" i="23" s="1"/>
  <c r="BN22" i="23" s="1"/>
  <c r="Q12" i="21"/>
  <c r="R12" i="21" s="1"/>
  <c r="P13" i="17"/>
  <c r="Q13" i="17" s="1"/>
  <c r="P14" i="16"/>
  <c r="Q14" i="16" s="1"/>
  <c r="R12" i="5"/>
  <c r="S12" i="5" s="1"/>
  <c r="BI10" i="22"/>
  <c r="BI10" i="23"/>
  <c r="Q11" i="21"/>
  <c r="R11" i="21" s="1"/>
  <c r="P12" i="17"/>
  <c r="Q12" i="17" s="1"/>
  <c r="P13" i="16"/>
  <c r="Q13" i="16" s="1"/>
  <c r="R11" i="5"/>
  <c r="S11" i="5" s="1"/>
  <c r="BI9" i="23"/>
  <c r="BI9" i="22"/>
  <c r="BO16" i="23"/>
  <c r="BP16" i="23"/>
  <c r="CL28" i="22"/>
  <c r="N104" i="11"/>
  <c r="W23" i="23"/>
  <c r="AE26" i="10"/>
  <c r="AF26" i="10" s="1"/>
  <c r="AZ26" i="10"/>
  <c r="BA26" i="10" s="1"/>
  <c r="I26" i="10"/>
  <c r="J26" i="10" s="1"/>
  <c r="AV37" i="22"/>
  <c r="AZ37" i="22" s="1"/>
  <c r="BA37" i="22"/>
  <c r="BD37" i="23"/>
  <c r="BE37" i="23"/>
  <c r="AE33" i="10"/>
  <c r="AF33" i="10" s="1"/>
  <c r="I33" i="10"/>
  <c r="J33" i="10" s="1"/>
  <c r="AZ33" i="10"/>
  <c r="BA33" i="10" s="1"/>
  <c r="CK28" i="23"/>
  <c r="W23" i="22"/>
  <c r="N106" i="11"/>
  <c r="M109" i="11"/>
  <c r="CH29" i="22"/>
  <c r="W27" i="22"/>
  <c r="M94" i="11"/>
  <c r="N107" i="11"/>
  <c r="CH29" i="23"/>
  <c r="CC29" i="23"/>
  <c r="CG29" i="23" s="1"/>
  <c r="N102" i="11"/>
  <c r="X29" i="23"/>
  <c r="W29" i="23"/>
  <c r="AV29" i="23"/>
  <c r="AZ29" i="23" s="1"/>
  <c r="BA29" i="23"/>
  <c r="CD12" i="23"/>
  <c r="CD12" i="22"/>
  <c r="CH16" i="22"/>
  <c r="CC16" i="22"/>
  <c r="CG16" i="22" s="1"/>
  <c r="BA38" i="22"/>
  <c r="AV38" i="22"/>
  <c r="AZ38" i="22" s="1"/>
  <c r="CH22" i="23"/>
  <c r="CC22" i="23"/>
  <c r="CG22" i="23" s="1"/>
  <c r="CD24" i="23"/>
  <c r="CD24" i="22"/>
  <c r="CH39" i="23"/>
  <c r="CH23" i="22"/>
  <c r="CC23" i="22"/>
  <c r="CG23" i="22" s="1"/>
  <c r="AW19" i="23"/>
  <c r="AW19" i="22"/>
  <c r="BA10" i="23"/>
  <c r="AV10" i="23"/>
  <c r="AZ10" i="23" s="1"/>
  <c r="BA34" i="23"/>
  <c r="AV34" i="23"/>
  <c r="AZ34" i="23" s="1"/>
  <c r="T39" i="22"/>
  <c r="O39" i="22"/>
  <c r="S39" i="22" s="1"/>
  <c r="BA33" i="23"/>
  <c r="AV33" i="23"/>
  <c r="AZ33" i="23" s="1"/>
  <c r="BA29" i="22"/>
  <c r="AV29" i="22"/>
  <c r="AZ29" i="22" s="1"/>
  <c r="CH16" i="23"/>
  <c r="CC16" i="23"/>
  <c r="CG16" i="23" s="1"/>
  <c r="BA39" i="22"/>
  <c r="CD15" i="23"/>
  <c r="CD15" i="22"/>
  <c r="P31" i="23"/>
  <c r="P31" i="22"/>
  <c r="T33" i="23"/>
  <c r="O33" i="23"/>
  <c r="S33" i="23" s="1"/>
  <c r="BA18" i="22"/>
  <c r="AV18" i="22"/>
  <c r="AZ18" i="22" s="1"/>
  <c r="CD21" i="23"/>
  <c r="CD21" i="22"/>
  <c r="BA10" i="22"/>
  <c r="AV10" i="22"/>
  <c r="AZ10" i="22" s="1"/>
  <c r="CH20" i="23"/>
  <c r="P13" i="23"/>
  <c r="P13" i="22"/>
  <c r="BD16" i="23"/>
  <c r="BA22" i="23"/>
  <c r="AV22" i="23"/>
  <c r="AZ22" i="23" s="1"/>
  <c r="T38" i="22"/>
  <c r="O38" i="22"/>
  <c r="S38" i="22" s="1"/>
  <c r="T18" i="22"/>
  <c r="O18" i="22"/>
  <c r="S18" i="22" s="1"/>
  <c r="AW26" i="22"/>
  <c r="AW26" i="23"/>
  <c r="P12" i="23"/>
  <c r="P12" i="22"/>
  <c r="BA6" i="22"/>
  <c r="AV6" i="22"/>
  <c r="AZ6" i="22" s="1"/>
  <c r="BA39" i="23"/>
  <c r="BA23" i="23"/>
  <c r="AV23" i="23"/>
  <c r="AZ23" i="23" s="1"/>
  <c r="BA20" i="22"/>
  <c r="T7" i="23"/>
  <c r="O7" i="23"/>
  <c r="S7" i="23" s="1"/>
  <c r="AW31" i="22"/>
  <c r="AW31" i="23"/>
  <c r="T33" i="22"/>
  <c r="O33" i="22"/>
  <c r="S33" i="22" s="1"/>
  <c r="CH34" i="23"/>
  <c r="CC34" i="23"/>
  <c r="CG34" i="23" s="1"/>
  <c r="AW11" i="22"/>
  <c r="AW11" i="23"/>
  <c r="P30" i="23"/>
  <c r="P30" i="22"/>
  <c r="AW21" i="22"/>
  <c r="AW21" i="23"/>
  <c r="M112" i="11"/>
  <c r="BA8" i="23"/>
  <c r="AV8" i="23"/>
  <c r="AZ8" i="23" s="1"/>
  <c r="BC8" i="23" s="1"/>
  <c r="BA14" i="22"/>
  <c r="AV14" i="22"/>
  <c r="AZ14" i="22" s="1"/>
  <c r="CD13" i="22"/>
  <c r="CD13" i="23"/>
  <c r="T22" i="22"/>
  <c r="O22" i="22"/>
  <c r="S22" i="22" s="1"/>
  <c r="CH7" i="23"/>
  <c r="CC7" i="23"/>
  <c r="CG7" i="23" s="1"/>
  <c r="CJ7" i="23" s="1"/>
  <c r="CK7" i="23" s="1"/>
  <c r="CH27" i="23"/>
  <c r="CC27" i="23"/>
  <c r="CG27" i="23" s="1"/>
  <c r="T14" i="22"/>
  <c r="O14" i="22"/>
  <c r="S14" i="22" s="1"/>
  <c r="V14" i="22" s="1"/>
  <c r="X14" i="22" s="1"/>
  <c r="W20" i="22"/>
  <c r="X20" i="22"/>
  <c r="CH38" i="22"/>
  <c r="CC38" i="22"/>
  <c r="CG38" i="22" s="1"/>
  <c r="CJ38" i="22" s="1"/>
  <c r="CK38" i="22" s="1"/>
  <c r="AW36" i="23"/>
  <c r="AW36" i="22"/>
  <c r="BA27" i="22"/>
  <c r="AV27" i="22"/>
  <c r="AZ27" i="22" s="1"/>
  <c r="BC27" i="22" s="1"/>
  <c r="CH6" i="23"/>
  <c r="CC6" i="23"/>
  <c r="CG6" i="23" s="1"/>
  <c r="T34" i="23"/>
  <c r="O34" i="23"/>
  <c r="S34" i="23" s="1"/>
  <c r="V34" i="23" s="1"/>
  <c r="CD9" i="23"/>
  <c r="CD9" i="22"/>
  <c r="AW15" i="22"/>
  <c r="AW15" i="23"/>
  <c r="CD31" i="22"/>
  <c r="CD31" i="23"/>
  <c r="BA18" i="23"/>
  <c r="AV18" i="23"/>
  <c r="AZ18" i="23" s="1"/>
  <c r="P11" i="22"/>
  <c r="P11" i="23"/>
  <c r="CD30" i="22"/>
  <c r="CD30" i="23"/>
  <c r="CH20" i="22"/>
  <c r="AW13" i="22"/>
  <c r="AW13" i="23"/>
  <c r="T8" i="22"/>
  <c r="O8" i="22"/>
  <c r="S8" i="22" s="1"/>
  <c r="CH33" i="22"/>
  <c r="CC33" i="22"/>
  <c r="CG33" i="22" s="1"/>
  <c r="CD36" i="23"/>
  <c r="CD36" i="22"/>
  <c r="CH18" i="23"/>
  <c r="CC18" i="23"/>
  <c r="CG18" i="23" s="1"/>
  <c r="T34" i="22"/>
  <c r="O34" i="22"/>
  <c r="S34" i="22" s="1"/>
  <c r="AW12" i="22"/>
  <c r="AW12" i="23"/>
  <c r="AZ18" i="10"/>
  <c r="BA18" i="10" s="1"/>
  <c r="I18" i="10"/>
  <c r="J18" i="10" s="1"/>
  <c r="AE18" i="10"/>
  <c r="AF18" i="10" s="1"/>
  <c r="P9" i="22"/>
  <c r="P9" i="23"/>
  <c r="BA20" i="23"/>
  <c r="CH22" i="22"/>
  <c r="CC22" i="22"/>
  <c r="CG22" i="22" s="1"/>
  <c r="P24" i="22"/>
  <c r="P24" i="23"/>
  <c r="CH39" i="22"/>
  <c r="CC39" i="22"/>
  <c r="CG39" i="22" s="1"/>
  <c r="CH23" i="23"/>
  <c r="CC23" i="23"/>
  <c r="CG23" i="23" s="1"/>
  <c r="P19" i="22"/>
  <c r="P19" i="23"/>
  <c r="BA14" i="23"/>
  <c r="AV14" i="23"/>
  <c r="AZ14" i="23" s="1"/>
  <c r="W27" i="23"/>
  <c r="X27" i="23"/>
  <c r="T22" i="23"/>
  <c r="O22" i="23"/>
  <c r="S22" i="23" s="1"/>
  <c r="BA34" i="22"/>
  <c r="AV34" i="22"/>
  <c r="AZ34" i="22" s="1"/>
  <c r="T8" i="23"/>
  <c r="O8" i="23"/>
  <c r="S8" i="23" s="1"/>
  <c r="CH33" i="23"/>
  <c r="T39" i="23"/>
  <c r="O39" i="23"/>
  <c r="S39" i="23" s="1"/>
  <c r="BA27" i="23"/>
  <c r="AV27" i="23"/>
  <c r="AZ27" i="23" s="1"/>
  <c r="CH6" i="22"/>
  <c r="CC6" i="22"/>
  <c r="CG6" i="22" s="1"/>
  <c r="BA22" i="22"/>
  <c r="AV22" i="22"/>
  <c r="AZ22" i="22" s="1"/>
  <c r="T38" i="23"/>
  <c r="O38" i="23"/>
  <c r="S38" i="23" s="1"/>
  <c r="O18" i="23"/>
  <c r="S18" i="23" s="1"/>
  <c r="T18" i="23"/>
  <c r="P26" i="23"/>
  <c r="P26" i="22"/>
  <c r="T10" i="23"/>
  <c r="O10" i="23"/>
  <c r="S10" i="23" s="1"/>
  <c r="BA6" i="23"/>
  <c r="AV6" i="23"/>
  <c r="AZ6" i="23" s="1"/>
  <c r="AV38" i="23"/>
  <c r="AZ38" i="23" s="1"/>
  <c r="BA38" i="23"/>
  <c r="AW9" i="22"/>
  <c r="AW9" i="23"/>
  <c r="BA23" i="22"/>
  <c r="AV23" i="22"/>
  <c r="AZ23" i="22" s="1"/>
  <c r="P15" i="22"/>
  <c r="P15" i="23"/>
  <c r="T7" i="22"/>
  <c r="O7" i="22"/>
  <c r="S7" i="22" s="1"/>
  <c r="AW24" i="23"/>
  <c r="AW24" i="22"/>
  <c r="CH34" i="22"/>
  <c r="CC34" i="22"/>
  <c r="CG34" i="22" s="1"/>
  <c r="CD11" i="22"/>
  <c r="CD11" i="23"/>
  <c r="CD19" i="22"/>
  <c r="CD19" i="23"/>
  <c r="AW30" i="22"/>
  <c r="AW30" i="23"/>
  <c r="P21" i="23"/>
  <c r="P21" i="22"/>
  <c r="AZ36" i="10"/>
  <c r="BA36" i="10" s="1"/>
  <c r="I36" i="10"/>
  <c r="J36" i="10" s="1"/>
  <c r="AE36" i="10"/>
  <c r="AF36" i="10" s="1"/>
  <c r="BA8" i="22"/>
  <c r="AV8" i="22"/>
  <c r="AZ8" i="22" s="1"/>
  <c r="N105" i="11"/>
  <c r="CH7" i="22"/>
  <c r="CC7" i="22"/>
  <c r="CG7" i="22" s="1"/>
  <c r="CH27" i="22"/>
  <c r="CC27" i="22"/>
  <c r="CG27" i="22" s="1"/>
  <c r="T14" i="23"/>
  <c r="O14" i="23"/>
  <c r="S14" i="23" s="1"/>
  <c r="CH38" i="23"/>
  <c r="CC38" i="23"/>
  <c r="CG38" i="23" s="1"/>
  <c r="P36" i="22"/>
  <c r="P36" i="23"/>
  <c r="CH18" i="22"/>
  <c r="CC18" i="22"/>
  <c r="CG18" i="22" s="1"/>
  <c r="CV33" i="22"/>
  <c r="AI30" i="22"/>
  <c r="X6" i="22"/>
  <c r="BP39" i="22"/>
  <c r="BO39" i="22"/>
  <c r="BP27" i="22"/>
  <c r="BO27" i="22"/>
  <c r="AI12" i="22"/>
  <c r="AH12" i="22"/>
  <c r="CV38" i="22"/>
  <c r="CW38" i="22"/>
  <c r="BO21" i="23"/>
  <c r="CW16" i="23"/>
  <c r="CV16" i="23"/>
  <c r="CV25" i="23"/>
  <c r="CW25" i="23"/>
  <c r="CW13" i="23"/>
  <c r="CV13" i="23"/>
  <c r="AH38" i="23"/>
  <c r="AI38" i="23"/>
  <c r="AH34" i="23"/>
  <c r="AI34" i="23"/>
  <c r="BO26" i="23"/>
  <c r="BP26" i="23"/>
  <c r="BO39" i="23"/>
  <c r="BP39" i="23"/>
  <c r="CV14" i="23"/>
  <c r="CW14" i="23"/>
  <c r="AH24" i="23"/>
  <c r="AI24" i="23"/>
  <c r="O70" i="27" l="1"/>
  <c r="H60" i="27"/>
  <c r="N70" i="27" s="1"/>
  <c r="M70" i="27" s="1"/>
  <c r="V60" i="27"/>
  <c r="E60" i="27"/>
  <c r="C61" i="27"/>
  <c r="I61" i="27" s="1"/>
  <c r="K61" i="27"/>
  <c r="DE33" i="22"/>
  <c r="DF33" i="22" s="1"/>
  <c r="DH26" i="22"/>
  <c r="BR21" i="22"/>
  <c r="BV21" i="22" s="1"/>
  <c r="BY21" i="22" s="1"/>
  <c r="DG8" i="22"/>
  <c r="AT25" i="22"/>
  <c r="AT16" i="22"/>
  <c r="AR8" i="23"/>
  <c r="AS8" i="23" s="1"/>
  <c r="AR23" i="23"/>
  <c r="AS23" i="23" s="1"/>
  <c r="BX21" i="23"/>
  <c r="BY21" i="23" s="1"/>
  <c r="CA21" i="23" s="1"/>
  <c r="BZ8" i="22"/>
  <c r="CY7" i="22"/>
  <c r="DC7" i="22" s="1"/>
  <c r="CA15" i="22"/>
  <c r="AT37" i="22"/>
  <c r="DE30" i="23"/>
  <c r="DF30" i="23" s="1"/>
  <c r="DG30" i="23" s="1"/>
  <c r="AS28" i="22"/>
  <c r="CY33" i="23"/>
  <c r="DC33" i="23" s="1"/>
  <c r="DF33" i="23" s="1"/>
  <c r="AT18" i="23"/>
  <c r="CA25" i="23"/>
  <c r="BY16" i="22"/>
  <c r="CA16" i="22" s="1"/>
  <c r="AR13" i="23"/>
  <c r="AT13" i="23" s="1"/>
  <c r="DE34" i="22"/>
  <c r="CY34" i="22"/>
  <c r="DC34" i="22" s="1"/>
  <c r="CY14" i="22"/>
  <c r="DC14" i="22" s="1"/>
  <c r="DF14" i="22" s="1"/>
  <c r="CY34" i="23"/>
  <c r="DC34" i="23" s="1"/>
  <c r="DF34" i="23" s="1"/>
  <c r="DG34" i="23" s="1"/>
  <c r="CY13" i="22"/>
  <c r="DC13" i="22" s="1"/>
  <c r="DF13" i="22" s="1"/>
  <c r="DH6" i="22"/>
  <c r="CY17" i="22"/>
  <c r="DC17" i="22" s="1"/>
  <c r="DE17" i="22"/>
  <c r="CY22" i="22"/>
  <c r="DC22" i="22" s="1"/>
  <c r="DF22" i="22" s="1"/>
  <c r="DE13" i="23"/>
  <c r="DF13" i="23" s="1"/>
  <c r="BX26" i="22"/>
  <c r="BY26" i="22" s="1"/>
  <c r="AT13" i="22"/>
  <c r="AT14" i="23"/>
  <c r="BX13" i="23"/>
  <c r="BY13" i="23" s="1"/>
  <c r="CA13" i="23" s="1"/>
  <c r="AS20" i="22"/>
  <c r="AT20" i="22"/>
  <c r="AT36" i="23"/>
  <c r="AR10" i="22"/>
  <c r="AT10" i="22" s="1"/>
  <c r="BY18" i="23"/>
  <c r="BZ18" i="23" s="1"/>
  <c r="DH23" i="22"/>
  <c r="AS23" i="22"/>
  <c r="AT23" i="22"/>
  <c r="DF21" i="22"/>
  <c r="DG21" i="22" s="1"/>
  <c r="AR24" i="22"/>
  <c r="AS24" i="22" s="1"/>
  <c r="AR10" i="23"/>
  <c r="AT10" i="23" s="1"/>
  <c r="BY18" i="22"/>
  <c r="CA18" i="22" s="1"/>
  <c r="AS21" i="23"/>
  <c r="DF35" i="22"/>
  <c r="DH35" i="22" s="1"/>
  <c r="AR39" i="23"/>
  <c r="AS39" i="23" s="1"/>
  <c r="BY36" i="23"/>
  <c r="BZ36" i="23" s="1"/>
  <c r="DF36" i="23"/>
  <c r="DH36" i="23" s="1"/>
  <c r="DF31" i="23"/>
  <c r="DH31" i="23" s="1"/>
  <c r="AR29" i="22"/>
  <c r="AT29" i="22" s="1"/>
  <c r="AR32" i="22"/>
  <c r="AT32" i="22" s="1"/>
  <c r="AR17" i="22"/>
  <c r="AS17" i="22" s="1"/>
  <c r="CA15" i="23"/>
  <c r="BR6" i="22"/>
  <c r="BV6" i="22" s="1"/>
  <c r="BX6" i="22"/>
  <c r="AT28" i="23"/>
  <c r="AS28" i="23"/>
  <c r="BZ7" i="23"/>
  <c r="BZ26" i="23"/>
  <c r="AS8" i="22"/>
  <c r="AT8" i="22"/>
  <c r="AR27" i="22"/>
  <c r="AS27" i="22" s="1"/>
  <c r="DF36" i="22"/>
  <c r="DG36" i="22" s="1"/>
  <c r="BY36" i="22"/>
  <c r="BZ36" i="22" s="1"/>
  <c r="AR29" i="23"/>
  <c r="AS29" i="23" s="1"/>
  <c r="BY8" i="23"/>
  <c r="CA8" i="23" s="1"/>
  <c r="AT7" i="22"/>
  <c r="AR26" i="22"/>
  <c r="AT26" i="22" s="1"/>
  <c r="AT17" i="23"/>
  <c r="AS17" i="23"/>
  <c r="BY34" i="23"/>
  <c r="BO19" i="22"/>
  <c r="BP19" i="22"/>
  <c r="AI8" i="22"/>
  <c r="AH8" i="22"/>
  <c r="CN30" i="23"/>
  <c r="CR30" i="23" s="1"/>
  <c r="CU30" i="23" s="1"/>
  <c r="CT30" i="23"/>
  <c r="CT20" i="22"/>
  <c r="CN20" i="22"/>
  <c r="CR20" i="22" s="1"/>
  <c r="CU20" i="22" s="1"/>
  <c r="AH22" i="22"/>
  <c r="AI22" i="22"/>
  <c r="AS31" i="22"/>
  <c r="AT31" i="22"/>
  <c r="BG30" i="22"/>
  <c r="BK30" i="22" s="1"/>
  <c r="BN30" i="22" s="1"/>
  <c r="BM30" i="22"/>
  <c r="BM18" i="22"/>
  <c r="BG18" i="22"/>
  <c r="BK18" i="22" s="1"/>
  <c r="BN18" i="22" s="1"/>
  <c r="CU11" i="23"/>
  <c r="AT37" i="23"/>
  <c r="BX13" i="22"/>
  <c r="BY13" i="22" s="1"/>
  <c r="BZ13" i="22" s="1"/>
  <c r="CY30" i="22"/>
  <c r="DC30" i="22" s="1"/>
  <c r="DF30" i="22" s="1"/>
  <c r="DH30" i="22" s="1"/>
  <c r="CU36" i="23"/>
  <c r="AH20" i="22"/>
  <c r="AI20" i="22"/>
  <c r="CV32" i="23"/>
  <c r="CW32" i="23"/>
  <c r="AH21" i="22"/>
  <c r="AI21" i="22"/>
  <c r="CW35" i="22"/>
  <c r="CV35" i="22"/>
  <c r="BM30" i="23"/>
  <c r="BG30" i="23"/>
  <c r="BK30" i="23" s="1"/>
  <c r="BN30" i="23" s="1"/>
  <c r="BM20" i="23"/>
  <c r="BG20" i="23"/>
  <c r="BK20" i="23" s="1"/>
  <c r="CV36" i="22"/>
  <c r="CW36" i="22"/>
  <c r="CW29" i="22"/>
  <c r="CV29" i="22"/>
  <c r="AH21" i="23"/>
  <c r="AI21" i="23"/>
  <c r="CW21" i="22"/>
  <c r="CV21" i="22"/>
  <c r="BO32" i="23"/>
  <c r="BP32" i="23"/>
  <c r="CV32" i="22"/>
  <c r="CW32" i="22"/>
  <c r="BM20" i="22"/>
  <c r="BG20" i="22"/>
  <c r="BK20" i="22" s="1"/>
  <c r="CT8" i="22"/>
  <c r="CN8" i="22"/>
  <c r="CR8" i="22" s="1"/>
  <c r="CU8" i="22" s="1"/>
  <c r="BM8" i="22"/>
  <c r="BG8" i="22"/>
  <c r="BK8" i="22" s="1"/>
  <c r="BO34" i="23"/>
  <c r="AT14" i="22"/>
  <c r="AR26" i="23"/>
  <c r="AT26" i="23" s="1"/>
  <c r="AI34" i="22"/>
  <c r="AH34" i="22"/>
  <c r="CT18" i="22"/>
  <c r="CN18" i="22"/>
  <c r="CR18" i="22" s="1"/>
  <c r="CN18" i="23"/>
  <c r="CR18" i="23" s="1"/>
  <c r="CT18" i="23"/>
  <c r="AR25" i="23"/>
  <c r="CT30" i="22"/>
  <c r="CN30" i="22"/>
  <c r="CR30" i="22" s="1"/>
  <c r="CU30" i="22" s="1"/>
  <c r="CT20" i="23"/>
  <c r="CN20" i="23"/>
  <c r="CR20" i="23" s="1"/>
  <c r="AH33" i="22"/>
  <c r="AI33" i="22"/>
  <c r="BP33" i="22"/>
  <c r="BO33" i="22"/>
  <c r="CT8" i="23"/>
  <c r="CN8" i="23"/>
  <c r="CR8" i="23" s="1"/>
  <c r="CU8" i="23" s="1"/>
  <c r="CU21" i="23"/>
  <c r="CU29" i="23"/>
  <c r="BM18" i="23"/>
  <c r="BG18" i="23"/>
  <c r="BK18" i="23" s="1"/>
  <c r="BN18" i="23" s="1"/>
  <c r="BM8" i="23"/>
  <c r="BG8" i="23"/>
  <c r="BK8" i="23" s="1"/>
  <c r="DG33" i="22"/>
  <c r="DH33" i="22"/>
  <c r="BD16" i="22"/>
  <c r="BE16" i="22"/>
  <c r="DG23" i="23"/>
  <c r="BX20" i="23"/>
  <c r="BR20" i="23"/>
  <c r="BV20" i="23" s="1"/>
  <c r="AV20" i="23"/>
  <c r="AZ20" i="23" s="1"/>
  <c r="BC20" i="23" s="1"/>
  <c r="CC29" i="22"/>
  <c r="CG29" i="22" s="1"/>
  <c r="BR35" i="22"/>
  <c r="BV35" i="22" s="1"/>
  <c r="BY35" i="22" s="1"/>
  <c r="BZ29" i="23"/>
  <c r="BZ31" i="23"/>
  <c r="CA31" i="23"/>
  <c r="CY20" i="23"/>
  <c r="DC20" i="23" s="1"/>
  <c r="DE20" i="23"/>
  <c r="AT8" i="23"/>
  <c r="BX20" i="22"/>
  <c r="BR20" i="22"/>
  <c r="BV20" i="22" s="1"/>
  <c r="X29" i="22"/>
  <c r="W29" i="22"/>
  <c r="AS32" i="23"/>
  <c r="CJ18" i="22"/>
  <c r="CJ38" i="23"/>
  <c r="CL38" i="23" s="1"/>
  <c r="CJ27" i="22"/>
  <c r="CC20" i="22"/>
  <c r="CG20" i="22" s="1"/>
  <c r="CJ20" i="22" s="1"/>
  <c r="CL20" i="22" s="1"/>
  <c r="CC39" i="23"/>
  <c r="CG39" i="23" s="1"/>
  <c r="CA6" i="23"/>
  <c r="DE20" i="22"/>
  <c r="CY20" i="22"/>
  <c r="DC20" i="22" s="1"/>
  <c r="CA30" i="22"/>
  <c r="BZ30" i="22"/>
  <c r="BY30" i="23"/>
  <c r="AT22" i="22"/>
  <c r="AS22" i="22"/>
  <c r="BY22" i="23"/>
  <c r="BZ22" i="23" s="1"/>
  <c r="DF22" i="23"/>
  <c r="DG22" i="23" s="1"/>
  <c r="DF29" i="22"/>
  <c r="DH29" i="22" s="1"/>
  <c r="DF31" i="22"/>
  <c r="DG31" i="22" s="1"/>
  <c r="BY17" i="23"/>
  <c r="CA17" i="23" s="1"/>
  <c r="DF37" i="22"/>
  <c r="DG37" i="22" s="1"/>
  <c r="BY23" i="22"/>
  <c r="BZ23" i="22" s="1"/>
  <c r="AR27" i="23"/>
  <c r="AS27" i="23" s="1"/>
  <c r="DF16" i="23"/>
  <c r="DH16" i="23" s="1"/>
  <c r="DF26" i="23"/>
  <c r="DG26" i="23" s="1"/>
  <c r="DF8" i="23"/>
  <c r="DH8" i="23" s="1"/>
  <c r="BY35" i="23"/>
  <c r="CA35" i="23" s="1"/>
  <c r="DF38" i="22"/>
  <c r="DG38" i="23"/>
  <c r="DH38" i="23"/>
  <c r="DE28" i="22"/>
  <c r="CY28" i="22"/>
  <c r="DC28" i="22" s="1"/>
  <c r="DF29" i="23"/>
  <c r="DE39" i="23"/>
  <c r="CY39" i="23"/>
  <c r="DC39" i="23" s="1"/>
  <c r="BY14" i="23"/>
  <c r="BZ14" i="23" s="1"/>
  <c r="DF21" i="23"/>
  <c r="BZ16" i="22"/>
  <c r="BX28" i="23"/>
  <c r="BR28" i="23"/>
  <c r="BV28" i="23" s="1"/>
  <c r="BR27" i="23"/>
  <c r="BV27" i="23" s="1"/>
  <c r="BX27" i="23"/>
  <c r="BX27" i="22"/>
  <c r="BR27" i="22"/>
  <c r="BV27" i="22" s="1"/>
  <c r="DE27" i="23"/>
  <c r="CY27" i="23"/>
  <c r="DC27" i="23" s="1"/>
  <c r="DE39" i="22"/>
  <c r="CY39" i="22"/>
  <c r="DC39" i="22" s="1"/>
  <c r="CY28" i="23"/>
  <c r="DC28" i="23" s="1"/>
  <c r="DE28" i="23"/>
  <c r="DF37" i="23"/>
  <c r="AR24" i="23"/>
  <c r="AT24" i="23" s="1"/>
  <c r="DF7" i="23"/>
  <c r="DH7" i="23" s="1"/>
  <c r="BY32" i="22"/>
  <c r="BZ32" i="22" s="1"/>
  <c r="AR19" i="22"/>
  <c r="AS19" i="22" s="1"/>
  <c r="AR19" i="23"/>
  <c r="AT19" i="23" s="1"/>
  <c r="BY32" i="23"/>
  <c r="BZ32" i="23" s="1"/>
  <c r="AR9" i="22"/>
  <c r="AS9" i="22" s="1"/>
  <c r="CA17" i="22"/>
  <c r="BZ17" i="22"/>
  <c r="DF16" i="22"/>
  <c r="CA37" i="23"/>
  <c r="BZ37" i="23"/>
  <c r="BX28" i="22"/>
  <c r="BR28" i="22"/>
  <c r="BV28" i="22" s="1"/>
  <c r="BY16" i="23"/>
  <c r="AR15" i="23"/>
  <c r="BY23" i="23"/>
  <c r="DE27" i="22"/>
  <c r="CY27" i="22"/>
  <c r="DC27" i="22" s="1"/>
  <c r="BY33" i="23"/>
  <c r="BX39" i="23"/>
  <c r="BR39" i="23"/>
  <c r="BV39" i="23" s="1"/>
  <c r="BX39" i="22"/>
  <c r="BR39" i="22"/>
  <c r="BV39" i="22" s="1"/>
  <c r="DE9" i="22"/>
  <c r="CY9" i="22"/>
  <c r="DC9" i="22" s="1"/>
  <c r="DG35" i="23"/>
  <c r="DH35" i="23"/>
  <c r="DE24" i="23"/>
  <c r="CY24" i="23"/>
  <c r="DC24" i="23" s="1"/>
  <c r="DE11" i="23"/>
  <c r="CY11" i="23"/>
  <c r="DC11" i="23" s="1"/>
  <c r="AS10" i="22"/>
  <c r="CY10" i="23"/>
  <c r="DC10" i="23" s="1"/>
  <c r="DE10" i="23"/>
  <c r="AS11" i="23"/>
  <c r="AT11" i="23"/>
  <c r="BX24" i="23"/>
  <c r="BR24" i="23"/>
  <c r="BV24" i="23" s="1"/>
  <c r="DE19" i="22"/>
  <c r="CY19" i="22"/>
  <c r="DC19" i="22" s="1"/>
  <c r="BX9" i="23"/>
  <c r="BR9" i="23"/>
  <c r="BV9" i="23" s="1"/>
  <c r="DE24" i="22"/>
  <c r="CY24" i="22"/>
  <c r="DC24" i="22" s="1"/>
  <c r="DE11" i="22"/>
  <c r="CY11" i="22"/>
  <c r="DC11" i="22" s="1"/>
  <c r="AR9" i="23"/>
  <c r="BX10" i="23"/>
  <c r="BR10" i="23"/>
  <c r="BV10" i="23" s="1"/>
  <c r="DE9" i="23"/>
  <c r="CY9" i="23"/>
  <c r="DC9" i="23" s="1"/>
  <c r="BX11" i="23"/>
  <c r="BR11" i="23"/>
  <c r="BV11" i="23" s="1"/>
  <c r="DF14" i="23"/>
  <c r="BX12" i="22"/>
  <c r="BR12" i="22"/>
  <c r="BV12" i="22" s="1"/>
  <c r="BX12" i="23"/>
  <c r="BR12" i="23"/>
  <c r="BV12" i="23" s="1"/>
  <c r="BY22" i="22"/>
  <c r="DF18" i="23"/>
  <c r="BX19" i="22"/>
  <c r="BR19" i="22"/>
  <c r="BV19" i="22" s="1"/>
  <c r="BX24" i="22"/>
  <c r="BR24" i="22"/>
  <c r="BV24" i="22" s="1"/>
  <c r="DE19" i="23"/>
  <c r="CY19" i="23"/>
  <c r="DC19" i="23" s="1"/>
  <c r="BX9" i="22"/>
  <c r="BR9" i="22"/>
  <c r="BV9" i="22" s="1"/>
  <c r="DF7" i="22"/>
  <c r="BY14" i="22"/>
  <c r="DF18" i="22"/>
  <c r="DF32" i="22"/>
  <c r="BX10" i="22"/>
  <c r="BR10" i="22"/>
  <c r="BV10" i="22" s="1"/>
  <c r="DF32" i="23"/>
  <c r="BR19" i="23"/>
  <c r="BV19" i="23" s="1"/>
  <c r="BX19" i="23"/>
  <c r="DE10" i="22"/>
  <c r="CY10" i="22"/>
  <c r="DC10" i="22" s="1"/>
  <c r="AT35" i="23"/>
  <c r="AS35" i="23"/>
  <c r="BX11" i="22"/>
  <c r="BR11" i="22"/>
  <c r="BV11" i="22" s="1"/>
  <c r="DE12" i="23"/>
  <c r="CY12" i="23"/>
  <c r="DC12" i="23" s="1"/>
  <c r="DE12" i="22"/>
  <c r="CY12" i="22"/>
  <c r="DC12" i="22" s="1"/>
  <c r="DH17" i="23"/>
  <c r="DG17" i="23"/>
  <c r="X37" i="22"/>
  <c r="W37" i="22"/>
  <c r="T10" i="22"/>
  <c r="V10" i="22" s="1"/>
  <c r="X16" i="23"/>
  <c r="CD26" i="23"/>
  <c r="CK37" i="23"/>
  <c r="CL37" i="23"/>
  <c r="BP22" i="23"/>
  <c r="BO22" i="23"/>
  <c r="CN17" i="23"/>
  <c r="CR17" i="23" s="1"/>
  <c r="CT17" i="23"/>
  <c r="CW28" i="23"/>
  <c r="CV28" i="23"/>
  <c r="BG23" i="22"/>
  <c r="BK23" i="22" s="1"/>
  <c r="BM23" i="22"/>
  <c r="CT9" i="22"/>
  <c r="CN9" i="22"/>
  <c r="CR9" i="22" s="1"/>
  <c r="AV39" i="22"/>
  <c r="AZ39" i="22" s="1"/>
  <c r="BC39" i="22" s="1"/>
  <c r="BE39" i="22" s="1"/>
  <c r="BO11" i="22"/>
  <c r="BP11" i="22"/>
  <c r="X20" i="23"/>
  <c r="W20" i="23"/>
  <c r="BG15" i="23"/>
  <c r="BK15" i="23" s="1"/>
  <c r="BM15" i="23"/>
  <c r="CW7" i="23"/>
  <c r="CV7" i="23"/>
  <c r="CV11" i="22"/>
  <c r="CW11" i="22"/>
  <c r="BO22" i="22"/>
  <c r="BP22" i="22"/>
  <c r="CL37" i="22"/>
  <c r="CK37" i="22"/>
  <c r="BM37" i="22"/>
  <c r="BG37" i="22"/>
  <c r="BK37" i="22" s="1"/>
  <c r="CK10" i="22"/>
  <c r="CL10" i="22"/>
  <c r="CC33" i="23"/>
  <c r="CG33" i="23" s="1"/>
  <c r="CJ33" i="23" s="1"/>
  <c r="AV20" i="22"/>
  <c r="AZ20" i="22" s="1"/>
  <c r="BC20" i="22" s="1"/>
  <c r="AV39" i="23"/>
  <c r="AZ39" i="23" s="1"/>
  <c r="BC39" i="23" s="1"/>
  <c r="BG10" i="23"/>
  <c r="BK10" i="23" s="1"/>
  <c r="BM10" i="23"/>
  <c r="AG6" i="23"/>
  <c r="AH17" i="23"/>
  <c r="AI17" i="23"/>
  <c r="CT37" i="23"/>
  <c r="CN37" i="23"/>
  <c r="CR37" i="23" s="1"/>
  <c r="BC7" i="23"/>
  <c r="BC7" i="22"/>
  <c r="CT15" i="22"/>
  <c r="CN15" i="22"/>
  <c r="CR15" i="22" s="1"/>
  <c r="BG37" i="23"/>
  <c r="BK37" i="23" s="1"/>
  <c r="BM37" i="23"/>
  <c r="CT31" i="23"/>
  <c r="CN31" i="23"/>
  <c r="CR31" i="23" s="1"/>
  <c r="CT9" i="23"/>
  <c r="CN9" i="23"/>
  <c r="CR9" i="23" s="1"/>
  <c r="CU9" i="23" s="1"/>
  <c r="AG9" i="23"/>
  <c r="BM9" i="22"/>
  <c r="BG9" i="22"/>
  <c r="BK9" i="22" s="1"/>
  <c r="AH9" i="22"/>
  <c r="AI9" i="22"/>
  <c r="CW11" i="23"/>
  <c r="CV11" i="23"/>
  <c r="BM31" i="22"/>
  <c r="BG31" i="22"/>
  <c r="BK31" i="22" s="1"/>
  <c r="CT23" i="22"/>
  <c r="CN23" i="22"/>
  <c r="CR23" i="22" s="1"/>
  <c r="BM17" i="22"/>
  <c r="BG17" i="22"/>
  <c r="BK17" i="22" s="1"/>
  <c r="CV26" i="23"/>
  <c r="CW26" i="23"/>
  <c r="BM9" i="23"/>
  <c r="BG9" i="23"/>
  <c r="BK9" i="23" s="1"/>
  <c r="AH15" i="23"/>
  <c r="AI15" i="23"/>
  <c r="CT37" i="22"/>
  <c r="CN37" i="22"/>
  <c r="CR37" i="22" s="1"/>
  <c r="CW26" i="22"/>
  <c r="CV26" i="22"/>
  <c r="BM31" i="23"/>
  <c r="BG31" i="23"/>
  <c r="BK31" i="23" s="1"/>
  <c r="CK14" i="22"/>
  <c r="CL14" i="22"/>
  <c r="BO11" i="23"/>
  <c r="BP11" i="23"/>
  <c r="CT17" i="22"/>
  <c r="CN17" i="22"/>
  <c r="CR17" i="22" s="1"/>
  <c r="CT6" i="22"/>
  <c r="CN6" i="22"/>
  <c r="CR6" i="22" s="1"/>
  <c r="CW34" i="23"/>
  <c r="CV34" i="23"/>
  <c r="AH15" i="22"/>
  <c r="AI15" i="22"/>
  <c r="BM17" i="23"/>
  <c r="BG17" i="23"/>
  <c r="BK17" i="23" s="1"/>
  <c r="BN17" i="23" s="1"/>
  <c r="BG23" i="23"/>
  <c r="BK23" i="23" s="1"/>
  <c r="BM23" i="23"/>
  <c r="BM6" i="23"/>
  <c r="BG6" i="23"/>
  <c r="BK6" i="23" s="1"/>
  <c r="BN6" i="23" s="1"/>
  <c r="CT31" i="22"/>
  <c r="CN31" i="22"/>
  <c r="CR31" i="22" s="1"/>
  <c r="CT10" i="23"/>
  <c r="CN10" i="23"/>
  <c r="CR10" i="23" s="1"/>
  <c r="CU10" i="23" s="1"/>
  <c r="CL8" i="22"/>
  <c r="CK8" i="22"/>
  <c r="CC20" i="23"/>
  <c r="CG20" i="23" s="1"/>
  <c r="CJ20" i="23" s="1"/>
  <c r="CL20" i="23" s="1"/>
  <c r="AV33" i="22"/>
  <c r="AZ33" i="22" s="1"/>
  <c r="BC33" i="22" s="1"/>
  <c r="BE33" i="22" s="1"/>
  <c r="BM10" i="22"/>
  <c r="BG10" i="22"/>
  <c r="BK10" i="22" s="1"/>
  <c r="AG23" i="22"/>
  <c r="CU34" i="22"/>
  <c r="AG6" i="22"/>
  <c r="BG15" i="22"/>
  <c r="BK15" i="22" s="1"/>
  <c r="BN15" i="22" s="1"/>
  <c r="BM15" i="22"/>
  <c r="CT23" i="23"/>
  <c r="CN23" i="23"/>
  <c r="CR23" i="23" s="1"/>
  <c r="CU23" i="23" s="1"/>
  <c r="CT6" i="23"/>
  <c r="CN6" i="23"/>
  <c r="CR6" i="23" s="1"/>
  <c r="CJ8" i="23"/>
  <c r="CJ14" i="23"/>
  <c r="AI26" i="23"/>
  <c r="AH26" i="23"/>
  <c r="BN34" i="22"/>
  <c r="CT15" i="23"/>
  <c r="CN15" i="23"/>
  <c r="CR15" i="23" s="1"/>
  <c r="AG23" i="23"/>
  <c r="BM6" i="22"/>
  <c r="BG6" i="22"/>
  <c r="BK6" i="22" s="1"/>
  <c r="BN6" i="22" s="1"/>
  <c r="CT10" i="22"/>
  <c r="CN10" i="22"/>
  <c r="CR10" i="22" s="1"/>
  <c r="CU7" i="22"/>
  <c r="CJ34" i="22"/>
  <c r="CK34" i="22" s="1"/>
  <c r="BC29" i="23"/>
  <c r="P25" i="23"/>
  <c r="P25" i="22"/>
  <c r="AW25" i="22"/>
  <c r="AW25" i="23"/>
  <c r="CJ18" i="23"/>
  <c r="CK18" i="23" s="1"/>
  <c r="CJ33" i="22"/>
  <c r="CK33" i="22" s="1"/>
  <c r="V33" i="23"/>
  <c r="X33" i="23" s="1"/>
  <c r="CJ16" i="23"/>
  <c r="CK16" i="23" s="1"/>
  <c r="BC29" i="22"/>
  <c r="BD29" i="22" s="1"/>
  <c r="V39" i="22"/>
  <c r="X39" i="22" s="1"/>
  <c r="BC10" i="23"/>
  <c r="BE10" i="23" s="1"/>
  <c r="CJ23" i="22"/>
  <c r="CL23" i="22" s="1"/>
  <c r="BC38" i="22"/>
  <c r="BE38" i="22" s="1"/>
  <c r="CJ29" i="22"/>
  <c r="CK29" i="22" s="1"/>
  <c r="CD25" i="22"/>
  <c r="CD25" i="23"/>
  <c r="CD32" i="22"/>
  <c r="CD32" i="23"/>
  <c r="V7" i="22"/>
  <c r="X7" i="22" s="1"/>
  <c r="BC23" i="22"/>
  <c r="BE23" i="22" s="1"/>
  <c r="V10" i="23"/>
  <c r="W10" i="23" s="1"/>
  <c r="V18" i="23"/>
  <c r="W18" i="23" s="1"/>
  <c r="BC22" i="22"/>
  <c r="BD22" i="22" s="1"/>
  <c r="BC27" i="23"/>
  <c r="BD27" i="23" s="1"/>
  <c r="V22" i="23"/>
  <c r="W22" i="23" s="1"/>
  <c r="BC14" i="23"/>
  <c r="BE14" i="23" s="1"/>
  <c r="CJ23" i="23"/>
  <c r="CL23" i="23" s="1"/>
  <c r="V33" i="22"/>
  <c r="X33" i="22" s="1"/>
  <c r="V7" i="23"/>
  <c r="W7" i="23" s="1"/>
  <c r="BC23" i="23"/>
  <c r="BD23" i="23" s="1"/>
  <c r="BC6" i="22"/>
  <c r="BE6" i="22" s="1"/>
  <c r="V38" i="22"/>
  <c r="CJ29" i="23"/>
  <c r="P32" i="22"/>
  <c r="P32" i="23"/>
  <c r="BC8" i="22"/>
  <c r="BE8" i="22" s="1"/>
  <c r="V34" i="22"/>
  <c r="W34" i="22" s="1"/>
  <c r="V8" i="22"/>
  <c r="X8" i="22" s="1"/>
  <c r="BC18" i="23"/>
  <c r="CJ6" i="23"/>
  <c r="CK6" i="23" s="1"/>
  <c r="CJ27" i="23"/>
  <c r="V22" i="22"/>
  <c r="X22" i="22" s="1"/>
  <c r="BC14" i="22"/>
  <c r="BC10" i="22"/>
  <c r="BD10" i="22" s="1"/>
  <c r="BC18" i="22"/>
  <c r="BE18" i="22" s="1"/>
  <c r="BC33" i="23"/>
  <c r="BD33" i="23" s="1"/>
  <c r="BC34" i="23"/>
  <c r="BE34" i="23" s="1"/>
  <c r="CJ39" i="23"/>
  <c r="CL39" i="23" s="1"/>
  <c r="CJ22" i="23"/>
  <c r="CK22" i="23" s="1"/>
  <c r="CJ16" i="22"/>
  <c r="AW32" i="22"/>
  <c r="AW32" i="23"/>
  <c r="BC37" i="22"/>
  <c r="AW35" i="22"/>
  <c r="AW35" i="23"/>
  <c r="CH19" i="22"/>
  <c r="CC19" i="22"/>
  <c r="CG19" i="22" s="1"/>
  <c r="T15" i="22"/>
  <c r="O15" i="22"/>
  <c r="S15" i="22" s="1"/>
  <c r="V15" i="22" s="1"/>
  <c r="T26" i="23"/>
  <c r="O26" i="23"/>
  <c r="S26" i="23" s="1"/>
  <c r="T9" i="22"/>
  <c r="O9" i="22"/>
  <c r="S9" i="22" s="1"/>
  <c r="V9" i="22" s="1"/>
  <c r="T11" i="23"/>
  <c r="O11" i="23"/>
  <c r="S11" i="23" s="1"/>
  <c r="X34" i="23"/>
  <c r="W34" i="23"/>
  <c r="CH13" i="23"/>
  <c r="CC13" i="23"/>
  <c r="CG13" i="23" s="1"/>
  <c r="AV21" i="22"/>
  <c r="AZ21" i="22" s="1"/>
  <c r="BA21" i="22"/>
  <c r="BA31" i="22"/>
  <c r="AV31" i="22"/>
  <c r="AZ31" i="22" s="1"/>
  <c r="CH21" i="22"/>
  <c r="CC21" i="22"/>
  <c r="CG21" i="22" s="1"/>
  <c r="CJ21" i="22" s="1"/>
  <c r="CH12" i="22"/>
  <c r="CC12" i="22"/>
  <c r="CG12" i="22" s="1"/>
  <c r="CL7" i="23"/>
  <c r="W14" i="22"/>
  <c r="CL27" i="22"/>
  <c r="CK27" i="22"/>
  <c r="P35" i="22"/>
  <c r="P35" i="23"/>
  <c r="CH11" i="23"/>
  <c r="CC11" i="23"/>
  <c r="CG11" i="23" s="1"/>
  <c r="BA12" i="22"/>
  <c r="AV12" i="22"/>
  <c r="AZ12" i="22" s="1"/>
  <c r="BC12" i="22" s="1"/>
  <c r="T11" i="22"/>
  <c r="O11" i="22"/>
  <c r="S11" i="22" s="1"/>
  <c r="CH9" i="23"/>
  <c r="CC9" i="23"/>
  <c r="CG9" i="23" s="1"/>
  <c r="CJ9" i="23" s="1"/>
  <c r="CH13" i="22"/>
  <c r="CC13" i="22"/>
  <c r="CG13" i="22" s="1"/>
  <c r="BA26" i="23"/>
  <c r="AV26" i="23"/>
  <c r="AZ26" i="23" s="1"/>
  <c r="CH21" i="23"/>
  <c r="CC21" i="23"/>
  <c r="CG21" i="23" s="1"/>
  <c r="CH24" i="23"/>
  <c r="CC24" i="23"/>
  <c r="CG24" i="23" s="1"/>
  <c r="CH12" i="23"/>
  <c r="CC12" i="23"/>
  <c r="CG12" i="23" s="1"/>
  <c r="CD35" i="22"/>
  <c r="CD35" i="23"/>
  <c r="BA30" i="22"/>
  <c r="AV30" i="22"/>
  <c r="AZ30" i="22" s="1"/>
  <c r="CH11" i="22"/>
  <c r="CC11" i="22"/>
  <c r="CG11" i="22" s="1"/>
  <c r="BC38" i="23"/>
  <c r="T24" i="22"/>
  <c r="O24" i="22"/>
  <c r="S24" i="22" s="1"/>
  <c r="P17" i="22"/>
  <c r="P17" i="23"/>
  <c r="CH36" i="22"/>
  <c r="CC36" i="22"/>
  <c r="CG36" i="22" s="1"/>
  <c r="BA13" i="23"/>
  <c r="AV13" i="23"/>
  <c r="AZ13" i="23" s="1"/>
  <c r="CH30" i="23"/>
  <c r="CC30" i="23"/>
  <c r="CG30" i="23" s="1"/>
  <c r="BA15" i="23"/>
  <c r="AV15" i="23"/>
  <c r="AZ15" i="23" s="1"/>
  <c r="BA36" i="22"/>
  <c r="AV36" i="22"/>
  <c r="AZ36" i="22" s="1"/>
  <c r="T30" i="23"/>
  <c r="O30" i="23"/>
  <c r="S30" i="23" s="1"/>
  <c r="BA26" i="22"/>
  <c r="AV26" i="22"/>
  <c r="AZ26" i="22" s="1"/>
  <c r="T13" i="22"/>
  <c r="O13" i="22"/>
  <c r="S13" i="22" s="1"/>
  <c r="T31" i="22"/>
  <c r="O31" i="22"/>
  <c r="S31" i="22" s="1"/>
  <c r="CH26" i="23"/>
  <c r="CC26" i="23"/>
  <c r="CG26" i="23" s="1"/>
  <c r="BE33" i="23"/>
  <c r="BA19" i="22"/>
  <c r="AV19" i="22"/>
  <c r="AZ19" i="22" s="1"/>
  <c r="CK16" i="22"/>
  <c r="CL16" i="22"/>
  <c r="T36" i="22"/>
  <c r="O36" i="22"/>
  <c r="S36" i="22" s="1"/>
  <c r="T21" i="23"/>
  <c r="O21" i="23"/>
  <c r="S21" i="23" s="1"/>
  <c r="BA24" i="23"/>
  <c r="AV24" i="23"/>
  <c r="AZ24" i="23" s="1"/>
  <c r="AV9" i="22"/>
  <c r="AZ9" i="22" s="1"/>
  <c r="BA9" i="22"/>
  <c r="T19" i="22"/>
  <c r="O19" i="22"/>
  <c r="S19" i="22" s="1"/>
  <c r="BA12" i="23"/>
  <c r="AV12" i="23"/>
  <c r="AZ12" i="23" s="1"/>
  <c r="CK20" i="22"/>
  <c r="CH31" i="23"/>
  <c r="CC31" i="23"/>
  <c r="CG31" i="23" s="1"/>
  <c r="CH9" i="22"/>
  <c r="CC9" i="22"/>
  <c r="CG9" i="22" s="1"/>
  <c r="CJ9" i="22" s="1"/>
  <c r="BD27" i="22"/>
  <c r="BE27" i="22"/>
  <c r="BD8" i="23"/>
  <c r="BE8" i="23"/>
  <c r="BA11" i="22"/>
  <c r="AV11" i="22"/>
  <c r="AZ11" i="22" s="1"/>
  <c r="T12" i="23"/>
  <c r="O12" i="23"/>
  <c r="S12" i="23" s="1"/>
  <c r="V12" i="23" s="1"/>
  <c r="W33" i="23"/>
  <c r="CH15" i="22"/>
  <c r="CC15" i="22"/>
  <c r="CG15" i="22" s="1"/>
  <c r="CJ15" i="22" s="1"/>
  <c r="BD10" i="23"/>
  <c r="CH24" i="22"/>
  <c r="CC24" i="22"/>
  <c r="CG24" i="22" s="1"/>
  <c r="CL18" i="22"/>
  <c r="CK18" i="22"/>
  <c r="CK38" i="23"/>
  <c r="BA30" i="23"/>
  <c r="AV30" i="23"/>
  <c r="AZ30" i="23" s="1"/>
  <c r="T24" i="23"/>
  <c r="O24" i="23"/>
  <c r="S24" i="23" s="1"/>
  <c r="AW17" i="22"/>
  <c r="AW17" i="23"/>
  <c r="CC31" i="22"/>
  <c r="CG31" i="22" s="1"/>
  <c r="CH31" i="22"/>
  <c r="T30" i="22"/>
  <c r="O30" i="22"/>
  <c r="S30" i="22" s="1"/>
  <c r="CH15" i="23"/>
  <c r="CC15" i="23"/>
  <c r="CG15" i="23" s="1"/>
  <c r="CL38" i="22"/>
  <c r="BD8" i="22"/>
  <c r="T36" i="23"/>
  <c r="O36" i="23"/>
  <c r="S36" i="23" s="1"/>
  <c r="V14" i="23"/>
  <c r="CJ7" i="22"/>
  <c r="T21" i="22"/>
  <c r="O21" i="22"/>
  <c r="S21" i="22" s="1"/>
  <c r="CH19" i="23"/>
  <c r="CC19" i="23"/>
  <c r="CG19" i="23" s="1"/>
  <c r="BA24" i="22"/>
  <c r="AV24" i="22"/>
  <c r="AZ24" i="22" s="1"/>
  <c r="T15" i="23"/>
  <c r="O15" i="23"/>
  <c r="S15" i="23" s="1"/>
  <c r="BA9" i="23"/>
  <c r="AV9" i="23"/>
  <c r="AZ9" i="23" s="1"/>
  <c r="BC6" i="23"/>
  <c r="T26" i="22"/>
  <c r="O26" i="22"/>
  <c r="S26" i="22" s="1"/>
  <c r="V38" i="23"/>
  <c r="CJ6" i="22"/>
  <c r="V39" i="23"/>
  <c r="V8" i="23"/>
  <c r="BC34" i="22"/>
  <c r="T19" i="23"/>
  <c r="O19" i="23"/>
  <c r="S19" i="23" s="1"/>
  <c r="CJ39" i="22"/>
  <c r="CJ22" i="22"/>
  <c r="T9" i="23"/>
  <c r="O9" i="23"/>
  <c r="S9" i="23" s="1"/>
  <c r="CD17" i="23"/>
  <c r="CD17" i="22"/>
  <c r="CH36" i="23"/>
  <c r="CC36" i="23"/>
  <c r="CG36" i="23" s="1"/>
  <c r="BA13" i="22"/>
  <c r="AV13" i="22"/>
  <c r="AZ13" i="22" s="1"/>
  <c r="CH30" i="22"/>
  <c r="CC30" i="22"/>
  <c r="CG30" i="22" s="1"/>
  <c r="BA15" i="22"/>
  <c r="AV15" i="22"/>
  <c r="AZ15" i="22" s="1"/>
  <c r="BA36" i="23"/>
  <c r="AV36" i="23"/>
  <c r="AZ36" i="23" s="1"/>
  <c r="BA21" i="23"/>
  <c r="AV21" i="23"/>
  <c r="AZ21" i="23" s="1"/>
  <c r="BA11" i="23"/>
  <c r="AV11" i="23"/>
  <c r="AZ11" i="23" s="1"/>
  <c r="CJ34" i="23"/>
  <c r="AV31" i="23"/>
  <c r="AZ31" i="23" s="1"/>
  <c r="BA31" i="23"/>
  <c r="T12" i="22"/>
  <c r="O12" i="22"/>
  <c r="S12" i="22" s="1"/>
  <c r="V18" i="22"/>
  <c r="BC22" i="23"/>
  <c r="T13" i="23"/>
  <c r="O13" i="23"/>
  <c r="S13" i="23" s="1"/>
  <c r="O31" i="23"/>
  <c r="S31" i="23" s="1"/>
  <c r="T31" i="23"/>
  <c r="CH26" i="22"/>
  <c r="CC26" i="22"/>
  <c r="CG26" i="22" s="1"/>
  <c r="CJ26" i="22" s="1"/>
  <c r="BA19" i="23"/>
  <c r="AV19" i="23"/>
  <c r="AZ19" i="23" s="1"/>
  <c r="B62" i="27" l="1"/>
  <c r="K62" i="27"/>
  <c r="C62" i="27"/>
  <c r="I62" i="27" s="1"/>
  <c r="L61" i="27"/>
  <c r="U61" i="27"/>
  <c r="T61" i="27"/>
  <c r="R61" i="27"/>
  <c r="D61" i="27"/>
  <c r="AT23" i="23"/>
  <c r="AS29" i="22"/>
  <c r="DG33" i="23"/>
  <c r="DH33" i="23"/>
  <c r="DG31" i="23"/>
  <c r="AS13" i="23"/>
  <c r="DF34" i="22"/>
  <c r="DG34" i="22" s="1"/>
  <c r="DH34" i="23"/>
  <c r="AS10" i="23"/>
  <c r="DG35" i="22"/>
  <c r="AT24" i="22"/>
  <c r="AT27" i="23"/>
  <c r="DG22" i="22"/>
  <c r="DH22" i="22"/>
  <c r="BZ26" i="22"/>
  <c r="CA26" i="22"/>
  <c r="BZ21" i="23"/>
  <c r="AT39" i="23"/>
  <c r="BZ8" i="23"/>
  <c r="CA18" i="23"/>
  <c r="BZ13" i="23"/>
  <c r="AT29" i="23"/>
  <c r="DF17" i="22"/>
  <c r="DH26" i="23"/>
  <c r="DG29" i="22"/>
  <c r="AT27" i="22"/>
  <c r="DG30" i="22"/>
  <c r="DG8" i="23"/>
  <c r="AT17" i="22"/>
  <c r="BZ18" i="22"/>
  <c r="DH21" i="22"/>
  <c r="DH36" i="22"/>
  <c r="DG36" i="23"/>
  <c r="CA36" i="23"/>
  <c r="CA36" i="22"/>
  <c r="DH30" i="23"/>
  <c r="AS32" i="22"/>
  <c r="BY6" i="22"/>
  <c r="CA32" i="23"/>
  <c r="DH31" i="22"/>
  <c r="AS26" i="22"/>
  <c r="AS19" i="23"/>
  <c r="BY27" i="23"/>
  <c r="BZ27" i="23" s="1"/>
  <c r="AS26" i="23"/>
  <c r="CA34" i="23"/>
  <c r="BZ34" i="23"/>
  <c r="CA23" i="22"/>
  <c r="BY20" i="22"/>
  <c r="BZ20" i="22" s="1"/>
  <c r="BO30" i="23"/>
  <c r="BP30" i="23"/>
  <c r="BP18" i="22"/>
  <c r="BO18" i="22"/>
  <c r="DG7" i="23"/>
  <c r="CV8" i="23"/>
  <c r="CW8" i="23"/>
  <c r="CW30" i="22"/>
  <c r="CV30" i="22"/>
  <c r="CU18" i="23"/>
  <c r="BN23" i="22"/>
  <c r="BO23" i="22" s="1"/>
  <c r="CU17" i="23"/>
  <c r="CV17" i="23" s="1"/>
  <c r="AT19" i="22"/>
  <c r="CU18" i="22"/>
  <c r="BN8" i="22"/>
  <c r="BN20" i="22"/>
  <c r="BN20" i="23"/>
  <c r="CW36" i="23"/>
  <c r="CV36" i="23"/>
  <c r="CV21" i="23"/>
  <c r="CW21" i="23"/>
  <c r="CW8" i="22"/>
  <c r="CV8" i="22"/>
  <c r="CV20" i="22"/>
  <c r="CW20" i="22"/>
  <c r="BP18" i="23"/>
  <c r="BO18" i="23"/>
  <c r="CU15" i="23"/>
  <c r="CV15" i="23" s="1"/>
  <c r="BN10" i="22"/>
  <c r="CU31" i="22"/>
  <c r="BN23" i="23"/>
  <c r="BO23" i="23" s="1"/>
  <c r="CU6" i="22"/>
  <c r="CV6" i="22" s="1"/>
  <c r="BN31" i="23"/>
  <c r="CU37" i="22"/>
  <c r="BN9" i="23"/>
  <c r="BO9" i="23" s="1"/>
  <c r="BN17" i="22"/>
  <c r="BO17" i="22" s="1"/>
  <c r="BN31" i="22"/>
  <c r="CU9" i="22"/>
  <c r="DF39" i="23"/>
  <c r="DH39" i="23" s="1"/>
  <c r="BN8" i="23"/>
  <c r="CV29" i="23"/>
  <c r="CW29" i="23"/>
  <c r="CU20" i="23"/>
  <c r="AS25" i="23"/>
  <c r="AT25" i="23"/>
  <c r="BP30" i="22"/>
  <c r="BO30" i="22"/>
  <c r="CV30" i="23"/>
  <c r="CW30" i="23"/>
  <c r="BE20" i="23"/>
  <c r="BD20" i="23"/>
  <c r="DF28" i="23"/>
  <c r="DH28" i="23" s="1"/>
  <c r="DG16" i="23"/>
  <c r="DH22" i="23"/>
  <c r="DH37" i="22"/>
  <c r="CL6" i="23"/>
  <c r="X18" i="23"/>
  <c r="CA32" i="22"/>
  <c r="CA22" i="23"/>
  <c r="BY28" i="22"/>
  <c r="CA28" i="22" s="1"/>
  <c r="DF20" i="22"/>
  <c r="DF20" i="23"/>
  <c r="BY20" i="23"/>
  <c r="CA14" i="23"/>
  <c r="BZ35" i="23"/>
  <c r="BZ17" i="23"/>
  <c r="CA13" i="22"/>
  <c r="BY11" i="23"/>
  <c r="CA11" i="23" s="1"/>
  <c r="BY10" i="23"/>
  <c r="BZ10" i="23" s="1"/>
  <c r="BY9" i="23"/>
  <c r="BZ9" i="23" s="1"/>
  <c r="BY24" i="23"/>
  <c r="CA24" i="23" s="1"/>
  <c r="BY27" i="22"/>
  <c r="BZ27" i="22" s="1"/>
  <c r="DH38" i="22"/>
  <c r="DG38" i="22"/>
  <c r="CA30" i="23"/>
  <c r="BZ30" i="23"/>
  <c r="AS24" i="23"/>
  <c r="DF24" i="23"/>
  <c r="DG24" i="23" s="1"/>
  <c r="BY39" i="23"/>
  <c r="BZ39" i="23" s="1"/>
  <c r="DF39" i="22"/>
  <c r="DH39" i="22" s="1"/>
  <c r="DF27" i="23"/>
  <c r="DG27" i="23" s="1"/>
  <c r="BY28" i="23"/>
  <c r="BZ28" i="23" s="1"/>
  <c r="DF28" i="22"/>
  <c r="DH28" i="22" s="1"/>
  <c r="BZ16" i="23"/>
  <c r="CA16" i="23"/>
  <c r="DG13" i="22"/>
  <c r="DH13" i="22"/>
  <c r="DG37" i="23"/>
  <c r="DH37" i="23"/>
  <c r="AT9" i="22"/>
  <c r="BY39" i="22"/>
  <c r="BZ33" i="23"/>
  <c r="CA33" i="23"/>
  <c r="BZ23" i="23"/>
  <c r="CA23" i="23"/>
  <c r="DH21" i="23"/>
  <c r="DG21" i="23"/>
  <c r="BZ35" i="22"/>
  <c r="CA35" i="22"/>
  <c r="DH16" i="22"/>
  <c r="DG16" i="22"/>
  <c r="DF12" i="22"/>
  <c r="DG12" i="22" s="1"/>
  <c r="BY11" i="22"/>
  <c r="BZ11" i="22" s="1"/>
  <c r="DF10" i="22"/>
  <c r="DG10" i="22" s="1"/>
  <c r="DF19" i="23"/>
  <c r="DH19" i="23" s="1"/>
  <c r="BY19" i="22"/>
  <c r="BZ19" i="22" s="1"/>
  <c r="BY12" i="22"/>
  <c r="CA12" i="22" s="1"/>
  <c r="DF24" i="22"/>
  <c r="DH24" i="22" s="1"/>
  <c r="DF27" i="22"/>
  <c r="AT15" i="23"/>
  <c r="AS15" i="23"/>
  <c r="DG29" i="23"/>
  <c r="DH29" i="23"/>
  <c r="DG32" i="23"/>
  <c r="DH32" i="23"/>
  <c r="DH18" i="22"/>
  <c r="DG18" i="22"/>
  <c r="BZ22" i="22"/>
  <c r="CA22" i="22"/>
  <c r="DF10" i="23"/>
  <c r="BY10" i="22"/>
  <c r="BZ14" i="22"/>
  <c r="CA14" i="22"/>
  <c r="DG14" i="22"/>
  <c r="DH14" i="22"/>
  <c r="DF9" i="23"/>
  <c r="AS9" i="23"/>
  <c r="AT9" i="23"/>
  <c r="DF19" i="22"/>
  <c r="DF11" i="23"/>
  <c r="DF9" i="22"/>
  <c r="DG32" i="22"/>
  <c r="DH32" i="22"/>
  <c r="CA21" i="22"/>
  <c r="BZ21" i="22"/>
  <c r="DF12" i="23"/>
  <c r="BY19" i="23"/>
  <c r="DH7" i="22"/>
  <c r="DG7" i="22"/>
  <c r="BY9" i="22"/>
  <c r="BY24" i="22"/>
  <c r="DH18" i="23"/>
  <c r="DG18" i="23"/>
  <c r="BY12" i="23"/>
  <c r="DG14" i="23"/>
  <c r="DH14" i="23"/>
  <c r="DF11" i="22"/>
  <c r="DH13" i="23"/>
  <c r="DG13" i="23"/>
  <c r="W10" i="22"/>
  <c r="X10" i="22"/>
  <c r="BE22" i="22"/>
  <c r="BC12" i="23"/>
  <c r="V21" i="23"/>
  <c r="X21" i="23" s="1"/>
  <c r="BD34" i="23"/>
  <c r="CJ11" i="23"/>
  <c r="CL11" i="23" s="1"/>
  <c r="CJ12" i="22"/>
  <c r="CL29" i="22"/>
  <c r="BE29" i="22"/>
  <c r="V13" i="23"/>
  <c r="W13" i="23" s="1"/>
  <c r="V12" i="22"/>
  <c r="W12" i="22" s="1"/>
  <c r="BC31" i="23"/>
  <c r="BE31" i="23" s="1"/>
  <c r="CL34" i="22"/>
  <c r="CL22" i="23"/>
  <c r="BD39" i="22"/>
  <c r="BD33" i="22"/>
  <c r="W33" i="22"/>
  <c r="CL33" i="22"/>
  <c r="BC26" i="22"/>
  <c r="BE26" i="22" s="1"/>
  <c r="W22" i="22"/>
  <c r="CJ12" i="23"/>
  <c r="CL12" i="23" s="1"/>
  <c r="CJ21" i="23"/>
  <c r="CL21" i="23" s="1"/>
  <c r="CL33" i="23"/>
  <c r="CK33" i="23"/>
  <c r="CW15" i="23"/>
  <c r="BO15" i="22"/>
  <c r="BP15" i="22"/>
  <c r="CW31" i="22"/>
  <c r="CV31" i="22"/>
  <c r="CW37" i="22"/>
  <c r="CV37" i="22"/>
  <c r="CW9" i="22"/>
  <c r="CV9" i="22"/>
  <c r="BO6" i="22"/>
  <c r="BP6" i="22"/>
  <c r="CW23" i="23"/>
  <c r="CV23" i="23"/>
  <c r="BE7" i="22"/>
  <c r="BD7" i="22"/>
  <c r="BN10" i="23"/>
  <c r="X22" i="23"/>
  <c r="BD6" i="22"/>
  <c r="X10" i="23"/>
  <c r="W39" i="22"/>
  <c r="CK20" i="23"/>
  <c r="CV7" i="22"/>
  <c r="CW7" i="22"/>
  <c r="BP34" i="22"/>
  <c r="BO34" i="22"/>
  <c r="CK8" i="23"/>
  <c r="CL8" i="23"/>
  <c r="CV34" i="22"/>
  <c r="CW34" i="22"/>
  <c r="CV10" i="23"/>
  <c r="CW10" i="23"/>
  <c r="BP6" i="23"/>
  <c r="BO6" i="23"/>
  <c r="BP17" i="23"/>
  <c r="BO17" i="23"/>
  <c r="CU17" i="22"/>
  <c r="CU23" i="22"/>
  <c r="BN9" i="22"/>
  <c r="BN37" i="23"/>
  <c r="BD7" i="23"/>
  <c r="BE7" i="23"/>
  <c r="BN15" i="23"/>
  <c r="BO10" i="22"/>
  <c r="BP10" i="22"/>
  <c r="BP23" i="23"/>
  <c r="BO31" i="23"/>
  <c r="BP31" i="23"/>
  <c r="BP9" i="23"/>
  <c r="BO31" i="22"/>
  <c r="BP31" i="22"/>
  <c r="AH9" i="23"/>
  <c r="AI9" i="23"/>
  <c r="CK14" i="23"/>
  <c r="CL14" i="23"/>
  <c r="AH6" i="22"/>
  <c r="AI6" i="22"/>
  <c r="CW9" i="23"/>
  <c r="CV9" i="23"/>
  <c r="V21" i="22"/>
  <c r="X21" i="22" s="1"/>
  <c r="V36" i="23"/>
  <c r="W36" i="23" s="1"/>
  <c r="V24" i="23"/>
  <c r="W24" i="23" s="1"/>
  <c r="BE10" i="22"/>
  <c r="BC15" i="23"/>
  <c r="BE15" i="23" s="1"/>
  <c r="BC13" i="23"/>
  <c r="BE13" i="23" s="1"/>
  <c r="BC31" i="22"/>
  <c r="BE31" i="22" s="1"/>
  <c r="CJ13" i="23"/>
  <c r="CL13" i="23" s="1"/>
  <c r="V11" i="23"/>
  <c r="W11" i="23" s="1"/>
  <c r="CU10" i="22"/>
  <c r="AH23" i="23"/>
  <c r="AI23" i="23"/>
  <c r="CU6" i="23"/>
  <c r="AI23" i="22"/>
  <c r="AH23" i="22"/>
  <c r="CU31" i="23"/>
  <c r="CU15" i="22"/>
  <c r="CU37" i="23"/>
  <c r="AH6" i="23"/>
  <c r="AI6" i="23"/>
  <c r="BN37" i="22"/>
  <c r="CW17" i="23"/>
  <c r="CH25" i="23"/>
  <c r="CC25" i="23"/>
  <c r="CG25" i="23" s="1"/>
  <c r="CK39" i="23"/>
  <c r="CH25" i="22"/>
  <c r="CC25" i="22"/>
  <c r="CG25" i="22" s="1"/>
  <c r="T25" i="23"/>
  <c r="O25" i="23"/>
  <c r="S25" i="23" s="1"/>
  <c r="BC19" i="23"/>
  <c r="BD19" i="23" s="1"/>
  <c r="V31" i="23"/>
  <c r="W31" i="23" s="1"/>
  <c r="V26" i="22"/>
  <c r="X26" i="22" s="1"/>
  <c r="BC19" i="22"/>
  <c r="BD19" i="22" s="1"/>
  <c r="CJ30" i="23"/>
  <c r="CL30" i="23" s="1"/>
  <c r="CJ36" i="22"/>
  <c r="CL36" i="22" s="1"/>
  <c r="V24" i="22"/>
  <c r="W24" i="22" s="1"/>
  <c r="CJ24" i="23"/>
  <c r="CL24" i="23" s="1"/>
  <c r="BC26" i="23"/>
  <c r="BE26" i="23" s="1"/>
  <c r="CJ13" i="22"/>
  <c r="CK13" i="22" s="1"/>
  <c r="V11" i="22"/>
  <c r="W11" i="22" s="1"/>
  <c r="W7" i="22"/>
  <c r="BD38" i="22"/>
  <c r="CL16" i="23"/>
  <c r="CL18" i="23"/>
  <c r="V26" i="23"/>
  <c r="X26" i="23" s="1"/>
  <c r="CJ19" i="22"/>
  <c r="CK19" i="22" s="1"/>
  <c r="BA25" i="23"/>
  <c r="AV25" i="23"/>
  <c r="AZ25" i="23" s="1"/>
  <c r="BD29" i="23"/>
  <c r="BE29" i="23"/>
  <c r="T25" i="22"/>
  <c r="O25" i="22"/>
  <c r="S25" i="22" s="1"/>
  <c r="CJ19" i="23"/>
  <c r="CL19" i="23" s="1"/>
  <c r="CJ15" i="23"/>
  <c r="CK15" i="23" s="1"/>
  <c r="V30" i="22"/>
  <c r="W30" i="22" s="1"/>
  <c r="BC30" i="23"/>
  <c r="BE30" i="23" s="1"/>
  <c r="CJ24" i="22"/>
  <c r="CL24" i="22" s="1"/>
  <c r="BC11" i="22"/>
  <c r="BD11" i="22" s="1"/>
  <c r="CJ31" i="23"/>
  <c r="CL31" i="23" s="1"/>
  <c r="V19" i="22"/>
  <c r="W19" i="22" s="1"/>
  <c r="BC24" i="23"/>
  <c r="BD24" i="23" s="1"/>
  <c r="V36" i="22"/>
  <c r="X36" i="22" s="1"/>
  <c r="CJ26" i="23"/>
  <c r="V31" i="22"/>
  <c r="X31" i="22" s="1"/>
  <c r="V13" i="22"/>
  <c r="W13" i="22" s="1"/>
  <c r="V30" i="23"/>
  <c r="W30" i="23" s="1"/>
  <c r="BC36" i="22"/>
  <c r="BD36" i="22" s="1"/>
  <c r="CK23" i="22"/>
  <c r="BA25" i="22"/>
  <c r="AV25" i="22"/>
  <c r="AZ25" i="22" s="1"/>
  <c r="BA32" i="22"/>
  <c r="AV32" i="22"/>
  <c r="AZ32" i="22" s="1"/>
  <c r="CK27" i="23"/>
  <c r="CL27" i="23"/>
  <c r="T32" i="22"/>
  <c r="O32" i="22"/>
  <c r="S32" i="22" s="1"/>
  <c r="CK29" i="23"/>
  <c r="CL29" i="23"/>
  <c r="BE23" i="23"/>
  <c r="CK23" i="23"/>
  <c r="BD23" i="22"/>
  <c r="BD18" i="22"/>
  <c r="W8" i="22"/>
  <c r="X34" i="22"/>
  <c r="X7" i="23"/>
  <c r="BD14" i="23"/>
  <c r="BE27" i="23"/>
  <c r="BD37" i="22"/>
  <c r="BE37" i="22"/>
  <c r="BE14" i="22"/>
  <c r="BD14" i="22"/>
  <c r="W38" i="22"/>
  <c r="X38" i="22"/>
  <c r="CC32" i="23"/>
  <c r="CG32" i="23" s="1"/>
  <c r="CH32" i="23"/>
  <c r="BC11" i="23"/>
  <c r="BD11" i="23" s="1"/>
  <c r="BC36" i="23"/>
  <c r="BE36" i="23" s="1"/>
  <c r="CJ30" i="22"/>
  <c r="CL30" i="22" s="1"/>
  <c r="CJ36" i="23"/>
  <c r="CK36" i="23" s="1"/>
  <c r="V9" i="23"/>
  <c r="W9" i="23" s="1"/>
  <c r="V19" i="23"/>
  <c r="W19" i="23" s="1"/>
  <c r="V15" i="23"/>
  <c r="W15" i="23" s="1"/>
  <c r="BC30" i="22"/>
  <c r="BE30" i="22" s="1"/>
  <c r="BA32" i="23"/>
  <c r="AV32" i="23"/>
  <c r="AZ32" i="23" s="1"/>
  <c r="BD18" i="23"/>
  <c r="BE18" i="23"/>
  <c r="T32" i="23"/>
  <c r="O32" i="23"/>
  <c r="S32" i="23" s="1"/>
  <c r="CH32" i="22"/>
  <c r="CC32" i="22"/>
  <c r="CG32" i="22" s="1"/>
  <c r="X31" i="23"/>
  <c r="BE39" i="23"/>
  <c r="BD39" i="23"/>
  <c r="X36" i="23"/>
  <c r="X30" i="22"/>
  <c r="CK31" i="23"/>
  <c r="BE36" i="22"/>
  <c r="CH35" i="22"/>
  <c r="CC35" i="22"/>
  <c r="CG35" i="22" s="1"/>
  <c r="CK11" i="23"/>
  <c r="CL21" i="22"/>
  <c r="CK21" i="22"/>
  <c r="X18" i="22"/>
  <c r="W18" i="22"/>
  <c r="BD30" i="22"/>
  <c r="X13" i="23"/>
  <c r="CL6" i="22"/>
  <c r="CK6" i="22"/>
  <c r="W12" i="23"/>
  <c r="X12" i="23"/>
  <c r="CL9" i="22"/>
  <c r="CK9" i="22"/>
  <c r="BE12" i="23"/>
  <c r="BD12" i="23"/>
  <c r="CK26" i="23"/>
  <c r="CL26" i="23"/>
  <c r="BD26" i="22"/>
  <c r="BD15" i="23"/>
  <c r="BD13" i="23"/>
  <c r="O17" i="23"/>
  <c r="S17" i="23" s="1"/>
  <c r="T17" i="23"/>
  <c r="BE38" i="23"/>
  <c r="BD38" i="23"/>
  <c r="CK9" i="23"/>
  <c r="CL9" i="23"/>
  <c r="BE12" i="22"/>
  <c r="BD12" i="22"/>
  <c r="T35" i="23"/>
  <c r="O35" i="23"/>
  <c r="S35" i="23" s="1"/>
  <c r="X9" i="22"/>
  <c r="W9" i="22"/>
  <c r="W15" i="22"/>
  <c r="X15" i="22"/>
  <c r="BA35" i="23"/>
  <c r="AV35" i="23"/>
  <c r="AZ35" i="23" s="1"/>
  <c r="BD22" i="23"/>
  <c r="BE22" i="23"/>
  <c r="CL34" i="23"/>
  <c r="CK34" i="23"/>
  <c r="CH17" i="23"/>
  <c r="CC17" i="23"/>
  <c r="CG17" i="23" s="1"/>
  <c r="CL39" i="22"/>
  <c r="CK39" i="22"/>
  <c r="W8" i="23"/>
  <c r="X8" i="23"/>
  <c r="BA17" i="23"/>
  <c r="AV17" i="23"/>
  <c r="AZ17" i="23" s="1"/>
  <c r="X24" i="22"/>
  <c r="CK12" i="22"/>
  <c r="CL12" i="22"/>
  <c r="BD31" i="22"/>
  <c r="BD20" i="22"/>
  <c r="BE20" i="22"/>
  <c r="W39" i="23"/>
  <c r="X39" i="23"/>
  <c r="BA17" i="22"/>
  <c r="AV17" i="22"/>
  <c r="AZ17" i="22" s="1"/>
  <c r="CK26" i="22"/>
  <c r="CL26" i="22"/>
  <c r="BD6" i="23"/>
  <c r="BE6" i="23"/>
  <c r="CK7" i="22"/>
  <c r="CL7" i="22"/>
  <c r="CK15" i="22"/>
  <c r="CL15" i="22"/>
  <c r="BC21" i="23"/>
  <c r="BC15" i="22"/>
  <c r="BC13" i="22"/>
  <c r="CH17" i="22"/>
  <c r="CC17" i="22"/>
  <c r="CG17" i="22" s="1"/>
  <c r="CL22" i="22"/>
  <c r="CK22" i="22"/>
  <c r="BE34" i="22"/>
  <c r="BD34" i="22"/>
  <c r="X38" i="23"/>
  <c r="W38" i="23"/>
  <c r="BC9" i="23"/>
  <c r="BC24" i="22"/>
  <c r="W14" i="23"/>
  <c r="X14" i="23"/>
  <c r="CJ31" i="22"/>
  <c r="BC9" i="22"/>
  <c r="T17" i="22"/>
  <c r="O17" i="22"/>
  <c r="S17" i="22" s="1"/>
  <c r="CJ11" i="22"/>
  <c r="CH35" i="23"/>
  <c r="CC35" i="23"/>
  <c r="CG35" i="23" s="1"/>
  <c r="T35" i="22"/>
  <c r="O35" i="22"/>
  <c r="S35" i="22" s="1"/>
  <c r="BC21" i="22"/>
  <c r="BA35" i="22"/>
  <c r="AV35" i="22"/>
  <c r="AZ35" i="22" s="1"/>
  <c r="B63" i="27" l="1"/>
  <c r="V61" i="27"/>
  <c r="O71" i="27"/>
  <c r="E61" i="27"/>
  <c r="H61" i="27"/>
  <c r="N71" i="27" s="1"/>
  <c r="D62" i="27"/>
  <c r="T62" i="27"/>
  <c r="U62" i="27"/>
  <c r="L62" i="27"/>
  <c r="R62" i="27"/>
  <c r="DH34" i="22"/>
  <c r="CA27" i="23"/>
  <c r="DG28" i="23"/>
  <c r="DG28" i="22"/>
  <c r="DH17" i="22"/>
  <c r="DG17" i="22"/>
  <c r="DH24" i="23"/>
  <c r="CA20" i="22"/>
  <c r="CA6" i="22"/>
  <c r="BZ6" i="22"/>
  <c r="BZ24" i="23"/>
  <c r="DG39" i="23"/>
  <c r="CA39" i="23"/>
  <c r="CV20" i="23"/>
  <c r="CW20" i="23"/>
  <c r="BO20" i="22"/>
  <c r="BP20" i="22"/>
  <c r="BP8" i="22"/>
  <c r="BO8" i="22"/>
  <c r="BP23" i="22"/>
  <c r="BP17" i="22"/>
  <c r="CW6" i="22"/>
  <c r="DG19" i="23"/>
  <c r="CV18" i="22"/>
  <c r="CW18" i="22"/>
  <c r="CV18" i="23"/>
  <c r="CW18" i="23"/>
  <c r="CA9" i="23"/>
  <c r="DH10" i="22"/>
  <c r="CA10" i="23"/>
  <c r="CA28" i="23"/>
  <c r="BO8" i="23"/>
  <c r="BP8" i="23"/>
  <c r="BO20" i="23"/>
  <c r="BP20" i="23"/>
  <c r="CA20" i="23"/>
  <c r="BZ20" i="23"/>
  <c r="CK12" i="23"/>
  <c r="DH27" i="23"/>
  <c r="BZ28" i="22"/>
  <c r="DH20" i="23"/>
  <c r="DG20" i="23"/>
  <c r="BD31" i="23"/>
  <c r="W21" i="23"/>
  <c r="CA19" i="22"/>
  <c r="DH12" i="22"/>
  <c r="DG39" i="22"/>
  <c r="DG20" i="22"/>
  <c r="DH20" i="22"/>
  <c r="CK19" i="23"/>
  <c r="X12" i="22"/>
  <c r="CK24" i="23"/>
  <c r="CK36" i="22"/>
  <c r="CL13" i="22"/>
  <c r="BC25" i="22"/>
  <c r="BE25" i="22" s="1"/>
  <c r="BZ11" i="23"/>
  <c r="CA27" i="22"/>
  <c r="BZ12" i="22"/>
  <c r="CA11" i="22"/>
  <c r="DG24" i="22"/>
  <c r="DH27" i="22"/>
  <c r="DG27" i="22"/>
  <c r="CA39" i="22"/>
  <c r="BZ39" i="22"/>
  <c r="CA24" i="22"/>
  <c r="BZ24" i="22"/>
  <c r="CA19" i="23"/>
  <c r="BZ19" i="23"/>
  <c r="DH19" i="22"/>
  <c r="DG19" i="22"/>
  <c r="CA10" i="22"/>
  <c r="BZ10" i="22"/>
  <c r="CA12" i="23"/>
  <c r="BZ12" i="23"/>
  <c r="BZ9" i="22"/>
  <c r="CA9" i="22"/>
  <c r="DH12" i="23"/>
  <c r="DG12" i="23"/>
  <c r="DH10" i="23"/>
  <c r="DG10" i="23"/>
  <c r="DH11" i="22"/>
  <c r="DG11" i="22"/>
  <c r="DG9" i="22"/>
  <c r="DH9" i="22"/>
  <c r="DH11" i="23"/>
  <c r="DG11" i="23"/>
  <c r="DH9" i="23"/>
  <c r="DG9" i="23"/>
  <c r="CK21" i="23"/>
  <c r="X11" i="23"/>
  <c r="X11" i="22"/>
  <c r="X19" i="23"/>
  <c r="BE24" i="23"/>
  <c r="W26" i="22"/>
  <c r="X19" i="22"/>
  <c r="BD30" i="23"/>
  <c r="W31" i="22"/>
  <c r="X24" i="23"/>
  <c r="V25" i="23"/>
  <c r="X25" i="23" s="1"/>
  <c r="CV15" i="22"/>
  <c r="CW15" i="22"/>
  <c r="CW23" i="22"/>
  <c r="CV23" i="22"/>
  <c r="BD26" i="23"/>
  <c r="CW31" i="23"/>
  <c r="CV31" i="23"/>
  <c r="CW17" i="22"/>
  <c r="CV17" i="22"/>
  <c r="BP10" i="23"/>
  <c r="BO10" i="23"/>
  <c r="BD36" i="23"/>
  <c r="W26" i="23"/>
  <c r="CK24" i="22"/>
  <c r="W21" i="22"/>
  <c r="BE19" i="23"/>
  <c r="X15" i="23"/>
  <c r="CK30" i="22"/>
  <c r="CK13" i="23"/>
  <c r="X13" i="22"/>
  <c r="BP37" i="23"/>
  <c r="BO37" i="23"/>
  <c r="BP37" i="22"/>
  <c r="BO37" i="22"/>
  <c r="CW6" i="23"/>
  <c r="CV6" i="23"/>
  <c r="CL15" i="23"/>
  <c r="X30" i="23"/>
  <c r="BE19" i="22"/>
  <c r="CJ32" i="22"/>
  <c r="CL32" i="22" s="1"/>
  <c r="CW37" i="23"/>
  <c r="CV37" i="23"/>
  <c r="CV10" i="22"/>
  <c r="CW10" i="22"/>
  <c r="BO15" i="23"/>
  <c r="BP15" i="23"/>
  <c r="BP9" i="22"/>
  <c r="BO9" i="22"/>
  <c r="CL19" i="22"/>
  <c r="W25" i="23"/>
  <c r="BC35" i="22"/>
  <c r="BE35" i="22" s="1"/>
  <c r="V17" i="22"/>
  <c r="X17" i="22" s="1"/>
  <c r="CK30" i="23"/>
  <c r="W36" i="22"/>
  <c r="BE11" i="22"/>
  <c r="V32" i="22"/>
  <c r="V25" i="22"/>
  <c r="BC25" i="23"/>
  <c r="CJ25" i="23"/>
  <c r="CL36" i="23"/>
  <c r="CJ25" i="22"/>
  <c r="X9" i="23"/>
  <c r="BE11" i="23"/>
  <c r="CJ17" i="22"/>
  <c r="CL17" i="22" s="1"/>
  <c r="V17" i="23"/>
  <c r="W17" i="23" s="1"/>
  <c r="CJ32" i="23"/>
  <c r="BC32" i="22"/>
  <c r="V35" i="22"/>
  <c r="W35" i="22" s="1"/>
  <c r="BC17" i="22"/>
  <c r="BD17" i="22" s="1"/>
  <c r="BC17" i="23"/>
  <c r="BE17" i="23" s="1"/>
  <c r="CJ17" i="23"/>
  <c r="CL17" i="23" s="1"/>
  <c r="BC35" i="23"/>
  <c r="BE35" i="23" s="1"/>
  <c r="V32" i="23"/>
  <c r="BC32" i="23"/>
  <c r="CL11" i="22"/>
  <c r="CK11" i="22"/>
  <c r="BE9" i="23"/>
  <c r="BD9" i="23"/>
  <c r="CJ35" i="23"/>
  <c r="BD15" i="22"/>
  <c r="BE15" i="22"/>
  <c r="V35" i="23"/>
  <c r="CJ35" i="22"/>
  <c r="BE21" i="22"/>
  <c r="BD21" i="22"/>
  <c r="BD9" i="22"/>
  <c r="BE9" i="22"/>
  <c r="BD24" i="22"/>
  <c r="BE24" i="22"/>
  <c r="BD21" i="23"/>
  <c r="BE21" i="23"/>
  <c r="X35" i="22"/>
  <c r="CK31" i="22"/>
  <c r="CL31" i="22"/>
  <c r="BE13" i="22"/>
  <c r="BD13" i="22"/>
  <c r="M71" i="27" l="1"/>
  <c r="C63" i="27"/>
  <c r="I63" i="27" s="1"/>
  <c r="K63" i="27"/>
  <c r="V62" i="27"/>
  <c r="O72" i="27"/>
  <c r="E62" i="27"/>
  <c r="H62" i="27"/>
  <c r="N72" i="27" s="1"/>
  <c r="M72" i="27" s="1"/>
  <c r="BD35" i="23"/>
  <c r="BD25" i="22"/>
  <c r="W17" i="22"/>
  <c r="X17" i="23"/>
  <c r="CK32" i="22"/>
  <c r="BD35" i="22"/>
  <c r="CK17" i="23"/>
  <c r="CK17" i="22"/>
  <c r="BD25" i="23"/>
  <c r="BE25" i="23"/>
  <c r="BD17" i="23"/>
  <c r="X25" i="22"/>
  <c r="W25" i="22"/>
  <c r="BE17" i="22"/>
  <c r="W32" i="22"/>
  <c r="X32" i="22"/>
  <c r="CK25" i="22"/>
  <c r="CL25" i="22"/>
  <c r="CK25" i="23"/>
  <c r="CL25" i="23"/>
  <c r="BD32" i="23"/>
  <c r="BE32" i="23"/>
  <c r="CL32" i="23"/>
  <c r="CK32" i="23"/>
  <c r="W32" i="23"/>
  <c r="X32" i="23"/>
  <c r="BD32" i="22"/>
  <c r="BE32" i="22"/>
  <c r="CK35" i="22"/>
  <c r="CL35" i="22"/>
  <c r="W35" i="23"/>
  <c r="X35" i="23"/>
  <c r="CL35" i="23"/>
  <c r="CK35" i="23"/>
  <c r="B64" i="27" l="1"/>
  <c r="L63" i="27"/>
  <c r="T63" i="27"/>
  <c r="U63" i="27"/>
  <c r="R63" i="27"/>
  <c r="D63" i="27"/>
  <c r="C64" i="27" l="1"/>
  <c r="I64" i="27" s="1"/>
  <c r="K64" i="27"/>
  <c r="V63" i="27"/>
  <c r="O73" i="27"/>
  <c r="H63" i="27"/>
  <c r="N73" i="27" s="1"/>
  <c r="E63" i="27"/>
  <c r="M73" i="27" l="1"/>
  <c r="B65" i="27"/>
  <c r="L64" i="27"/>
  <c r="U64" i="27"/>
  <c r="T64" i="27"/>
  <c r="R64" i="27"/>
  <c r="D64" i="27"/>
  <c r="K65" i="27" l="1"/>
  <c r="C65" i="27"/>
  <c r="I65" i="27" s="1"/>
  <c r="O74" i="27"/>
  <c r="V64" i="27"/>
  <c r="H64" i="27"/>
  <c r="N74" i="27" s="1"/>
  <c r="E64" i="27"/>
  <c r="M74" i="27" l="1"/>
  <c r="B66" i="27"/>
  <c r="D65" i="27"/>
  <c r="L65" i="27"/>
  <c r="U65" i="27"/>
  <c r="T65" i="27"/>
  <c r="R65" i="27"/>
  <c r="C66" i="27" l="1"/>
  <c r="I66" i="27" s="1"/>
  <c r="K66" i="27"/>
  <c r="V65" i="27"/>
  <c r="O75" i="27"/>
  <c r="E65" i="27"/>
  <c r="H65" i="27"/>
  <c r="N75" i="27" s="1"/>
  <c r="M75" i="27" l="1"/>
  <c r="B67" i="27"/>
  <c r="L66" i="27"/>
  <c r="U66" i="27"/>
  <c r="T66" i="27"/>
  <c r="R66" i="27"/>
  <c r="D66" i="27"/>
  <c r="C67" i="27" l="1"/>
  <c r="I67" i="27" s="1"/>
  <c r="K67" i="27"/>
  <c r="O76" i="27"/>
  <c r="V66" i="27"/>
  <c r="H66" i="27"/>
  <c r="N76" i="27" s="1"/>
  <c r="E66" i="27"/>
  <c r="M76" i="27" l="1"/>
  <c r="B68" i="27"/>
  <c r="L67" i="27"/>
  <c r="T67" i="27"/>
  <c r="U67" i="27"/>
  <c r="R67" i="27"/>
  <c r="D67" i="27"/>
  <c r="C68" i="27" l="1"/>
  <c r="I68" i="27" s="1"/>
  <c r="K68" i="27"/>
  <c r="O77" i="27"/>
  <c r="V67" i="27"/>
  <c r="H67" i="27"/>
  <c r="N77" i="27" s="1"/>
  <c r="E67" i="27"/>
  <c r="M77" i="27" l="1"/>
  <c r="L68" i="27"/>
  <c r="T68" i="27"/>
  <c r="U68" i="27"/>
  <c r="R68" i="27"/>
  <c r="D68" i="27"/>
  <c r="K69" i="27" l="1"/>
  <c r="C69" i="27"/>
  <c r="I69" i="27" s="1"/>
  <c r="V68" i="27"/>
  <c r="O78" i="27"/>
  <c r="E68" i="27"/>
  <c r="H68" i="27"/>
  <c r="N78" i="27" s="1"/>
  <c r="M78" i="27" l="1"/>
  <c r="D69" i="27"/>
  <c r="T69" i="27"/>
  <c r="L69" i="27"/>
  <c r="U69" i="27"/>
  <c r="R69" i="27"/>
  <c r="C70" i="27" l="1"/>
  <c r="I70" i="27" s="1"/>
  <c r="K70" i="27"/>
  <c r="V69" i="27"/>
  <c r="O79" i="27"/>
  <c r="E69" i="27"/>
  <c r="H69" i="27"/>
  <c r="N79" i="27" s="1"/>
  <c r="M79" i="27" l="1"/>
  <c r="L70" i="27"/>
  <c r="U70" i="27"/>
  <c r="T70" i="27"/>
  <c r="R70" i="27"/>
  <c r="D70" i="27"/>
  <c r="C71" i="27" l="1"/>
  <c r="I71" i="27" s="1"/>
  <c r="K71" i="27"/>
  <c r="O80" i="27"/>
  <c r="V70" i="27"/>
  <c r="H70" i="27"/>
  <c r="N80" i="27" s="1"/>
  <c r="E70" i="27"/>
  <c r="M80" i="27" l="1"/>
  <c r="L71" i="27"/>
  <c r="T71" i="27"/>
  <c r="U71" i="27"/>
  <c r="R71" i="27"/>
  <c r="D71" i="27"/>
  <c r="C72" i="27" l="1"/>
  <c r="I72" i="27" s="1"/>
  <c r="K72" i="27"/>
  <c r="O81" i="27"/>
  <c r="V71" i="27"/>
  <c r="E71" i="27"/>
  <c r="H71" i="27"/>
  <c r="N81" i="27" s="1"/>
  <c r="M81" i="27" l="1"/>
  <c r="L72" i="27"/>
  <c r="U72" i="27"/>
  <c r="T72" i="27"/>
  <c r="R72" i="27"/>
  <c r="D72" i="27"/>
  <c r="K73" i="27" l="1"/>
  <c r="C73" i="27"/>
  <c r="I73" i="27" s="1"/>
  <c r="O82" i="27"/>
  <c r="V72" i="27"/>
  <c r="E72" i="27"/>
  <c r="H72" i="27"/>
  <c r="N82" i="27" s="1"/>
  <c r="M82" i="27" l="1"/>
  <c r="D73" i="27"/>
  <c r="U73" i="27"/>
  <c r="T73" i="27"/>
  <c r="L73" i="27"/>
  <c r="R73" i="27"/>
  <c r="C74" i="27" l="1"/>
  <c r="I74" i="27" s="1"/>
  <c r="K74" i="27"/>
  <c r="V73" i="27"/>
  <c r="O83" i="27"/>
  <c r="E73" i="27"/>
  <c r="H73" i="27"/>
  <c r="N83" i="27" s="1"/>
  <c r="M83" i="27" l="1"/>
  <c r="L74" i="27"/>
  <c r="U74" i="27"/>
  <c r="T74" i="27"/>
  <c r="R74" i="27"/>
  <c r="D74" i="27"/>
  <c r="C75" i="27" l="1"/>
  <c r="I75" i="27" s="1"/>
  <c r="K75" i="27"/>
  <c r="V74" i="27"/>
  <c r="O84" i="27"/>
  <c r="E74" i="27"/>
  <c r="H74" i="27"/>
  <c r="N84" i="27" s="1"/>
  <c r="M84" i="27" l="1"/>
  <c r="L75" i="27"/>
  <c r="T75" i="27"/>
  <c r="U75" i="27"/>
  <c r="R75" i="27"/>
  <c r="D75" i="27"/>
  <c r="C76" i="27" l="1"/>
  <c r="I76" i="27" s="1"/>
  <c r="K76" i="27"/>
  <c r="O85" i="27"/>
  <c r="V75" i="27"/>
  <c r="E75" i="27"/>
  <c r="H75" i="27"/>
  <c r="N85" i="27" s="1"/>
  <c r="M85" i="27" l="1"/>
  <c r="L76" i="27"/>
  <c r="U76" i="27"/>
  <c r="T76" i="27"/>
  <c r="R76" i="27"/>
  <c r="D76" i="27"/>
  <c r="K77" i="27" l="1"/>
  <c r="C77" i="27"/>
  <c r="I77" i="27" s="1"/>
  <c r="H76" i="27"/>
  <c r="V76" i="27"/>
  <c r="E76" i="27"/>
  <c r="D77" i="27" l="1"/>
  <c r="L77" i="27"/>
  <c r="U77" i="27"/>
  <c r="T77" i="27"/>
  <c r="R77" i="27"/>
  <c r="K78" i="27" l="1"/>
  <c r="C78" i="27"/>
  <c r="I78" i="27" s="1"/>
  <c r="V77" i="27"/>
  <c r="E77" i="27"/>
  <c r="H77" i="27"/>
  <c r="D78" i="27" l="1"/>
  <c r="U78" i="27"/>
  <c r="T78" i="27"/>
  <c r="L78" i="27"/>
  <c r="R78" i="27"/>
  <c r="C79" i="27" l="1"/>
  <c r="I79" i="27" s="1"/>
  <c r="K79" i="27"/>
  <c r="E78" i="27"/>
  <c r="V78" i="27"/>
  <c r="H78" i="27"/>
  <c r="L79" i="27" l="1"/>
  <c r="T79" i="27"/>
  <c r="U79" i="27"/>
  <c r="R79" i="27"/>
  <c r="D79" i="27"/>
  <c r="C80" i="27" l="1"/>
  <c r="I80" i="27" s="1"/>
  <c r="K80" i="27"/>
  <c r="E79" i="27"/>
  <c r="H79" i="27"/>
  <c r="V79" i="27"/>
  <c r="L80" i="27" l="1"/>
  <c r="U80" i="27"/>
  <c r="T80" i="27"/>
  <c r="R80" i="27"/>
  <c r="D80" i="27"/>
  <c r="K81" i="27" l="1"/>
  <c r="C81" i="27"/>
  <c r="I81" i="27" s="1"/>
  <c r="H80" i="27"/>
  <c r="V80" i="27"/>
  <c r="E80" i="27"/>
  <c r="D81" i="27" l="1"/>
  <c r="L81" i="27"/>
  <c r="T81" i="27"/>
  <c r="U81" i="27"/>
  <c r="R81" i="27"/>
  <c r="K82" i="27" l="1"/>
  <c r="C82" i="27"/>
  <c r="I82" i="27" s="1"/>
  <c r="H81" i="27"/>
  <c r="E81" i="27"/>
  <c r="V81" i="27"/>
  <c r="D82" i="27" l="1"/>
  <c r="U82" i="27"/>
  <c r="T82" i="27"/>
  <c r="L82" i="27"/>
  <c r="R82" i="27"/>
  <c r="C83" i="27" l="1"/>
  <c r="I83" i="27" s="1"/>
  <c r="K83" i="27"/>
  <c r="H82" i="27"/>
  <c r="V82" i="27"/>
  <c r="E82" i="27"/>
  <c r="L83" i="27" l="1"/>
  <c r="T83" i="27"/>
  <c r="U83" i="27"/>
  <c r="R83" i="27"/>
  <c r="D83" i="27"/>
  <c r="K84" i="27" l="1"/>
  <c r="C84" i="27"/>
  <c r="I84" i="27" s="1"/>
  <c r="H83" i="27"/>
  <c r="E83" i="27"/>
  <c r="V83" i="27"/>
  <c r="D84" i="27" l="1"/>
  <c r="L84" i="27"/>
  <c r="T84" i="27"/>
  <c r="U84" i="27"/>
  <c r="R84" i="27"/>
  <c r="C85" i="27" l="1"/>
  <c r="I85" i="27" s="1"/>
  <c r="K85" i="27"/>
  <c r="V84" i="27"/>
  <c r="E84" i="27"/>
  <c r="H84" i="27"/>
  <c r="L85" i="27" l="1"/>
  <c r="T85" i="27"/>
  <c r="U85" i="27"/>
  <c r="R85" i="27"/>
  <c r="D85" i="27"/>
  <c r="V85" i="27" l="1"/>
  <c r="E85" i="27"/>
  <c r="H85" i="27"/>
</calcChain>
</file>

<file path=xl/comments1.xml><?xml version="1.0" encoding="utf-8"?>
<comments xmlns="http://schemas.openxmlformats.org/spreadsheetml/2006/main">
  <authors>
    <author>Alexandros Aristotelous</author>
  </authors>
  <commentList>
    <comment ref="G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(#new cars registered - #new cars on fleet) / Sum of cars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Idea is to link these cells to PRs upper/lower limit, for when PR reaches maximum allowed values</t>
        </r>
      </text>
    </comment>
    <comment ref="I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#EVs(y) - #EVs(y-1)</t>
        </r>
      </text>
    </comment>
    <comment ref="J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#new EVs / Sum of cars</t>
        </r>
      </text>
    </comment>
    <comment ref="K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#new EVs / #new cars</t>
        </r>
      </text>
    </comment>
    <comment ref="L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Sum of EVs / Sum of cars</t>
        </r>
      </text>
    </comment>
    <comment ref="O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#Hybrid(y) - #Hybrid(y-1)</t>
        </r>
      </text>
    </comment>
    <comment ref="P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#new Hybrids / Sum of cars</t>
        </r>
      </text>
    </comment>
    <comment ref="Q2" authorId="0" shapeId="0">
      <text>
        <r>
          <rPr>
            <b/>
            <sz val="9"/>
            <color rgb="FF000000"/>
            <rFont val="Tahoma"/>
            <family val="2"/>
          </rPr>
          <t>Alexandros Aristotelous: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#new Hybrids / #new cars</t>
        </r>
      </text>
    </comment>
  </commentList>
</comments>
</file>

<file path=xl/sharedStrings.xml><?xml version="1.0" encoding="utf-8"?>
<sst xmlns="http://schemas.openxmlformats.org/spreadsheetml/2006/main" count="943" uniqueCount="302">
  <si>
    <t>MAIN AREAS</t>
  </si>
  <si>
    <t>SECTIONS</t>
  </si>
  <si>
    <t>LINKS</t>
  </si>
  <si>
    <t>INTERACTIVE TOOL</t>
  </si>
  <si>
    <t>Graphical User Interface</t>
  </si>
  <si>
    <t>GUI</t>
  </si>
  <si>
    <t>EV PROJECTIONS</t>
  </si>
  <si>
    <t>EV Penetration Rates Analysis</t>
  </si>
  <si>
    <t>Penetration Rate Analysis</t>
  </si>
  <si>
    <t>PRs Analysis</t>
  </si>
  <si>
    <t>Business as Usual Penetration Rate</t>
  </si>
  <si>
    <t>Business as Usual PR</t>
  </si>
  <si>
    <t>Intermediate Limit Penetration Rate</t>
  </si>
  <si>
    <t>Intermediate Limit PR</t>
  </si>
  <si>
    <t>Upper Limit Penetration Rate</t>
  </si>
  <si>
    <t>Upper Limit  PR</t>
  </si>
  <si>
    <t>Number of Cars Projections</t>
  </si>
  <si>
    <t>Nº Cars Projections</t>
  </si>
  <si>
    <t>Scenarios</t>
  </si>
  <si>
    <t>IMPLICATIONS</t>
  </si>
  <si>
    <t>Technical</t>
  </si>
  <si>
    <t>Electricity Demand</t>
  </si>
  <si>
    <t>Demand</t>
  </si>
  <si>
    <t>Grid Infrastructure</t>
  </si>
  <si>
    <t>Grid</t>
  </si>
  <si>
    <t>Public Charging Infraestructure</t>
  </si>
  <si>
    <t>Charging</t>
  </si>
  <si>
    <t>Economic</t>
  </si>
  <si>
    <t>Tax Revenue Lost</t>
  </si>
  <si>
    <t>Sustainable</t>
  </si>
  <si>
    <t>CO2 Tailpipe Emissions</t>
  </si>
  <si>
    <t>CO2</t>
  </si>
  <si>
    <t>NOx Tailpipe Emissions</t>
  </si>
  <si>
    <t>NOx</t>
  </si>
  <si>
    <t>Scenario Input</t>
  </si>
  <si>
    <t>Number of vehicles</t>
  </si>
  <si>
    <t>Life Span</t>
  </si>
  <si>
    <t>Saturation</t>
  </si>
  <si>
    <t>1) Business as Usual</t>
  </si>
  <si>
    <t>Fast Growth</t>
  </si>
  <si>
    <t>2) Dep of Transport</t>
  </si>
  <si>
    <t>Takeover</t>
  </si>
  <si>
    <t>3) National Grid</t>
  </si>
  <si>
    <t>Year</t>
  </si>
  <si>
    <t>MR (%)</t>
  </si>
  <si>
    <t>d(MR)/dt (%)</t>
  </si>
  <si>
    <t>d^2(MR)/dt^2</t>
  </si>
  <si>
    <t>NSR (%)</t>
  </si>
  <si>
    <t>Fleet</t>
  </si>
  <si>
    <t>Total New Sales</t>
  </si>
  <si>
    <t>Total ICE Sales</t>
  </si>
  <si>
    <t>Total EV Sales</t>
  </si>
  <si>
    <t>Δcars</t>
  </si>
  <si>
    <t>#EVs</t>
  </si>
  <si>
    <t>#ICEs</t>
  </si>
  <si>
    <t>Fleet out</t>
  </si>
  <si>
    <t>#ICEs out</t>
  </si>
  <si>
    <t>#EVs out</t>
  </si>
  <si>
    <t>Total New Sales / Fleet</t>
  </si>
  <si>
    <t xml:space="preserve">MARKET ANALYSIS | KEY QUANTIFIED IMPLICATIONS </t>
  </si>
  <si>
    <t xml:space="preserve"> EVs  Electrical Demand (TWh)</t>
  </si>
  <si>
    <t>Public Chargers Ratio</t>
  </si>
  <si>
    <t>Public Chargers</t>
  </si>
  <si>
    <t>Fuel Tax Loss (£)</t>
  </si>
  <si>
    <t>Lithium (kg)</t>
  </si>
  <si>
    <t>Average</t>
  </si>
  <si>
    <t>PR Limit:</t>
  </si>
  <si>
    <t>Penetration Rates &amp; Trend analysis - Data until 2016 taken from 'veh0203' - numbers in thousands</t>
  </si>
  <si>
    <t>Petrol &amp; Diesel</t>
  </si>
  <si>
    <t>Petrol</t>
  </si>
  <si>
    <t>Diesel</t>
  </si>
  <si>
    <t>Petrol &amp; Diesel New Cars</t>
  </si>
  <si>
    <t>New Cars Registration</t>
  </si>
  <si>
    <t>PR Limitation (%)</t>
  </si>
  <si>
    <t>EV</t>
  </si>
  <si>
    <t>EV New Cars</t>
  </si>
  <si>
    <t>EV PR (%)</t>
  </si>
  <si>
    <t>EV New Sales Rate (%)</t>
  </si>
  <si>
    <t>EV Market Ratio (%)</t>
  </si>
  <si>
    <t>EV to Hybrid ratio (%)</t>
  </si>
  <si>
    <t>Hybrid</t>
  </si>
  <si>
    <t>Hybrid New Cars</t>
  </si>
  <si>
    <t>Hybrid PR (%)</t>
  </si>
  <si>
    <t>Hybrid New Sales Rate (%)</t>
  </si>
  <si>
    <t>Hybrid to EV ratio (%)</t>
  </si>
  <si>
    <t>Hybrid Market Ratio (%)</t>
  </si>
  <si>
    <t>-</t>
  </si>
  <si>
    <t>BUSINESS AS USUAL EV MARKET PENETRATION RATES</t>
  </si>
  <si>
    <t>EV New Sales Ratio</t>
  </si>
  <si>
    <t>real</t>
  </si>
  <si>
    <t>prediction</t>
  </si>
  <si>
    <t>fixed data</t>
  </si>
  <si>
    <t>Life-span</t>
  </si>
  <si>
    <t>Hybrid MR</t>
  </si>
  <si>
    <t>#Hybrids</t>
  </si>
  <si>
    <t>INTERMEDIATE LIMIT EV MARKET PENETRATION RATES</t>
  </si>
  <si>
    <t>Change in pentration rate %</t>
  </si>
  <si>
    <t>NSR by 2040</t>
  </si>
  <si>
    <t>Base Year</t>
  </si>
  <si>
    <t xml:space="preserve">UPPER LIMIT EV MARKET PENETRATION RATES		</t>
  </si>
  <si>
    <t>NOWADAYS TREND PREDICTION</t>
  </si>
  <si>
    <t>UK GOV DEPARTMENT OF TRANSPORT FORECASTS</t>
  </si>
  <si>
    <t>NATIONAL GRID FUTURE ENERGY SCENARIO</t>
  </si>
  <si>
    <t>YEAR</t>
  </si>
  <si>
    <t>Number of Cars</t>
  </si>
  <si>
    <r>
      <rPr>
        <sz val="11"/>
        <color theme="1"/>
        <rFont val="Calibri"/>
        <family val="2"/>
      </rPr>
      <t>Δ</t>
    </r>
    <r>
      <rPr>
        <sz val="9.35"/>
        <color theme="1"/>
        <rFont val="Calibri"/>
        <family val="2"/>
      </rPr>
      <t xml:space="preserve"> Number of Cars</t>
    </r>
  </si>
  <si>
    <t>YEARS</t>
  </si>
  <si>
    <t>Departent of Transport</t>
  </si>
  <si>
    <t>*National Grid</t>
  </si>
  <si>
    <t>*Future Energy Scenarios 2017. National Grid (Page 41)</t>
  </si>
  <si>
    <t xml:space="preserve">http://fes.nationalgrid.com/media/1253/final-fes-2017-updated-interactive-pdf-44-amended.pdf </t>
  </si>
  <si>
    <t>Average Growth In the Number of Cars for the last 15 years in Great Britain</t>
  </si>
  <si>
    <t>APPROACH 1</t>
  </si>
  <si>
    <t>SOURCE</t>
  </si>
  <si>
    <t>Forecasts of vehicles in Great Britain (5 SCENARIOS based in England Numbers)</t>
  </si>
  <si>
    <t>NTEM Planning Data Version 6.2</t>
  </si>
  <si>
    <t>Guidance Note</t>
  </si>
  <si>
    <t>Cars Real Data</t>
  </si>
  <si>
    <t>Department for Transport</t>
  </si>
  <si>
    <t>Scenario 1</t>
  </si>
  <si>
    <t>Pag 63</t>
  </si>
  <si>
    <t>Scenario 2</t>
  </si>
  <si>
    <t xml:space="preserve">SOFTWARE AVAILABLE </t>
  </si>
  <si>
    <t xml:space="preserve">https://data.gov.uk/dataset/national-trip-end-model-ntem/resource/e8e77184-8550-43ae-9a6c-a1c77b149685 </t>
  </si>
  <si>
    <t>Scenario 3</t>
  </si>
  <si>
    <t>Scenario 4</t>
  </si>
  <si>
    <t>APPROACH 2</t>
  </si>
  <si>
    <t>Scenario 5</t>
  </si>
  <si>
    <t>NATIONAL CAR OWNERSHIP-HOUSEHOLD MODEL (GB)</t>
  </si>
  <si>
    <t>Department for Transport statistics</t>
  </si>
  <si>
    <t>Traffic (www.gov.uk/government/organisations/department-for-transport/series/road-traffic-statistics)</t>
  </si>
  <si>
    <t>Table TSGB0707 (TRA9905)</t>
  </si>
  <si>
    <t>Household Projections for Great Britain (thousands)</t>
  </si>
  <si>
    <r>
      <t>Forecasts of road traffic in England and vehicles in Great Britain: scenario 1</t>
    </r>
    <r>
      <rPr>
        <b/>
        <vertAlign val="superscript"/>
        <sz val="12"/>
        <color indexed="21"/>
        <rFont val="Arial"/>
        <family val="2"/>
      </rPr>
      <t>1</t>
    </r>
  </si>
  <si>
    <t xml:space="preserve">YEAR </t>
  </si>
  <si>
    <t>Index: 2010 = 100</t>
  </si>
  <si>
    <t>Single Person Household</t>
  </si>
  <si>
    <t>2 or more Person Household</t>
  </si>
  <si>
    <r>
      <t xml:space="preserve">Car ownership 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: England:</t>
    </r>
  </si>
  <si>
    <t>TOTAL</t>
  </si>
  <si>
    <t>Cars per person</t>
  </si>
  <si>
    <t>Number of cars</t>
  </si>
  <si>
    <t>THOUSAND of HOUSEHOLDs OWNING (X) CARS</t>
  </si>
  <si>
    <t>PROPORTION</t>
  </si>
  <si>
    <t>3+</t>
  </si>
  <si>
    <t>P0</t>
  </si>
  <si>
    <t>P1</t>
  </si>
  <si>
    <t>P2</t>
  </si>
  <si>
    <t>P3P</t>
  </si>
  <si>
    <t>Vehicle Licensing Statistics (https://www.gov.uk/government/collections/vehicles-statistics)</t>
  </si>
  <si>
    <t>Table VEH0204</t>
  </si>
  <si>
    <t xml:space="preserve">Licensed cars, by region, Great Britain, from 1994 ; also United Kingdom from 2014 </t>
  </si>
  <si>
    <t>Thousands/Percentages</t>
  </si>
  <si>
    <t>North East</t>
  </si>
  <si>
    <t>North West</t>
  </si>
  <si>
    <t>Yorks &amp; Humber</t>
  </si>
  <si>
    <t>East Midlands</t>
  </si>
  <si>
    <t>West Midlands</t>
  </si>
  <si>
    <t>East</t>
  </si>
  <si>
    <t>London</t>
  </si>
  <si>
    <t>South East</t>
  </si>
  <si>
    <t>South West</t>
  </si>
  <si>
    <t>Wales</t>
  </si>
  <si>
    <t>Scotland</t>
  </si>
  <si>
    <r>
      <t>Between Keepers: previously GB</t>
    </r>
    <r>
      <rPr>
        <b/>
        <vertAlign val="superscript"/>
        <sz val="12"/>
        <color rgb="FF000000"/>
        <rFont val="Arial"/>
        <family val="2"/>
      </rPr>
      <t>1</t>
    </r>
  </si>
  <si>
    <t>Great Britain</t>
  </si>
  <si>
    <t>Northern Ireland</t>
  </si>
  <si>
    <r>
      <t>Between Keepers: previously NI</t>
    </r>
    <r>
      <rPr>
        <b/>
        <vertAlign val="superscript"/>
        <sz val="12"/>
        <color rgb="FF000000"/>
        <rFont val="Arial"/>
        <family val="2"/>
      </rPr>
      <t>2</t>
    </r>
  </si>
  <si>
    <t>United Kingdom</t>
  </si>
  <si>
    <t>ENGLAND               Number of Cars</t>
  </si>
  <si>
    <t>% ENGLAND RESPECT GB</t>
  </si>
  <si>
    <t>INCREASE per year (%)</t>
  </si>
  <si>
    <t>WALES              Number of Cars</t>
  </si>
  <si>
    <t>INCREASE           per year (%)</t>
  </si>
  <si>
    <t>SCOTLAND             Number of Cars</t>
  </si>
  <si>
    <t>INCREASE          per year (%)</t>
  </si>
  <si>
    <t>AVERAGE Increase (%)</t>
  </si>
  <si>
    <t>1. Refers to vehicles that are between keepers with the previous keeper based in Great Britain. Also includes a small number of vehicles where region is unknown due to incomplete postcode</t>
  </si>
  <si>
    <t>2. Refers to vehicles that are between keepers with the previous keeper based in Northern Ireland</t>
  </si>
  <si>
    <t>Business as Usual Number of Car Projections</t>
  </si>
  <si>
    <t>SCENARIO 1: BUSINESS AS USUAL SCENARIO</t>
  </si>
  <si>
    <t>SCENARIO 2</t>
  </si>
  <si>
    <t>SCENARIO 3: MOST AGGRESSIVE SCENARIO</t>
  </si>
  <si>
    <t>Department for Transport Number of Car Projections</t>
  </si>
  <si>
    <t>SCENARIO 4</t>
  </si>
  <si>
    <t>SCENARIO 5: CONSERVATIVE SCENARIO</t>
  </si>
  <si>
    <t>SCENARIO 6</t>
  </si>
  <si>
    <t>National Grid Number of Car Projections</t>
  </si>
  <si>
    <t>SCENARIO 7</t>
  </si>
  <si>
    <t>SCENARIO 8</t>
  </si>
  <si>
    <t>SCENARIO 9</t>
  </si>
  <si>
    <t xml:space="preserve">Total Number of Cars </t>
  </si>
  <si>
    <t>EV Market Ratio  (%)</t>
  </si>
  <si>
    <t>Number of EV</t>
  </si>
  <si>
    <t>Number of Hybrids</t>
  </si>
  <si>
    <t>Numbers used for demand calculations</t>
  </si>
  <si>
    <t>Demand (kWh per  EV car)</t>
  </si>
  <si>
    <t>GWh per Ev</t>
  </si>
  <si>
    <t>GW per EV</t>
  </si>
  <si>
    <t xml:space="preserve">SCENARIO 1: BUSINESS AS USUAL SCENARIO									</t>
  </si>
  <si>
    <t xml:space="preserve">Year </t>
  </si>
  <si>
    <t>Number of Evs</t>
  </si>
  <si>
    <t>Minimal Aveage Disstribution of Electrical Power GW)</t>
  </si>
  <si>
    <t>Popular Models</t>
  </si>
  <si>
    <t>capacity (kWh)</t>
  </si>
  <si>
    <t>range (km)</t>
  </si>
  <si>
    <t>cosumption (kWh/km)</t>
  </si>
  <si>
    <t>nissan leaf</t>
  </si>
  <si>
    <t>Average annual mileage/car (km/car)</t>
  </si>
  <si>
    <t>BMW i3</t>
  </si>
  <si>
    <t>Tesla S</t>
  </si>
  <si>
    <t>Merc B-class</t>
  </si>
  <si>
    <t>Energy Consumption/car (kWh/car)</t>
  </si>
  <si>
    <t>Ford Focus E</t>
  </si>
  <si>
    <t>Chevrolet Bolt</t>
  </si>
  <si>
    <t>VW e-golf</t>
  </si>
  <si>
    <t>Tesla model X</t>
  </si>
  <si>
    <t>AVERAGE</t>
  </si>
  <si>
    <t>Table NTS0902</t>
  </si>
  <si>
    <r>
      <t>Annual mileage</t>
    </r>
    <r>
      <rPr>
        <b/>
        <vertAlign val="superscript"/>
        <sz val="12"/>
        <color indexed="21"/>
        <rFont val="Arial"/>
        <family val="2"/>
      </rPr>
      <t>1</t>
    </r>
    <r>
      <rPr>
        <b/>
        <sz val="12"/>
        <color indexed="21"/>
        <rFont val="Arial"/>
        <family val="2"/>
      </rPr>
      <t xml:space="preserve"> of 4-wheeled cars</t>
    </r>
    <r>
      <rPr>
        <b/>
        <vertAlign val="superscript"/>
        <sz val="12"/>
        <color indexed="21"/>
        <rFont val="Arial"/>
        <family val="2"/>
      </rPr>
      <t xml:space="preserve">2, 3 </t>
    </r>
    <r>
      <rPr>
        <b/>
        <sz val="12"/>
        <color indexed="21"/>
        <rFont val="Arial"/>
        <family val="2"/>
      </rPr>
      <t>by fuel type: England, 2002 to 2015</t>
    </r>
  </si>
  <si>
    <t>Annual mileage (miles)</t>
  </si>
  <si>
    <t>All 4-wheeled cars</t>
  </si>
  <si>
    <t>Unweighted sample size (all cars)</t>
  </si>
  <si>
    <t>all 4-wheel cars (km)</t>
  </si>
  <si>
    <t>Numbers used for grid requirements</t>
  </si>
  <si>
    <t xml:space="preserve">TWh per car </t>
  </si>
  <si>
    <t>Annual Grid demand (TWh)</t>
  </si>
  <si>
    <t>Charging Point Current Ratio (2016)</t>
  </si>
  <si>
    <t xml:space="preserve">Electric Vehicles </t>
  </si>
  <si>
    <t xml:space="preserve">Charging points </t>
  </si>
  <si>
    <t>Ratio</t>
  </si>
  <si>
    <t>Ratio for Scenario 3, Scenario 6 and Scenario 9</t>
  </si>
  <si>
    <t>Nº Public Charging Points</t>
  </si>
  <si>
    <t>average</t>
  </si>
  <si>
    <t>Tax Revenue Lost (million £)</t>
  </si>
  <si>
    <t>LITHIUM   REQUIRED</t>
  </si>
  <si>
    <t>Nd REQUIRED</t>
  </si>
  <si>
    <t>Dy REQUIRED</t>
  </si>
  <si>
    <t xml:space="preserve">Number of Cars </t>
  </si>
  <si>
    <t>Emissions (g/km)</t>
  </si>
  <si>
    <t>C02  Pipetail Mton in GB per year</t>
  </si>
  <si>
    <t>ICE</t>
  </si>
  <si>
    <t>hybrid</t>
  </si>
  <si>
    <t xml:space="preserve">total </t>
  </si>
  <si>
    <t xml:space="preserve">Average </t>
  </si>
  <si>
    <t>Total</t>
  </si>
  <si>
    <t xml:space="preserve">car type </t>
  </si>
  <si>
    <t>Annual Average km per car</t>
  </si>
  <si>
    <t>gr to Mt</t>
  </si>
  <si>
    <t>Emissions (mg/km)</t>
  </si>
  <si>
    <t>NOx  Pipetail thousand tons in GB per year</t>
  </si>
  <si>
    <t xml:space="preserve">Average emissions per car </t>
  </si>
  <si>
    <t>mg/km</t>
  </si>
  <si>
    <t>up to 2020</t>
  </si>
  <si>
    <t>Goverment annual fuel tax revenue lost per EV in the road (£/car)</t>
  </si>
  <si>
    <t xml:space="preserve">Car type </t>
  </si>
  <si>
    <t>From 2030 to 2050 (g/km)</t>
  </si>
  <si>
    <t>From 2020 to 2030 g/km</t>
  </si>
  <si>
    <t>From now to 2020 (g/km)</t>
  </si>
  <si>
    <t>C02 tailpipe emissions per type of car</t>
  </si>
  <si>
    <t>ICEs</t>
  </si>
  <si>
    <t>Hybrids</t>
  </si>
  <si>
    <t>Evs</t>
  </si>
  <si>
    <t xml:space="preserve">Total </t>
  </si>
  <si>
    <t>SCENARIO 3: THE MOST AGGRESSIVE SCENARIO</t>
  </si>
  <si>
    <t>SCENARIO 5: THE CONSERVATIVE SCENARIO</t>
  </si>
  <si>
    <t>NOx tailpipe emissions per type of car</t>
  </si>
  <si>
    <t>Lithium per EV Battery (kg)</t>
  </si>
  <si>
    <t>Neodymium per EV (kg)</t>
  </si>
  <si>
    <t>Dysprosium per EV (kg)</t>
  </si>
  <si>
    <t>DATA USED FOR THE CALCULATIONS</t>
  </si>
  <si>
    <t>SCENARIO 1: BUSINESS AS USUAL</t>
  </si>
  <si>
    <t>LITHIUM   REQUIRED (kg)</t>
  </si>
  <si>
    <t>Neodymium REQUIRED (kg)</t>
  </si>
  <si>
    <t>Dysprosium REQUIRED (kg)</t>
  </si>
  <si>
    <t>Total UK Mineral Consumption by 2050 (Mt)</t>
  </si>
  <si>
    <t>UK Lithium Consumption by 2050 Compared with the Global Reserves (%)</t>
  </si>
  <si>
    <t>Lithium (thousand t)</t>
  </si>
  <si>
    <t>Neodymium (thousand t)</t>
  </si>
  <si>
    <t>Dysprosium (thousand t)</t>
  </si>
  <si>
    <t>Global Lithium Reserves (thousand t)</t>
  </si>
  <si>
    <t xml:space="preserve">eg, 0.8£/l is not profitable why include it </t>
  </si>
  <si>
    <t>if it is set why have different graph showing differences</t>
  </si>
  <si>
    <t>? duty is relative to each year</t>
  </si>
  <si>
    <t>VAT</t>
  </si>
  <si>
    <t>Standard Duty</t>
  </si>
  <si>
    <t>Wholesail Distribution &amp; Profit Margin</t>
  </si>
  <si>
    <t>Cost (£/L)</t>
  </si>
  <si>
    <t xml:space="preserve">Diesel </t>
  </si>
  <si>
    <t>Total annual average fuel tax (£/car)</t>
  </si>
  <si>
    <t>Tax (£)</t>
  </si>
  <si>
    <t>Volume (litre)</t>
  </si>
  <si>
    <t>UK Mass Consumed (ton)</t>
  </si>
  <si>
    <t>UK No. of cars in 2016</t>
  </si>
  <si>
    <t>Total Tax (Duty +VAT) (£/litre)</t>
  </si>
  <si>
    <t>Oil price without taxes (£/litre)</t>
  </si>
  <si>
    <t>VAT (£/litre)</t>
  </si>
  <si>
    <t>Duty (£/litre)</t>
  </si>
  <si>
    <t>Cost (£/litre)</t>
  </si>
  <si>
    <t>Density (l/ton)</t>
  </si>
  <si>
    <t>Lithium and Rare Earth Elements Requirements</t>
  </si>
  <si>
    <t>Lithium &amp; 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</si>
</sst>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€_-;\-* #,##0.00\ _€_-;_-* &quot;-&quot;??\ _€_-;_-@_-"/>
    <numFmt numFmtId="165" formatCode="_(* #,##0.00_);_(* \(#,##0.00\);_(* &quot;-&quot;??_);_(@_)"/>
    <numFmt numFmtId="166" formatCode="0.000"/>
    <numFmt numFmtId="167" formatCode="[&gt;=0.05]#,##0.0;[=0]0.0,;&quot;-&quot;"/>
    <numFmt numFmtId="168" formatCode="#,##0.0"/>
    <numFmt numFmtId="169" formatCode="#,##0.000000000000"/>
    <numFmt numFmtId="170" formatCode="[&gt;0.05]#,##0.0;[&lt;-0.05]\-#,##0.0;\-"/>
    <numFmt numFmtId="171" formatCode="[&gt;0.5]#,##0;[&lt;-0.5]\-#,##0;\-"/>
    <numFmt numFmtId="172" formatCode="0.000E+00"/>
    <numFmt numFmtId="173" formatCode="0.0E+0"/>
    <numFmt numFmtId="174" formatCode="0.000000%"/>
    <numFmt numFmtId="175" formatCode="0.000000000000%"/>
    <numFmt numFmtId="176" formatCode="#,##0.0000"/>
  </numFmts>
  <fonts count="6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7"/>
      <color rgb="FF0000FF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 (Body)_x0000_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8080"/>
      <name val="Arial"/>
      <family val="2"/>
    </font>
    <font>
      <sz val="10"/>
      <color rgb="FF000000"/>
      <name val="Tms Rmn"/>
    </font>
    <font>
      <u/>
      <sz val="12"/>
      <color rgb="FF0000FF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Tms Rmn"/>
    </font>
    <font>
      <sz val="10"/>
      <color indexed="8"/>
      <name val="Tms Rmn"/>
    </font>
    <font>
      <sz val="10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b/>
      <sz val="12"/>
      <color indexed="21"/>
      <name val="Arial"/>
      <family val="2"/>
    </font>
    <font>
      <b/>
      <vertAlign val="superscript"/>
      <sz val="12"/>
      <color indexed="21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1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trike/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Times New Roman"/>
      <family val="1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FD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7F0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CC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E0B4"/>
        <bgColor rgb="FFC5E0B4"/>
      </patternFill>
    </fill>
    <fill>
      <patternFill patternType="solid">
        <fgColor rgb="FFF9CFB5"/>
        <bgColor rgb="FFF9CFB5"/>
      </patternFill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F8CBAD"/>
        <bgColor rgb="FFF8CBAD"/>
      </patternFill>
    </fill>
    <fill>
      <patternFill patternType="solid">
        <fgColor rgb="FF70AD47"/>
        <bgColor rgb="FF70AD47"/>
      </patternFill>
    </fill>
    <fill>
      <patternFill patternType="solid">
        <fgColor theme="5" tint="0.59999389629810485"/>
        <bgColor rgb="FFC5E0B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DashDot">
        <color theme="3"/>
      </left>
      <right/>
      <top style="mediumDashDot">
        <color theme="3"/>
      </top>
      <bottom/>
      <diagonal/>
    </border>
    <border>
      <left/>
      <right/>
      <top style="mediumDashDot">
        <color theme="3"/>
      </top>
      <bottom/>
      <diagonal/>
    </border>
    <border>
      <left/>
      <right style="mediumDashDot">
        <color theme="3"/>
      </right>
      <top style="mediumDashDot">
        <color theme="3"/>
      </top>
      <bottom/>
      <diagonal/>
    </border>
    <border>
      <left style="mediumDashDot">
        <color theme="3"/>
      </left>
      <right/>
      <top/>
      <bottom/>
      <diagonal/>
    </border>
    <border>
      <left/>
      <right style="mediumDashDot">
        <color theme="3"/>
      </right>
      <top/>
      <bottom/>
      <diagonal/>
    </border>
    <border>
      <left style="mediumDashDot">
        <color theme="3"/>
      </left>
      <right/>
      <top/>
      <bottom style="mediumDashDot">
        <color theme="3"/>
      </bottom>
      <diagonal/>
    </border>
    <border>
      <left/>
      <right/>
      <top/>
      <bottom style="mediumDashDot">
        <color theme="3"/>
      </bottom>
      <diagonal/>
    </border>
    <border>
      <left/>
      <right style="mediumDashDot">
        <color theme="3"/>
      </right>
      <top/>
      <bottom style="mediumDashDot">
        <color theme="3"/>
      </bottom>
      <diagonal/>
    </border>
    <border>
      <left style="thin">
        <color rgb="FFB2B2B2"/>
      </left>
      <right style="thin">
        <color theme="1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theme="1"/>
      </right>
      <top style="thin">
        <color rgb="FFB2B2B2"/>
      </top>
      <bottom style="thin">
        <color theme="1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theme="1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theme="1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/>
      <bottom style="thin">
        <color indexed="64"/>
      </bottom>
      <diagonal/>
    </border>
  </borders>
  <cellStyleXfs count="28">
    <xf numFmtId="0" fontId="0" fillId="0" borderId="0"/>
    <xf numFmtId="0" fontId="8" fillId="2" borderId="2" applyNumberFormat="0" applyAlignment="0" applyProtection="0"/>
    <xf numFmtId="9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4" borderId="4" applyNumberFormat="0" applyFont="0" applyAlignment="0" applyProtection="0"/>
    <xf numFmtId="0" fontId="12" fillId="0" borderId="5" applyNumberFormat="0" applyFill="0" applyAlignment="0" applyProtection="0"/>
    <xf numFmtId="0" fontId="13" fillId="5" borderId="2" applyNumberFormat="0" applyAlignment="0" applyProtection="0"/>
    <xf numFmtId="0" fontId="14" fillId="0" borderId="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8" fillId="0" borderId="0" applyNumberFormat="0" applyFont="0" applyBorder="0" applyProtection="0"/>
    <xf numFmtId="0" fontId="30" fillId="0" borderId="0" applyNumberFormat="0" applyBorder="0" applyProtection="0"/>
    <xf numFmtId="0" fontId="34" fillId="0" borderId="0"/>
    <xf numFmtId="171" fontId="38" fillId="0" borderId="0">
      <alignment horizontal="left"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9" fillId="0" borderId="0"/>
    <xf numFmtId="165" fontId="9" fillId="0" borderId="0" applyFont="0" applyFill="0" applyBorder="0" applyAlignment="0" applyProtection="0"/>
    <xf numFmtId="0" fontId="9" fillId="4" borderId="4" applyNumberFormat="0" applyFont="0" applyAlignment="0" applyProtection="0"/>
    <xf numFmtId="0" fontId="3" fillId="0" borderId="0"/>
    <xf numFmtId="0" fontId="2" fillId="0" borderId="0"/>
    <xf numFmtId="9" fontId="49" fillId="0" borderId="0" applyBorder="0" applyProtection="0">
      <alignment vertical="center"/>
    </xf>
    <xf numFmtId="0" fontId="49" fillId="28" borderId="4" applyNumberFormat="0" applyProtection="0">
      <alignment vertical="center"/>
    </xf>
    <xf numFmtId="0" fontId="57" fillId="0" borderId="0" applyNumberFormat="0" applyFill="0" applyBorder="0" applyAlignment="0" applyProtection="0"/>
    <xf numFmtId="171" fontId="63" fillId="0" borderId="0"/>
  </cellStyleXfs>
  <cellXfs count="585">
    <xf numFmtId="0" fontId="0" fillId="0" borderId="0" xfId="0"/>
    <xf numFmtId="0" fontId="6" fillId="0" borderId="0" xfId="0" applyFont="1"/>
    <xf numFmtId="0" fontId="8" fillId="0" borderId="0" xfId="1" applyFill="1" applyBorder="1" applyAlignment="1">
      <alignment horizontal="center" vertical="center" wrapText="1"/>
    </xf>
    <xf numFmtId="167" fontId="8" fillId="0" borderId="0" xfId="1" applyNumberForma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8" fillId="0" borderId="0" xfId="2" applyNumberFormat="1" applyFont="1" applyFill="1" applyBorder="1" applyAlignment="1">
      <alignment horizontal="center" vertical="center" wrapText="1"/>
    </xf>
    <xf numFmtId="0" fontId="11" fillId="3" borderId="3" xfId="3" applyFont="1" applyBorder="1" applyAlignment="1">
      <alignment horizontal="center" vertical="center"/>
    </xf>
    <xf numFmtId="0" fontId="10" fillId="3" borderId="3" xfId="3" applyBorder="1" applyAlignment="1">
      <alignment horizontal="center" vertical="center"/>
    </xf>
    <xf numFmtId="2" fontId="10" fillId="3" borderId="3" xfId="3" applyNumberFormat="1" applyBorder="1" applyAlignment="1">
      <alignment horizontal="center" vertical="center"/>
    </xf>
    <xf numFmtId="9" fontId="10" fillId="3" borderId="3" xfId="3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6" xfId="7"/>
    <xf numFmtId="2" fontId="14" fillId="3" borderId="3" xfId="7" applyNumberFormat="1" applyFill="1" applyBorder="1" applyAlignment="1">
      <alignment horizontal="center" vertical="center"/>
    </xf>
    <xf numFmtId="2" fontId="10" fillId="4" borderId="3" xfId="4" applyNumberFormat="1" applyFont="1" applyBorder="1" applyAlignment="1">
      <alignment horizontal="center" vertical="center"/>
    </xf>
    <xf numFmtId="2" fontId="0" fillId="4" borderId="3" xfId="4" applyNumberFormat="1" applyFont="1" applyBorder="1" applyAlignment="1">
      <alignment horizontal="center" vertical="center"/>
    </xf>
    <xf numFmtId="0" fontId="14" fillId="3" borderId="3" xfId="7" applyFill="1" applyBorder="1" applyAlignment="1">
      <alignment horizontal="center" vertical="center"/>
    </xf>
    <xf numFmtId="0" fontId="6" fillId="4" borderId="3" xfId="4" applyFont="1" applyBorder="1"/>
    <xf numFmtId="0" fontId="0" fillId="0" borderId="0" xfId="0" applyFill="1" applyAlignment="1">
      <alignment horizontal="center" vertical="center"/>
    </xf>
    <xf numFmtId="0" fontId="0" fillId="0" borderId="0" xfId="4" applyFont="1" applyFill="1" applyBorder="1" applyAlignment="1">
      <alignment horizontal="center" vertical="center"/>
    </xf>
    <xf numFmtId="166" fontId="0" fillId="0" borderId="0" xfId="4" applyNumberFormat="1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vertical="center" wrapText="1"/>
    </xf>
    <xf numFmtId="0" fontId="15" fillId="0" borderId="0" xfId="6" applyFont="1" applyFill="1" applyBorder="1" applyAlignment="1">
      <alignment horizontal="center" vertical="center"/>
    </xf>
    <xf numFmtId="2" fontId="0" fillId="0" borderId="0" xfId="4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6" borderId="3" xfId="4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4" applyFont="1" applyFill="1" applyBorder="1" applyAlignment="1">
      <alignment horizontal="center" vertical="center" wrapText="1"/>
    </xf>
    <xf numFmtId="0" fontId="0" fillId="0" borderId="0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2"/>
    <xf numFmtId="0" fontId="22" fillId="14" borderId="0" xfId="12" applyFont="1" applyFill="1"/>
    <xf numFmtId="0" fontId="23" fillId="14" borderId="0" xfId="12" applyFont="1" applyFill="1"/>
    <xf numFmtId="168" fontId="4" fillId="0" borderId="0" xfId="12" applyNumberFormat="1"/>
    <xf numFmtId="168" fontId="4" fillId="0" borderId="0" xfId="12" applyNumberFormat="1" applyBorder="1" applyAlignment="1">
      <alignment horizontal="center" vertical="center"/>
    </xf>
    <xf numFmtId="0" fontId="14" fillId="0" borderId="0" xfId="12" applyFont="1" applyFill="1" applyBorder="1" applyAlignment="1">
      <alignment horizontal="center" vertical="center"/>
    </xf>
    <xf numFmtId="169" fontId="4" fillId="0" borderId="0" xfId="12" applyNumberFormat="1"/>
    <xf numFmtId="167" fontId="24" fillId="15" borderId="0" xfId="13" applyNumberFormat="1" applyFont="1" applyFill="1" applyAlignment="1">
      <alignment horizontal="right" vertical="center"/>
    </xf>
    <xf numFmtId="0" fontId="24" fillId="15" borderId="0" xfId="12" applyFont="1" applyFill="1" applyAlignment="1">
      <alignment horizontal="left" vertical="center"/>
    </xf>
    <xf numFmtId="0" fontId="4" fillId="16" borderId="12" xfId="12" applyFill="1" applyBorder="1" applyAlignment="1">
      <alignment horizontal="center" vertical="center"/>
    </xf>
    <xf numFmtId="0" fontId="4" fillId="0" borderId="13" xfId="12" applyBorder="1" applyAlignment="1">
      <alignment horizontal="center" vertical="center"/>
    </xf>
    <xf numFmtId="0" fontId="4" fillId="0" borderId="14" xfId="12" applyBorder="1" applyAlignment="1">
      <alignment horizontal="center" vertical="center"/>
    </xf>
    <xf numFmtId="2" fontId="4" fillId="16" borderId="15" xfId="12" applyNumberFormat="1" applyFill="1" applyBorder="1" applyAlignment="1">
      <alignment horizontal="center" vertical="center"/>
    </xf>
    <xf numFmtId="0" fontId="4" fillId="0" borderId="16" xfId="12" applyBorder="1" applyAlignment="1">
      <alignment horizontal="center" vertical="center"/>
    </xf>
    <xf numFmtId="0" fontId="4" fillId="0" borderId="0" xfId="12" applyBorder="1" applyAlignment="1">
      <alignment horizontal="center" vertical="center"/>
    </xf>
    <xf numFmtId="167" fontId="4" fillId="0" borderId="16" xfId="12" applyNumberFormat="1" applyBorder="1" applyAlignment="1">
      <alignment horizontal="center" vertical="center"/>
    </xf>
    <xf numFmtId="167" fontId="24" fillId="15" borderId="0" xfId="13" applyNumberFormat="1" applyFont="1" applyFill="1" applyAlignment="1">
      <alignment horizontal="right"/>
    </xf>
    <xf numFmtId="0" fontId="25" fillId="15" borderId="0" xfId="12" applyFont="1" applyFill="1" applyAlignment="1">
      <alignment horizontal="left"/>
    </xf>
    <xf numFmtId="0" fontId="4" fillId="0" borderId="15" xfId="12" applyBorder="1" applyAlignment="1">
      <alignment horizontal="center" vertical="center"/>
    </xf>
    <xf numFmtId="0" fontId="25" fillId="15" borderId="0" xfId="12" applyFont="1" applyFill="1" applyAlignment="1">
      <alignment horizontal="right"/>
    </xf>
    <xf numFmtId="0" fontId="25" fillId="15" borderId="17" xfId="12" applyFont="1" applyFill="1" applyBorder="1" applyAlignment="1">
      <alignment horizontal="center" vertical="center" wrapText="1"/>
    </xf>
    <xf numFmtId="0" fontId="25" fillId="15" borderId="18" xfId="12" applyFont="1" applyFill="1" applyBorder="1" applyAlignment="1">
      <alignment horizontal="center" vertical="center" wrapText="1"/>
    </xf>
    <xf numFmtId="0" fontId="25" fillId="15" borderId="19" xfId="12" applyFont="1" applyFill="1" applyBorder="1" applyAlignment="1">
      <alignment horizontal="center" vertical="center" wrapText="1"/>
    </xf>
    <xf numFmtId="0" fontId="25" fillId="15" borderId="20" xfId="12" applyFont="1" applyFill="1" applyBorder="1" applyAlignment="1">
      <alignment horizontal="right" wrapText="1"/>
    </xf>
    <xf numFmtId="0" fontId="25" fillId="15" borderId="20" xfId="12" applyFont="1" applyFill="1" applyBorder="1" applyAlignment="1">
      <alignment horizontal="left"/>
    </xf>
    <xf numFmtId="0" fontId="24" fillId="15" borderId="21" xfId="12" applyFont="1" applyFill="1" applyBorder="1" applyAlignment="1">
      <alignment horizontal="right"/>
    </xf>
    <xf numFmtId="0" fontId="25" fillId="15" borderId="21" xfId="12" applyFont="1" applyFill="1" applyBorder="1"/>
    <xf numFmtId="0" fontId="25" fillId="15" borderId="0" xfId="12" applyFont="1" applyFill="1"/>
    <xf numFmtId="0" fontId="27" fillId="15" borderId="0" xfId="12" applyFont="1" applyFill="1"/>
    <xf numFmtId="0" fontId="29" fillId="15" borderId="0" xfId="14" applyFont="1" applyFill="1" applyAlignment="1" applyProtection="1">
      <alignment vertical="top"/>
    </xf>
    <xf numFmtId="0" fontId="29" fillId="15" borderId="0" xfId="15" applyFont="1" applyFill="1" applyAlignment="1" applyProtection="1">
      <alignment horizontal="left"/>
      <protection locked="0"/>
    </xf>
    <xf numFmtId="0" fontId="25" fillId="15" borderId="0" xfId="15" applyFont="1" applyFill="1" applyAlignment="1" applyProtection="1"/>
    <xf numFmtId="9" fontId="4" fillId="0" borderId="22" xfId="12" applyNumberFormat="1" applyBorder="1" applyAlignment="1">
      <alignment horizontal="center" vertical="center"/>
    </xf>
    <xf numFmtId="9" fontId="4" fillId="0" borderId="23" xfId="12" applyNumberFormat="1" applyBorder="1" applyAlignment="1">
      <alignment horizontal="center" vertical="center"/>
    </xf>
    <xf numFmtId="9" fontId="4" fillId="0" borderId="24" xfId="12" applyNumberFormat="1" applyBorder="1" applyAlignment="1">
      <alignment horizontal="center" vertical="center"/>
    </xf>
    <xf numFmtId="3" fontId="4" fillId="0" borderId="22" xfId="12" applyNumberFormat="1" applyBorder="1" applyAlignment="1">
      <alignment horizontal="center" vertical="center"/>
    </xf>
    <xf numFmtId="3" fontId="4" fillId="0" borderId="23" xfId="12" applyNumberFormat="1" applyBorder="1" applyAlignment="1">
      <alignment horizontal="center" vertical="center"/>
    </xf>
    <xf numFmtId="3" fontId="4" fillId="0" borderId="24" xfId="12" applyNumberFormat="1" applyBorder="1" applyAlignment="1">
      <alignment horizontal="center" vertical="center"/>
    </xf>
    <xf numFmtId="0" fontId="14" fillId="0" borderId="25" xfId="12" applyFont="1" applyBorder="1" applyAlignment="1">
      <alignment horizontal="center" vertical="center"/>
    </xf>
    <xf numFmtId="3" fontId="4" fillId="0" borderId="0" xfId="12" applyNumberFormat="1"/>
    <xf numFmtId="9" fontId="4" fillId="0" borderId="26" xfId="12" applyNumberFormat="1" applyBorder="1" applyAlignment="1">
      <alignment horizontal="center" vertical="center"/>
    </xf>
    <xf numFmtId="9" fontId="4" fillId="0" borderId="3" xfId="12" applyNumberFormat="1" applyBorder="1" applyAlignment="1">
      <alignment horizontal="center" vertical="center"/>
    </xf>
    <xf numFmtId="9" fontId="4" fillId="0" borderId="27" xfId="12" applyNumberFormat="1" applyBorder="1" applyAlignment="1">
      <alignment horizontal="center" vertical="center"/>
    </xf>
    <xf numFmtId="3" fontId="4" fillId="0" borderId="26" xfId="12" applyNumberFormat="1" applyBorder="1" applyAlignment="1">
      <alignment horizontal="center" vertical="center"/>
    </xf>
    <xf numFmtId="3" fontId="4" fillId="0" borderId="3" xfId="12" applyNumberFormat="1" applyBorder="1" applyAlignment="1">
      <alignment horizontal="center" vertical="center"/>
    </xf>
    <xf numFmtId="3" fontId="4" fillId="0" borderId="27" xfId="12" applyNumberFormat="1" applyBorder="1" applyAlignment="1">
      <alignment horizontal="center" vertical="center"/>
    </xf>
    <xf numFmtId="0" fontId="14" fillId="0" borderId="28" xfId="12" applyFont="1" applyBorder="1" applyAlignment="1">
      <alignment horizontal="center" vertical="center"/>
    </xf>
    <xf numFmtId="1" fontId="32" fillId="14" borderId="29" xfId="12" applyNumberFormat="1" applyFont="1" applyFill="1" applyBorder="1" applyAlignment="1" applyProtection="1">
      <alignment horizontal="right"/>
    </xf>
    <xf numFmtId="1" fontId="32" fillId="14" borderId="1" xfId="12" applyNumberFormat="1" applyFont="1" applyFill="1" applyBorder="1" applyAlignment="1" applyProtection="1">
      <alignment horizontal="right"/>
    </xf>
    <xf numFmtId="0" fontId="33" fillId="14" borderId="1" xfId="12" applyFont="1" applyFill="1" applyBorder="1" applyAlignment="1" applyProtection="1">
      <alignment horizontal="left"/>
    </xf>
    <xf numFmtId="1" fontId="32" fillId="14" borderId="31" xfId="12" applyNumberFormat="1" applyFont="1" applyFill="1" applyBorder="1" applyAlignment="1" applyProtection="1">
      <alignment horizontal="right"/>
    </xf>
    <xf numFmtId="1" fontId="32" fillId="14" borderId="32" xfId="12" applyNumberFormat="1" applyFont="1" applyFill="1" applyBorder="1" applyAlignment="1" applyProtection="1">
      <alignment horizontal="right"/>
    </xf>
    <xf numFmtId="0" fontId="33" fillId="14" borderId="32" xfId="12" applyFont="1" applyFill="1" applyBorder="1" applyAlignment="1" applyProtection="1">
      <alignment horizontal="left"/>
    </xf>
    <xf numFmtId="0" fontId="14" fillId="0" borderId="22" xfId="12" applyFont="1" applyBorder="1" applyAlignment="1">
      <alignment horizontal="center" vertical="center"/>
    </xf>
    <xf numFmtId="0" fontId="14" fillId="0" borderId="23" xfId="12" applyFont="1" applyBorder="1" applyAlignment="1">
      <alignment horizontal="center" vertical="center"/>
    </xf>
    <xf numFmtId="0" fontId="14" fillId="0" borderId="24" xfId="12" applyFont="1" applyBorder="1" applyAlignment="1">
      <alignment horizontal="center" vertical="center"/>
    </xf>
    <xf numFmtId="0" fontId="35" fillId="17" borderId="0" xfId="16" applyFont="1" applyFill="1"/>
    <xf numFmtId="170" fontId="36" fillId="17" borderId="0" xfId="13" applyNumberFormat="1" applyFont="1" applyFill="1" applyAlignment="1" applyProtection="1">
      <alignment horizontal="right"/>
    </xf>
    <xf numFmtId="1" fontId="32" fillId="14" borderId="0" xfId="12" applyNumberFormat="1" applyFont="1" applyFill="1" applyAlignment="1" applyProtection="1">
      <alignment horizontal="right"/>
    </xf>
    <xf numFmtId="0" fontId="33" fillId="14" borderId="0" xfId="12" applyFont="1" applyFill="1" applyAlignment="1" applyProtection="1">
      <alignment horizontal="left"/>
    </xf>
    <xf numFmtId="0" fontId="14" fillId="0" borderId="27" xfId="12" applyFont="1" applyBorder="1" applyAlignment="1">
      <alignment horizontal="center" vertical="center"/>
    </xf>
    <xf numFmtId="0" fontId="36" fillId="14" borderId="0" xfId="12" applyFont="1" applyFill="1"/>
    <xf numFmtId="0" fontId="33" fillId="14" borderId="14" xfId="12" applyFont="1" applyFill="1" applyBorder="1" applyAlignment="1">
      <alignment horizontal="right" wrapText="1"/>
    </xf>
    <xf numFmtId="0" fontId="33" fillId="14" borderId="14" xfId="12" applyFont="1" applyFill="1" applyBorder="1" applyAlignment="1" applyProtection="1">
      <alignment horizontal="right" wrapText="1"/>
    </xf>
    <xf numFmtId="0" fontId="33" fillId="14" borderId="14" xfId="12" applyFont="1" applyFill="1" applyBorder="1" applyAlignment="1">
      <alignment horizontal="left" wrapText="1"/>
    </xf>
    <xf numFmtId="3" fontId="4" fillId="0" borderId="39" xfId="12" applyNumberFormat="1" applyBorder="1" applyAlignment="1">
      <alignment horizontal="center" vertical="center"/>
    </xf>
    <xf numFmtId="3" fontId="4" fillId="0" borderId="40" xfId="12" applyNumberFormat="1" applyBorder="1" applyAlignment="1">
      <alignment horizontal="center" vertical="center"/>
    </xf>
    <xf numFmtId="0" fontId="14" fillId="0" borderId="41" xfId="12" applyFont="1" applyBorder="1" applyAlignment="1">
      <alignment horizontal="center" vertical="center"/>
    </xf>
    <xf numFmtId="0" fontId="36" fillId="14" borderId="14" xfId="12" applyFont="1" applyFill="1" applyBorder="1" applyAlignment="1">
      <alignment horizontal="right"/>
    </xf>
    <xf numFmtId="0" fontId="36" fillId="14" borderId="14" xfId="12" applyFont="1" applyFill="1" applyBorder="1"/>
    <xf numFmtId="0" fontId="33" fillId="14" borderId="14" xfId="12" applyFont="1" applyFill="1" applyBorder="1" applyAlignment="1" applyProtection="1">
      <alignment horizontal="left" vertical="top"/>
    </xf>
    <xf numFmtId="171" fontId="22" fillId="14" borderId="0" xfId="17" applyFont="1" applyFill="1" applyBorder="1" applyAlignment="1">
      <alignment horizontal="left"/>
    </xf>
    <xf numFmtId="0" fontId="39" fillId="14" borderId="0" xfId="12" applyFont="1" applyFill="1"/>
    <xf numFmtId="0" fontId="41" fillId="17" borderId="0" xfId="12" applyFont="1" applyFill="1"/>
    <xf numFmtId="0" fontId="42" fillId="14" borderId="0" xfId="18" applyFont="1" applyFill="1" applyAlignment="1" applyProtection="1"/>
    <xf numFmtId="0" fontId="42" fillId="0" borderId="0" xfId="10" applyFont="1" applyFill="1" applyAlignment="1" applyProtection="1"/>
    <xf numFmtId="3" fontId="4" fillId="13" borderId="42" xfId="12" applyNumberFormat="1" applyFill="1" applyBorder="1" applyAlignment="1">
      <alignment horizontal="center" vertical="center"/>
    </xf>
    <xf numFmtId="3" fontId="4" fillId="0" borderId="43" xfId="12" applyNumberFormat="1" applyFill="1" applyBorder="1" applyAlignment="1">
      <alignment horizontal="center" vertical="center"/>
    </xf>
    <xf numFmtId="3" fontId="4" fillId="0" borderId="44" xfId="12" applyNumberFormat="1" applyFill="1" applyBorder="1" applyAlignment="1">
      <alignment horizontal="center" vertical="center"/>
    </xf>
    <xf numFmtId="0" fontId="14" fillId="0" borderId="12" xfId="12" applyFont="1" applyBorder="1" applyAlignment="1">
      <alignment horizontal="center" vertical="center"/>
    </xf>
    <xf numFmtId="0" fontId="14" fillId="0" borderId="45" xfId="12" applyFont="1" applyBorder="1" applyAlignment="1">
      <alignment horizontal="center" vertical="center"/>
    </xf>
    <xf numFmtId="0" fontId="14" fillId="0" borderId="46" xfId="12" applyFont="1" applyBorder="1" applyAlignment="1">
      <alignment horizontal="center" vertical="center"/>
    </xf>
    <xf numFmtId="3" fontId="4" fillId="13" borderId="12" xfId="12" applyNumberFormat="1" applyFill="1" applyBorder="1" applyAlignment="1">
      <alignment horizontal="center" vertical="center"/>
    </xf>
    <xf numFmtId="3" fontId="4" fillId="0" borderId="14" xfId="12" applyNumberFormat="1" applyFill="1" applyBorder="1" applyAlignment="1">
      <alignment horizontal="center" vertical="center"/>
    </xf>
    <xf numFmtId="0" fontId="14" fillId="0" borderId="34" xfId="12" applyFont="1" applyFill="1" applyBorder="1" applyAlignment="1">
      <alignment horizontal="center" vertical="center"/>
    </xf>
    <xf numFmtId="3" fontId="4" fillId="13" borderId="43" xfId="12" applyNumberFormat="1" applyFill="1" applyBorder="1" applyAlignment="1">
      <alignment horizontal="center" vertical="center"/>
    </xf>
    <xf numFmtId="3" fontId="4" fillId="0" borderId="50" xfId="12" applyNumberFormat="1" applyFill="1" applyBorder="1" applyAlignment="1">
      <alignment horizontal="center" vertical="center"/>
    </xf>
    <xf numFmtId="0" fontId="14" fillId="0" borderId="51" xfId="12" applyFont="1" applyFill="1" applyBorder="1" applyAlignment="1">
      <alignment horizontal="center" vertical="center"/>
    </xf>
    <xf numFmtId="3" fontId="4" fillId="0" borderId="50" xfId="12" applyNumberFormat="1" applyBorder="1" applyAlignment="1">
      <alignment horizontal="center" vertical="center"/>
    </xf>
    <xf numFmtId="0" fontId="14" fillId="0" borderId="51" xfId="12" applyFont="1" applyBorder="1" applyAlignment="1">
      <alignment horizontal="center" vertical="center"/>
    </xf>
    <xf numFmtId="17" fontId="31" fillId="0" borderId="0" xfId="10" applyNumberFormat="1" applyFont="1"/>
    <xf numFmtId="3" fontId="4" fillId="18" borderId="43" xfId="12" applyNumberFormat="1" applyFill="1" applyBorder="1" applyAlignment="1">
      <alignment horizontal="center" vertical="center"/>
    </xf>
    <xf numFmtId="3" fontId="4" fillId="18" borderId="50" xfId="12" applyNumberFormat="1" applyFill="1" applyBorder="1" applyAlignment="1">
      <alignment horizontal="center" vertical="center"/>
    </xf>
    <xf numFmtId="0" fontId="14" fillId="18" borderId="51" xfId="12" applyFont="1" applyFill="1" applyBorder="1" applyAlignment="1">
      <alignment horizontal="center" vertical="center"/>
    </xf>
    <xf numFmtId="17" fontId="4" fillId="0" borderId="0" xfId="12" applyNumberFormat="1"/>
    <xf numFmtId="0" fontId="4" fillId="0" borderId="44" xfId="12" applyBorder="1" applyAlignment="1">
      <alignment horizontal="center" vertical="center"/>
    </xf>
    <xf numFmtId="0" fontId="4" fillId="0" borderId="1" xfId="12" applyBorder="1" applyAlignment="1">
      <alignment horizontal="center" vertical="center"/>
    </xf>
    <xf numFmtId="167" fontId="24" fillId="15" borderId="1" xfId="13" applyNumberFormat="1" applyFont="1" applyFill="1" applyBorder="1" applyAlignment="1">
      <alignment horizontal="center" vertical="center"/>
    </xf>
    <xf numFmtId="3" fontId="24" fillId="15" borderId="1" xfId="13" applyNumberFormat="1" applyFont="1" applyFill="1" applyBorder="1" applyAlignment="1">
      <alignment horizontal="center" vertical="center"/>
    </xf>
    <xf numFmtId="0" fontId="43" fillId="0" borderId="0" xfId="12" applyFont="1"/>
    <xf numFmtId="0" fontId="4" fillId="0" borderId="0" xfId="12" applyFill="1" applyBorder="1"/>
    <xf numFmtId="3" fontId="4" fillId="19" borderId="7" xfId="12" applyNumberFormat="1" applyFill="1" applyBorder="1"/>
    <xf numFmtId="0" fontId="4" fillId="0" borderId="7" xfId="12" applyFill="1" applyBorder="1"/>
    <xf numFmtId="0" fontId="14" fillId="0" borderId="50" xfId="12" applyFont="1" applyFill="1" applyBorder="1" applyAlignment="1">
      <alignment vertical="center"/>
    </xf>
    <xf numFmtId="0" fontId="14" fillId="0" borderId="8" xfId="12" applyFont="1" applyFill="1" applyBorder="1" applyAlignment="1">
      <alignment vertical="center"/>
    </xf>
    <xf numFmtId="0" fontId="16" fillId="0" borderId="0" xfId="10" applyFill="1" applyBorder="1" applyAlignment="1">
      <alignment horizontal="center" vertical="center"/>
    </xf>
    <xf numFmtId="0" fontId="4" fillId="0" borderId="0" xfId="12" applyFill="1"/>
    <xf numFmtId="168" fontId="4" fillId="0" borderId="0" xfId="12" applyNumberFormat="1" applyFill="1"/>
    <xf numFmtId="168" fontId="4" fillId="0" borderId="0" xfId="12" applyNumberFormat="1" applyFill="1" applyBorder="1" applyAlignment="1">
      <alignment horizontal="center" vertical="center"/>
    </xf>
    <xf numFmtId="3" fontId="4" fillId="12" borderId="29" xfId="12" applyNumberFormat="1" applyFill="1" applyBorder="1" applyAlignment="1">
      <alignment horizontal="center" vertical="center"/>
    </xf>
    <xf numFmtId="3" fontId="4" fillId="12" borderId="1" xfId="12" applyNumberFormat="1" applyFill="1" applyBorder="1" applyAlignment="1">
      <alignment horizontal="center" vertical="center"/>
    </xf>
    <xf numFmtId="3" fontId="4" fillId="0" borderId="1" xfId="12" applyNumberFormat="1" applyFill="1" applyBorder="1" applyAlignment="1">
      <alignment horizontal="center" vertical="center"/>
    </xf>
    <xf numFmtId="0" fontId="14" fillId="0" borderId="30" xfId="12" applyFont="1" applyFill="1" applyBorder="1" applyAlignment="1">
      <alignment horizontal="center" vertical="center"/>
    </xf>
    <xf numFmtId="3" fontId="4" fillId="0" borderId="7" xfId="12" applyNumberFormat="1" applyBorder="1" applyAlignment="1">
      <alignment horizontal="center" vertical="center"/>
    </xf>
    <xf numFmtId="0" fontId="14" fillId="0" borderId="8" xfId="12" applyFont="1" applyFill="1" applyBorder="1" applyAlignment="1">
      <alignment horizontal="center" vertical="center"/>
    </xf>
    <xf numFmtId="0" fontId="14" fillId="0" borderId="17" xfId="12" applyFont="1" applyBorder="1" applyAlignment="1">
      <alignment horizontal="center" vertical="center"/>
    </xf>
    <xf numFmtId="0" fontId="14" fillId="0" borderId="19" xfId="12" applyFont="1" applyBorder="1" applyAlignment="1">
      <alignment horizontal="center" vertical="center"/>
    </xf>
    <xf numFmtId="0" fontId="14" fillId="0" borderId="18" xfId="12" applyFont="1" applyBorder="1" applyAlignment="1">
      <alignment horizontal="center" vertical="center"/>
    </xf>
    <xf numFmtId="3" fontId="4" fillId="0" borderId="12" xfId="12" applyNumberFormat="1" applyBorder="1" applyAlignment="1">
      <alignment horizontal="center" vertical="center"/>
    </xf>
    <xf numFmtId="3" fontId="4" fillId="12" borderId="13" xfId="12" applyNumberFormat="1" applyFill="1" applyBorder="1" applyAlignment="1">
      <alignment horizontal="center" vertical="center"/>
    </xf>
    <xf numFmtId="3" fontId="4" fillId="0" borderId="13" xfId="12" applyNumberFormat="1" applyBorder="1" applyAlignment="1">
      <alignment horizontal="center" vertical="center"/>
    </xf>
    <xf numFmtId="0" fontId="4" fillId="0" borderId="12" xfId="12" applyBorder="1" applyAlignment="1">
      <alignment horizontal="center" vertical="center"/>
    </xf>
    <xf numFmtId="0" fontId="4" fillId="13" borderId="34" xfId="12" applyFill="1" applyBorder="1" applyAlignment="1">
      <alignment horizontal="center" vertical="center"/>
    </xf>
    <xf numFmtId="3" fontId="4" fillId="0" borderId="15" xfId="12" applyNumberFormat="1" applyBorder="1" applyAlignment="1">
      <alignment horizontal="center" vertical="center"/>
    </xf>
    <xf numFmtId="3" fontId="4" fillId="0" borderId="16" xfId="12" applyNumberFormat="1" applyBorder="1" applyAlignment="1">
      <alignment horizontal="center" vertical="center"/>
    </xf>
    <xf numFmtId="0" fontId="4" fillId="0" borderId="52" xfId="12" applyBorder="1" applyAlignment="1">
      <alignment horizontal="center" vertical="center"/>
    </xf>
    <xf numFmtId="3" fontId="4" fillId="12" borderId="16" xfId="12" applyNumberFormat="1" applyFill="1" applyBorder="1" applyAlignment="1">
      <alignment horizontal="center" vertical="center"/>
    </xf>
    <xf numFmtId="0" fontId="4" fillId="13" borderId="52" xfId="12" applyFill="1" applyBorder="1" applyAlignment="1">
      <alignment horizontal="center" vertical="center"/>
    </xf>
    <xf numFmtId="0" fontId="4" fillId="0" borderId="0" xfId="12" applyBorder="1"/>
    <xf numFmtId="3" fontId="4" fillId="18" borderId="16" xfId="12" applyNumberFormat="1" applyFill="1" applyBorder="1" applyAlignment="1">
      <alignment horizontal="center" vertical="center"/>
    </xf>
    <xf numFmtId="0" fontId="4" fillId="0" borderId="0" xfId="12" applyFill="1" applyBorder="1" applyAlignment="1">
      <alignment vertical="center"/>
    </xf>
    <xf numFmtId="0" fontId="14" fillId="0" borderId="0" xfId="12" applyFont="1" applyFill="1" applyBorder="1" applyAlignment="1">
      <alignment vertical="center"/>
    </xf>
    <xf numFmtId="3" fontId="4" fillId="19" borderId="15" xfId="12" applyNumberFormat="1" applyFill="1" applyBorder="1" applyAlignment="1">
      <alignment horizontal="center" vertical="center"/>
    </xf>
    <xf numFmtId="3" fontId="4" fillId="20" borderId="16" xfId="12" applyNumberFormat="1" applyFill="1" applyBorder="1" applyAlignment="1">
      <alignment horizontal="center" vertical="center"/>
    </xf>
    <xf numFmtId="0" fontId="44" fillId="0" borderId="47" xfId="12" applyFont="1" applyBorder="1" applyAlignment="1">
      <alignment horizontal="center" vertical="center"/>
    </xf>
    <xf numFmtId="0" fontId="14" fillId="0" borderId="53" xfId="12" applyFont="1" applyBorder="1" applyAlignment="1">
      <alignment horizontal="center" vertical="center"/>
    </xf>
    <xf numFmtId="0" fontId="4" fillId="0" borderId="0" xfId="12" applyAlignment="1">
      <alignment horizontal="center" vertical="center"/>
    </xf>
    <xf numFmtId="1" fontId="0" fillId="0" borderId="0" xfId="11" applyNumberFormat="1" applyFont="1"/>
    <xf numFmtId="1" fontId="6" fillId="0" borderId="0" xfId="11" applyNumberFormat="1" applyFont="1"/>
    <xf numFmtId="1" fontId="19" fillId="0" borderId="0" xfId="11" applyNumberFormat="1" applyFont="1" applyFill="1" applyBorder="1" applyAlignment="1">
      <alignment horizontal="center"/>
    </xf>
    <xf numFmtId="1" fontId="19" fillId="0" borderId="0" xfId="11" applyNumberFormat="1" applyFont="1" applyFill="1" applyBorder="1" applyAlignment="1"/>
    <xf numFmtId="1" fontId="0" fillId="0" borderId="0" xfId="11" applyNumberFormat="1" applyFont="1" applyFill="1" applyBorder="1"/>
    <xf numFmtId="1" fontId="19" fillId="0" borderId="0" xfId="11" applyNumberFormat="1" applyFont="1" applyFill="1" applyBorder="1" applyAlignment="1">
      <alignment wrapText="1"/>
    </xf>
    <xf numFmtId="0" fontId="0" fillId="24" borderId="0" xfId="0" applyFill="1"/>
    <xf numFmtId="166" fontId="0" fillId="0" borderId="0" xfId="0" applyNumberFormat="1"/>
    <xf numFmtId="172" fontId="0" fillId="0" borderId="0" xfId="0" applyNumberFormat="1"/>
    <xf numFmtId="0" fontId="0" fillId="10" borderId="3" xfId="4" applyNumberFormat="1" applyFont="1" applyFill="1" applyBorder="1" applyAlignment="1">
      <alignment horizontal="center" vertical="center"/>
    </xf>
    <xf numFmtId="166" fontId="0" fillId="10" borderId="3" xfId="4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horizontal="center" wrapText="1"/>
    </xf>
    <xf numFmtId="0" fontId="0" fillId="7" borderId="3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21" borderId="3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5" fillId="0" borderId="0" xfId="0" applyFont="1" applyAlignment="1">
      <alignment horizontal="center"/>
    </xf>
    <xf numFmtId="0" fontId="48" fillId="25" borderId="0" xfId="0" applyFont="1" applyFill="1" applyAlignment="1">
      <alignment horizontal="center" vertical="center"/>
    </xf>
    <xf numFmtId="0" fontId="48" fillId="26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1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50" fillId="27" borderId="0" xfId="0" applyFont="1" applyFill="1" applyAlignment="1">
      <alignment horizontal="center" vertical="center"/>
    </xf>
    <xf numFmtId="0" fontId="51" fillId="25" borderId="0" xfId="0" applyFont="1" applyFill="1" applyAlignment="1">
      <alignment horizontal="center" vertical="center"/>
    </xf>
    <xf numFmtId="166" fontId="51" fillId="25" borderId="0" xfId="0" applyNumberFormat="1" applyFont="1" applyFill="1" applyAlignment="1">
      <alignment horizontal="center" vertical="center"/>
    </xf>
    <xf numFmtId="4" fontId="51" fillId="25" borderId="0" xfId="0" applyNumberFormat="1" applyFont="1" applyFill="1" applyAlignment="1">
      <alignment horizontal="center" vertical="center"/>
    </xf>
    <xf numFmtId="2" fontId="51" fillId="25" borderId="0" xfId="24" applyNumberFormat="1" applyFont="1" applyFill="1" applyAlignment="1" applyProtection="1">
      <alignment horizontal="center" vertical="center"/>
    </xf>
    <xf numFmtId="48" fontId="1" fillId="22" borderId="0" xfId="2" applyNumberFormat="1" applyFont="1" applyFill="1" applyAlignment="1">
      <alignment horizontal="center" vertical="center"/>
    </xf>
    <xf numFmtId="48" fontId="51" fillId="25" borderId="0" xfId="0" applyNumberFormat="1" applyFont="1" applyFill="1" applyAlignment="1">
      <alignment horizontal="center" vertical="center"/>
    </xf>
    <xf numFmtId="10" fontId="51" fillId="25" borderId="0" xfId="25" applyNumberFormat="1" applyFont="1" applyFill="1" applyBorder="1" applyAlignment="1" applyProtection="1">
      <alignment horizontal="center" vertical="center"/>
    </xf>
    <xf numFmtId="0" fontId="51" fillId="29" borderId="0" xfId="0" applyFont="1" applyFill="1" applyAlignment="1">
      <alignment horizontal="center" vertical="center"/>
    </xf>
    <xf numFmtId="166" fontId="51" fillId="29" borderId="0" xfId="0" applyNumberFormat="1" applyFont="1" applyFill="1" applyAlignment="1">
      <alignment horizontal="center" vertical="center"/>
    </xf>
    <xf numFmtId="4" fontId="51" fillId="29" borderId="0" xfId="0" applyNumberFormat="1" applyFont="1" applyFill="1" applyAlignment="1">
      <alignment horizontal="center" vertical="center"/>
    </xf>
    <xf numFmtId="2" fontId="51" fillId="29" borderId="0" xfId="24" applyNumberFormat="1" applyFont="1" applyFill="1" applyAlignment="1" applyProtection="1">
      <alignment horizontal="center" vertical="center"/>
    </xf>
    <xf numFmtId="48" fontId="51" fillId="29" borderId="0" xfId="0" applyNumberFormat="1" applyFont="1" applyFill="1" applyAlignment="1">
      <alignment horizontal="center" vertical="center"/>
    </xf>
    <xf numFmtId="48" fontId="51" fillId="31" borderId="0" xfId="0" applyNumberFormat="1" applyFont="1" applyFill="1" applyAlignment="1">
      <alignment horizontal="center" vertical="center"/>
    </xf>
    <xf numFmtId="10" fontId="52" fillId="30" borderId="0" xfId="25" applyNumberFormat="1" applyFont="1" applyFill="1" applyBorder="1" applyAlignment="1" applyProtection="1">
      <alignment horizontal="center" vertical="center"/>
    </xf>
    <xf numFmtId="10" fontId="51" fillId="0" borderId="0" xfId="25" applyNumberFormat="1" applyFont="1" applyFill="1" applyBorder="1" applyAlignment="1" applyProtection="1">
      <alignment horizontal="center" vertical="center"/>
    </xf>
    <xf numFmtId="10" fontId="52" fillId="0" borderId="0" xfId="25" applyNumberFormat="1" applyFont="1" applyFill="1" applyBorder="1" applyAlignment="1" applyProtection="1">
      <alignment horizontal="center" vertical="center"/>
    </xf>
    <xf numFmtId="174" fontId="51" fillId="0" borderId="0" xfId="25" applyNumberFormat="1" applyFont="1" applyFill="1" applyBorder="1" applyAlignment="1" applyProtection="1">
      <alignment horizontal="center" vertical="center"/>
    </xf>
    <xf numFmtId="4" fontId="52" fillId="29" borderId="0" xfId="0" applyNumberFormat="1" applyFont="1" applyFill="1" applyAlignment="1">
      <alignment horizontal="center" vertical="center"/>
    </xf>
    <xf numFmtId="4" fontId="10" fillId="4" borderId="4" xfId="21" applyNumberFormat="1" applyFont="1" applyAlignment="1">
      <alignment horizontal="center" vertical="center"/>
    </xf>
    <xf numFmtId="166" fontId="10" fillId="4" borderId="4" xfId="21" applyNumberFormat="1" applyFont="1" applyAlignment="1">
      <alignment horizontal="center" vertical="center"/>
    </xf>
    <xf numFmtId="2" fontId="10" fillId="4" borderId="4" xfId="21" applyNumberFormat="1" applyFont="1" applyAlignment="1">
      <alignment horizontal="center" vertical="center"/>
    </xf>
    <xf numFmtId="0" fontId="10" fillId="3" borderId="3" xfId="3" applyFont="1" applyBorder="1" applyAlignment="1">
      <alignment horizontal="center" vertical="center"/>
    </xf>
    <xf numFmtId="2" fontId="10" fillId="3" borderId="3" xfId="3" applyNumberFormat="1" applyFont="1" applyBorder="1" applyAlignment="1">
      <alignment horizontal="center" vertical="center"/>
    </xf>
    <xf numFmtId="0" fontId="1" fillId="4" borderId="3" xfId="4" applyFont="1" applyBorder="1" applyAlignment="1">
      <alignment horizontal="center" vertical="center"/>
    </xf>
    <xf numFmtId="4" fontId="10" fillId="3" borderId="3" xfId="3" applyNumberFormat="1" applyFont="1" applyBorder="1" applyAlignment="1">
      <alignment horizontal="center" vertical="center"/>
    </xf>
    <xf numFmtId="166" fontId="10" fillId="3" borderId="3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2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25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11" fontId="51" fillId="0" borderId="0" xfId="0" applyNumberFormat="1" applyFont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6" borderId="3" xfId="4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  <xf numFmtId="166" fontId="1" fillId="0" borderId="0" xfId="4" applyNumberFormat="1" applyFont="1" applyFill="1" applyBorder="1" applyAlignment="1">
      <alignment horizontal="center" vertical="center"/>
    </xf>
    <xf numFmtId="173" fontId="51" fillId="0" borderId="0" xfId="0" applyNumberFormat="1" applyFont="1" applyAlignment="1">
      <alignment horizontal="center" vertical="center"/>
    </xf>
    <xf numFmtId="48" fontId="51" fillId="26" borderId="0" xfId="0" applyNumberFormat="1" applyFont="1" applyFill="1" applyAlignment="1">
      <alignment horizontal="center" vertical="center"/>
    </xf>
    <xf numFmtId="0" fontId="1" fillId="0" borderId="0" xfId="0" applyFont="1"/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/>
    </xf>
    <xf numFmtId="0" fontId="50" fillId="27" borderId="0" xfId="0" applyFont="1" applyFill="1" applyAlignment="1">
      <alignment horizontal="center"/>
    </xf>
    <xf numFmtId="2" fontId="10" fillId="3" borderId="3" xfId="3" applyNumberFormat="1" applyFont="1" applyBorder="1" applyAlignment="1">
      <alignment horizontal="center" vertical="center" wrapText="1"/>
    </xf>
    <xf numFmtId="2" fontId="1" fillId="0" borderId="0" xfId="0" applyNumberFormat="1" applyFont="1"/>
    <xf numFmtId="9" fontId="1" fillId="0" borderId="0" xfId="2" applyFont="1"/>
    <xf numFmtId="0" fontId="51" fillId="25" borderId="0" xfId="0" applyFont="1" applyFill="1" applyAlignment="1">
      <alignment horizontal="center"/>
    </xf>
    <xf numFmtId="166" fontId="51" fillId="25" borderId="0" xfId="0" applyNumberFormat="1" applyFont="1" applyFill="1" applyAlignment="1">
      <alignment horizontal="center"/>
    </xf>
    <xf numFmtId="48" fontId="1" fillId="22" borderId="0" xfId="0" applyNumberFormat="1" applyFont="1" applyFill="1" applyAlignment="1">
      <alignment horizontal="center" vertical="center"/>
    </xf>
    <xf numFmtId="48" fontId="1" fillId="22" borderId="0" xfId="0" applyNumberFormat="1" applyFont="1" applyFill="1" applyAlignment="1">
      <alignment horizontal="center"/>
    </xf>
    <xf numFmtId="10" fontId="51" fillId="25" borderId="0" xfId="25" applyNumberFormat="1" applyFont="1" applyFill="1" applyBorder="1" applyAlignment="1" applyProtection="1"/>
    <xf numFmtId="2" fontId="10" fillId="4" borderId="4" xfId="21" applyNumberFormat="1" applyFont="1" applyAlignment="1">
      <alignment horizontal="center" vertical="center" wrapText="1"/>
    </xf>
    <xf numFmtId="0" fontId="51" fillId="29" borderId="0" xfId="0" applyFont="1" applyFill="1" applyAlignment="1">
      <alignment horizontal="center"/>
    </xf>
    <xf numFmtId="166" fontId="51" fillId="29" borderId="0" xfId="0" applyNumberFormat="1" applyFont="1" applyFill="1" applyAlignment="1">
      <alignment horizontal="center"/>
    </xf>
    <xf numFmtId="10" fontId="52" fillId="30" borderId="0" xfId="25" applyNumberFormat="1" applyFont="1" applyFill="1" applyBorder="1" applyAlignment="1" applyProtection="1">
      <alignment horizontal="center"/>
    </xf>
    <xf numFmtId="10" fontId="51" fillId="0" borderId="0" xfId="25" applyNumberFormat="1" applyFont="1" applyFill="1" applyBorder="1" applyAlignment="1" applyProtection="1"/>
    <xf numFmtId="10" fontId="53" fillId="0" borderId="0" xfId="25" applyNumberFormat="1" applyFont="1" applyFill="1" applyBorder="1" applyAlignment="1" applyProtection="1">
      <alignment horizontal="center"/>
    </xf>
    <xf numFmtId="175" fontId="51" fillId="0" borderId="0" xfId="25" applyNumberFormat="1" applyFont="1" applyFill="1" applyBorder="1" applyAlignment="1" applyProtection="1"/>
    <xf numFmtId="174" fontId="51" fillId="0" borderId="0" xfId="25" applyNumberFormat="1" applyFont="1" applyFill="1" applyBorder="1" applyAlignment="1" applyProtection="1"/>
    <xf numFmtId="4" fontId="51" fillId="0" borderId="0" xfId="25" applyNumberFormat="1" applyFont="1" applyFill="1" applyBorder="1" applyAlignment="1" applyProtection="1"/>
    <xf numFmtId="0" fontId="54" fillId="0" borderId="0" xfId="0" applyFont="1" applyAlignment="1">
      <alignment horizontal="center" vertical="center"/>
    </xf>
    <xf numFmtId="2" fontId="1" fillId="22" borderId="0" xfId="0" applyNumberFormat="1" applyFont="1" applyFill="1" applyAlignment="1">
      <alignment horizontal="center"/>
    </xf>
    <xf numFmtId="2" fontId="1" fillId="9" borderId="0" xfId="0" applyNumberFormat="1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3" fontId="1" fillId="0" borderId="15" xfId="12" applyNumberFormat="1" applyFont="1" applyFill="1" applyBorder="1" applyAlignment="1">
      <alignment horizontal="center" vertical="center"/>
    </xf>
    <xf numFmtId="3" fontId="1" fillId="0" borderId="12" xfId="12" applyNumberFormat="1" applyFont="1" applyFill="1" applyBorder="1" applyAlignment="1">
      <alignment horizontal="center" vertical="center"/>
    </xf>
    <xf numFmtId="0" fontId="0" fillId="0" borderId="0" xfId="0" applyFill="1"/>
    <xf numFmtId="0" fontId="56" fillId="0" borderId="0" xfId="0" applyFont="1"/>
    <xf numFmtId="0" fontId="0" fillId="0" borderId="0" xfId="2" applyNumberFormat="1" applyFont="1"/>
    <xf numFmtId="1" fontId="0" fillId="34" borderId="3" xfId="11" applyNumberFormat="1" applyFont="1" applyFill="1" applyBorder="1"/>
    <xf numFmtId="0" fontId="57" fillId="24" borderId="0" xfId="26" applyFill="1"/>
    <xf numFmtId="0" fontId="57" fillId="24" borderId="0" xfId="26" quotePrefix="1" applyFill="1"/>
    <xf numFmtId="0" fontId="6" fillId="24" borderId="0" xfId="0" applyFont="1" applyFill="1"/>
    <xf numFmtId="0" fontId="0" fillId="24" borderId="0" xfId="0" applyFill="1" applyAlignment="1">
      <alignment horizontal="left" vertical="center"/>
    </xf>
    <xf numFmtId="0" fontId="6" fillId="24" borderId="0" xfId="0" applyFont="1" applyFill="1" applyAlignment="1">
      <alignment horizontal="center" vertical="center"/>
    </xf>
    <xf numFmtId="0" fontId="10" fillId="3" borderId="0" xfId="3" applyAlignment="1">
      <alignment horizontal="center"/>
    </xf>
    <xf numFmtId="2" fontId="10" fillId="3" borderId="0" xfId="3" applyNumberFormat="1" applyAlignment="1">
      <alignment horizontal="center"/>
    </xf>
    <xf numFmtId="48" fontId="10" fillId="3" borderId="0" xfId="3" applyNumberFormat="1" applyAlignment="1">
      <alignment horizontal="center"/>
    </xf>
    <xf numFmtId="10" fontId="10" fillId="3" borderId="0" xfId="3" applyNumberFormat="1" applyAlignment="1">
      <alignment horizontal="center"/>
    </xf>
    <xf numFmtId="0" fontId="0" fillId="0" borderId="16" xfId="0" applyBorder="1"/>
    <xf numFmtId="0" fontId="0" fillId="0" borderId="15" xfId="0" applyBorder="1"/>
    <xf numFmtId="0" fontId="28" fillId="0" borderId="16" xfId="0" applyFont="1" applyBorder="1" applyAlignment="1">
      <alignment horizontal="left" vertical="center"/>
    </xf>
    <xf numFmtId="0" fontId="0" fillId="0" borderId="13" xfId="0" applyBorder="1"/>
    <xf numFmtId="0" fontId="0" fillId="0" borderId="12" xfId="0" applyBorder="1"/>
    <xf numFmtId="0" fontId="28" fillId="0" borderId="13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3" borderId="40" xfId="3" applyFont="1" applyBorder="1" applyAlignment="1">
      <alignment horizontal="center" vertical="center"/>
    </xf>
    <xf numFmtId="0" fontId="11" fillId="3" borderId="40" xfId="3" applyFont="1" applyBorder="1" applyAlignment="1">
      <alignment horizontal="center" vertical="center" wrapText="1"/>
    </xf>
    <xf numFmtId="0" fontId="60" fillId="23" borderId="0" xfId="1" applyFont="1" applyFill="1" applyBorder="1" applyAlignment="1">
      <alignment horizontal="center"/>
    </xf>
    <xf numFmtId="2" fontId="60" fillId="23" borderId="0" xfId="1" applyNumberFormat="1" applyFont="1" applyFill="1" applyBorder="1" applyAlignment="1">
      <alignment horizontal="center"/>
    </xf>
    <xf numFmtId="48" fontId="60" fillId="23" borderId="0" xfId="1" applyNumberFormat="1" applyFont="1" applyFill="1" applyBorder="1" applyAlignment="1">
      <alignment horizontal="center"/>
    </xf>
    <xf numFmtId="1" fontId="60" fillId="23" borderId="0" xfId="1" applyNumberFormat="1" applyFont="1" applyFill="1" applyBorder="1" applyAlignment="1">
      <alignment horizontal="center"/>
    </xf>
    <xf numFmtId="0" fontId="59" fillId="35" borderId="0" xfId="1" applyFont="1" applyFill="1" applyBorder="1" applyAlignment="1">
      <alignment horizontal="center"/>
    </xf>
    <xf numFmtId="10" fontId="59" fillId="35" borderId="0" xfId="1" applyNumberFormat="1" applyFont="1" applyFill="1" applyBorder="1" applyAlignment="1">
      <alignment horizontal="center"/>
    </xf>
    <xf numFmtId="10" fontId="52" fillId="35" borderId="0" xfId="25" applyNumberFormat="1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0" fillId="36" borderId="2" xfId="1" applyNumberFormat="1" applyFont="1" applyFill="1" applyBorder="1" applyAlignment="1">
      <alignment horizontal="center"/>
    </xf>
    <xf numFmtId="48" fontId="60" fillId="36" borderId="2" xfId="1" applyNumberFormat="1" applyFont="1" applyFill="1" applyBorder="1" applyAlignment="1">
      <alignment horizontal="center"/>
    </xf>
    <xf numFmtId="0" fontId="8" fillId="2" borderId="0" xfId="1" applyBorder="1" applyAlignment="1">
      <alignment horizontal="center"/>
    </xf>
    <xf numFmtId="2" fontId="60" fillId="36" borderId="55" xfId="1" applyNumberFormat="1" applyFont="1" applyFill="1" applyBorder="1" applyAlignment="1">
      <alignment horizontal="center"/>
    </xf>
    <xf numFmtId="48" fontId="60" fillId="36" borderId="55" xfId="1" applyNumberFormat="1" applyFont="1" applyFill="1" applyBorder="1" applyAlignment="1">
      <alignment horizontal="center"/>
    </xf>
    <xf numFmtId="48" fontId="60" fillId="36" borderId="59" xfId="1" applyNumberFormat="1" applyFont="1" applyFill="1" applyBorder="1" applyAlignment="1">
      <alignment horizontal="center"/>
    </xf>
    <xf numFmtId="48" fontId="60" fillId="36" borderId="60" xfId="1" applyNumberFormat="1" applyFont="1" applyFill="1" applyBorder="1" applyAlignment="1">
      <alignment horizontal="center"/>
    </xf>
    <xf numFmtId="48" fontId="60" fillId="36" borderId="61" xfId="1" applyNumberFormat="1" applyFont="1" applyFill="1" applyBorder="1" applyAlignment="1">
      <alignment horizontal="center"/>
    </xf>
    <xf numFmtId="48" fontId="60" fillId="36" borderId="62" xfId="1" applyNumberFormat="1" applyFont="1" applyFill="1" applyBorder="1" applyAlignment="1">
      <alignment horizontal="center"/>
    </xf>
    <xf numFmtId="48" fontId="60" fillId="36" borderId="63" xfId="1" applyNumberFormat="1" applyFont="1" applyFill="1" applyBorder="1" applyAlignment="1">
      <alignment horizontal="center"/>
    </xf>
    <xf numFmtId="2" fontId="60" fillId="36" borderId="64" xfId="1" applyNumberFormat="1" applyFont="1" applyFill="1" applyBorder="1" applyAlignment="1">
      <alignment horizontal="center"/>
    </xf>
    <xf numFmtId="48" fontId="60" fillId="36" borderId="64" xfId="1" applyNumberFormat="1" applyFont="1" applyFill="1" applyBorder="1" applyAlignment="1">
      <alignment horizontal="center"/>
    </xf>
    <xf numFmtId="48" fontId="60" fillId="36" borderId="65" xfId="1" applyNumberFormat="1" applyFont="1" applyFill="1" applyBorder="1" applyAlignment="1">
      <alignment horizontal="center"/>
    </xf>
    <xf numFmtId="0" fontId="0" fillId="0" borderId="0" xfId="0" applyBorder="1"/>
    <xf numFmtId="2" fontId="20" fillId="0" borderId="0" xfId="0" applyNumberFormat="1" applyFont="1" applyBorder="1" applyAlignment="1">
      <alignment horizontal="center"/>
    </xf>
    <xf numFmtId="0" fontId="0" fillId="0" borderId="66" xfId="0" applyFont="1" applyBorder="1" applyAlignment="1">
      <alignment horizontal="center" vertical="center"/>
    </xf>
    <xf numFmtId="2" fontId="0" fillId="0" borderId="67" xfId="0" applyNumberFormat="1" applyFont="1" applyBorder="1" applyAlignment="1">
      <alignment horizontal="center" vertical="center"/>
    </xf>
    <xf numFmtId="2" fontId="6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2" fontId="0" fillId="0" borderId="72" xfId="0" applyNumberFormat="1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61" fillId="32" borderId="9" xfId="0" applyNumberFormat="1" applyFont="1" applyFill="1" applyBorder="1" applyAlignment="1">
      <alignment horizontal="center" vertical="center" wrapText="1"/>
    </xf>
    <xf numFmtId="0" fontId="0" fillId="24" borderId="3" xfId="0" applyFill="1" applyBorder="1" applyAlignment="1">
      <alignment horizontal="center" vertical="center"/>
    </xf>
    <xf numFmtId="0" fontId="57" fillId="24" borderId="3" xfId="26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57" fillId="24" borderId="3" xfId="26" quotePrefix="1" applyFill="1" applyBorder="1" applyAlignment="1">
      <alignment horizontal="center" vertical="center"/>
    </xf>
    <xf numFmtId="0" fontId="14" fillId="0" borderId="49" xfId="12" applyFont="1" applyBorder="1" applyAlignment="1">
      <alignment horizontal="center" vertical="center"/>
    </xf>
    <xf numFmtId="0" fontId="14" fillId="0" borderId="47" xfId="12" applyFont="1" applyBorder="1" applyAlignment="1">
      <alignment horizontal="center" vertical="center"/>
    </xf>
    <xf numFmtId="0" fontId="14" fillId="0" borderId="48" xfId="12" applyFont="1" applyBorder="1" applyAlignment="1">
      <alignment horizontal="center" vertical="center"/>
    </xf>
    <xf numFmtId="0" fontId="4" fillId="0" borderId="49" xfId="12" applyBorder="1" applyAlignment="1">
      <alignment horizontal="center" vertical="center"/>
    </xf>
    <xf numFmtId="0" fontId="14" fillId="0" borderId="38" xfId="12" applyFont="1" applyBorder="1" applyAlignment="1">
      <alignment horizontal="center" vertical="center"/>
    </xf>
    <xf numFmtId="0" fontId="14" fillId="0" borderId="34" xfId="12" applyFont="1" applyBorder="1" applyAlignment="1">
      <alignment horizontal="center" vertical="center"/>
    </xf>
    <xf numFmtId="2" fontId="47" fillId="0" borderId="0" xfId="0" applyNumberFormat="1" applyFont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47" fillId="0" borderId="0" xfId="11" applyNumberFormat="1" applyFont="1" applyAlignment="1">
      <alignment horizontal="center"/>
    </xf>
    <xf numFmtId="1" fontId="21" fillId="0" borderId="0" xfId="11" applyNumberFormat="1" applyFont="1" applyBorder="1" applyAlignment="1">
      <alignment horizontal="center"/>
    </xf>
    <xf numFmtId="2" fontId="0" fillId="0" borderId="0" xfId="11" applyNumberFormat="1" applyFont="1" applyFill="1" applyBorder="1" applyAlignment="1">
      <alignment horizontal="center" vertical="center"/>
    </xf>
    <xf numFmtId="2" fontId="0" fillId="0" borderId="11" xfId="11" applyNumberFormat="1" applyFont="1" applyFill="1" applyBorder="1" applyAlignment="1">
      <alignment horizontal="center" vertical="center"/>
    </xf>
    <xf numFmtId="2" fontId="0" fillId="0" borderId="70" xfId="0" applyNumberFormat="1" applyFont="1" applyBorder="1" applyAlignment="1">
      <alignment horizontal="center" vertical="center"/>
    </xf>
    <xf numFmtId="2" fontId="0" fillId="0" borderId="69" xfId="0" applyNumberFormat="1" applyFont="1" applyBorder="1" applyAlignment="1">
      <alignment horizontal="center" vertical="center"/>
    </xf>
    <xf numFmtId="2" fontId="0" fillId="0" borderId="10" xfId="11" applyNumberFormat="1" applyFont="1" applyFill="1" applyBorder="1" applyAlignment="1">
      <alignment horizontal="center" vertical="center"/>
    </xf>
    <xf numFmtId="1" fontId="55" fillId="3" borderId="3" xfId="3" applyNumberFormat="1" applyFont="1" applyBorder="1" applyAlignment="1">
      <alignment horizontal="center" vertical="center"/>
    </xf>
    <xf numFmtId="1" fontId="0" fillId="6" borderId="3" xfId="4" applyNumberFormat="1" applyFont="1" applyFill="1" applyBorder="1" applyAlignment="1">
      <alignment horizontal="center" vertical="center"/>
    </xf>
    <xf numFmtId="3" fontId="0" fillId="24" borderId="74" xfId="21" applyNumberFormat="1" applyFont="1" applyFill="1" applyBorder="1" applyAlignment="1">
      <alignment horizontal="center" vertical="center"/>
    </xf>
    <xf numFmtId="3" fontId="0" fillId="24" borderId="75" xfId="21" applyNumberFormat="1" applyFont="1" applyFill="1" applyBorder="1" applyAlignment="1">
      <alignment horizontal="center" vertical="center"/>
    </xf>
    <xf numFmtId="2" fontId="0" fillId="24" borderId="76" xfId="21" applyNumberFormat="1" applyFont="1" applyFill="1" applyBorder="1" applyAlignment="1">
      <alignment horizontal="center" vertical="center"/>
    </xf>
    <xf numFmtId="2" fontId="0" fillId="24" borderId="77" xfId="21" applyNumberFormat="1" applyFont="1" applyFill="1" applyBorder="1" applyAlignment="1">
      <alignment horizontal="center" vertical="center"/>
    </xf>
    <xf numFmtId="3" fontId="0" fillId="24" borderId="79" xfId="21" applyNumberFormat="1" applyFont="1" applyFill="1" applyBorder="1" applyAlignment="1">
      <alignment horizontal="center" vertical="center"/>
    </xf>
    <xf numFmtId="2" fontId="0" fillId="24" borderId="80" xfId="21" applyNumberFormat="1" applyFont="1" applyFill="1" applyBorder="1" applyAlignment="1">
      <alignment horizontal="center" vertical="center"/>
    </xf>
    <xf numFmtId="3" fontId="0" fillId="24" borderId="81" xfId="21" applyNumberFormat="1" applyFont="1" applyFill="1" applyBorder="1" applyAlignment="1">
      <alignment horizontal="center" vertical="center"/>
    </xf>
    <xf numFmtId="2" fontId="0" fillId="24" borderId="82" xfId="21" applyNumberFormat="1" applyFont="1" applyFill="1" applyBorder="1" applyAlignment="1">
      <alignment horizontal="center" vertical="center"/>
    </xf>
    <xf numFmtId="3" fontId="0" fillId="24" borderId="83" xfId="21" applyNumberFormat="1" applyFont="1" applyFill="1" applyBorder="1" applyAlignment="1">
      <alignment horizontal="center" vertical="center"/>
    </xf>
    <xf numFmtId="3" fontId="0" fillId="6" borderId="3" xfId="11" applyNumberFormat="1" applyFont="1" applyFill="1" applyBorder="1" applyAlignment="1">
      <alignment horizontal="center" vertical="center"/>
    </xf>
    <xf numFmtId="3" fontId="62" fillId="8" borderId="3" xfId="11" applyNumberFormat="1" applyFont="1" applyFill="1" applyBorder="1" applyAlignment="1">
      <alignment horizontal="center" vertical="center"/>
    </xf>
    <xf numFmtId="2" fontId="0" fillId="24" borderId="84" xfId="21" applyNumberFormat="1" applyFont="1" applyFill="1" applyBorder="1" applyAlignment="1">
      <alignment horizontal="center" vertical="center"/>
    </xf>
    <xf numFmtId="3" fontId="0" fillId="24" borderId="85" xfId="21" applyNumberFormat="1" applyFont="1" applyFill="1" applyBorder="1" applyAlignment="1">
      <alignment horizontal="center" vertical="center"/>
    </xf>
    <xf numFmtId="2" fontId="0" fillId="24" borderId="86" xfId="21" applyNumberFormat="1" applyFont="1" applyFill="1" applyBorder="1" applyAlignment="1">
      <alignment horizontal="center" vertical="center"/>
    </xf>
    <xf numFmtId="3" fontId="0" fillId="24" borderId="87" xfId="21" applyNumberFormat="1" applyFont="1" applyFill="1" applyBorder="1" applyAlignment="1">
      <alignment horizontal="center" vertical="center"/>
    </xf>
    <xf numFmtId="2" fontId="61" fillId="32" borderId="3" xfId="0" applyNumberFormat="1" applyFont="1" applyFill="1" applyBorder="1" applyAlignment="1">
      <alignment horizontal="center" vertical="center" wrapText="1"/>
    </xf>
    <xf numFmtId="0" fontId="6" fillId="11" borderId="88" xfId="21" applyFont="1" applyFill="1" applyBorder="1" applyAlignment="1">
      <alignment horizontal="center" vertical="center" wrapText="1"/>
    </xf>
    <xf numFmtId="0" fontId="6" fillId="11" borderId="89" xfId="21" applyFont="1" applyFill="1" applyBorder="1" applyAlignment="1">
      <alignment horizontal="center" vertical="center" wrapText="1"/>
    </xf>
    <xf numFmtId="2" fontId="61" fillId="32" borderId="40" xfId="0" applyNumberFormat="1" applyFont="1" applyFill="1" applyBorder="1" applyAlignment="1">
      <alignment horizontal="center" vertical="center" wrapText="1"/>
    </xf>
    <xf numFmtId="0" fontId="61" fillId="37" borderId="40" xfId="0" applyFont="1" applyFill="1" applyBorder="1" applyAlignment="1">
      <alignment horizontal="center" vertical="center" wrapText="1"/>
    </xf>
    <xf numFmtId="176" fontId="36" fillId="17" borderId="0" xfId="11" applyNumberFormat="1" applyFont="1" applyFill="1"/>
    <xf numFmtId="0" fontId="0" fillId="13" borderId="0" xfId="0" applyFill="1"/>
    <xf numFmtId="3" fontId="36" fillId="17" borderId="14" xfId="11" applyNumberFormat="1" applyFont="1" applyFill="1" applyBorder="1"/>
    <xf numFmtId="0" fontId="33" fillId="17" borderId="14" xfId="0" applyFont="1" applyFill="1" applyBorder="1" applyAlignment="1">
      <alignment horizontal="left"/>
    </xf>
    <xf numFmtId="3" fontId="36" fillId="17" borderId="0" xfId="11" applyNumberFormat="1" applyFont="1" applyFill="1" applyBorder="1"/>
    <xf numFmtId="0" fontId="33" fillId="17" borderId="0" xfId="0" applyFont="1" applyFill="1" applyBorder="1" applyAlignment="1">
      <alignment horizontal="left"/>
    </xf>
    <xf numFmtId="3" fontId="36" fillId="17" borderId="0" xfId="11" applyNumberFormat="1" applyFont="1" applyFill="1"/>
    <xf numFmtId="0" fontId="33" fillId="17" borderId="0" xfId="0" applyFont="1" applyFill="1" applyAlignment="1">
      <alignment horizontal="left"/>
    </xf>
    <xf numFmtId="0" fontId="33" fillId="17" borderId="0" xfId="0" applyFont="1" applyFill="1" applyBorder="1" applyAlignment="1">
      <alignment horizontal="right" wrapText="1"/>
    </xf>
    <xf numFmtId="171" fontId="33" fillId="17" borderId="1" xfId="27" applyFont="1" applyFill="1" applyBorder="1" applyAlignment="1">
      <alignment horizontal="right" wrapText="1"/>
    </xf>
    <xf numFmtId="0" fontId="33" fillId="17" borderId="1" xfId="0" applyFont="1" applyFill="1" applyBorder="1" applyAlignment="1">
      <alignment horizontal="right" wrapText="1"/>
    </xf>
    <xf numFmtId="0" fontId="33" fillId="17" borderId="1" xfId="0" applyFont="1" applyFill="1" applyBorder="1" applyAlignment="1">
      <alignment horizontal="left" wrapText="1"/>
    </xf>
    <xf numFmtId="0" fontId="36" fillId="17" borderId="0" xfId="0" applyFont="1" applyFill="1" applyBorder="1" applyAlignment="1">
      <alignment horizontal="right"/>
    </xf>
    <xf numFmtId="0" fontId="36" fillId="17" borderId="1" xfId="0" applyFont="1" applyFill="1" applyBorder="1" applyAlignment="1">
      <alignment horizontal="centerContinuous"/>
    </xf>
    <xf numFmtId="0" fontId="33" fillId="17" borderId="1" xfId="0" applyFont="1" applyFill="1" applyBorder="1" applyAlignment="1">
      <alignment horizontal="centerContinuous"/>
    </xf>
    <xf numFmtId="0" fontId="36" fillId="17" borderId="0" xfId="0" applyFont="1" applyFill="1" applyBorder="1"/>
    <xf numFmtId="0" fontId="36" fillId="17" borderId="14" xfId="0" applyFont="1" applyFill="1" applyBorder="1" applyAlignment="1">
      <alignment horizontal="right"/>
    </xf>
    <xf numFmtId="0" fontId="36" fillId="17" borderId="14" xfId="0" applyFont="1" applyFill="1" applyBorder="1"/>
    <xf numFmtId="0" fontId="0" fillId="17" borderId="0" xfId="0" applyFill="1"/>
    <xf numFmtId="0" fontId="22" fillId="17" borderId="0" xfId="0" applyFont="1" applyFill="1"/>
    <xf numFmtId="0" fontId="39" fillId="17" borderId="0" xfId="0" applyFont="1" applyFill="1"/>
    <xf numFmtId="166" fontId="0" fillId="13" borderId="0" xfId="0" applyNumberFormat="1" applyFill="1"/>
    <xf numFmtId="3" fontId="0" fillId="24" borderId="84" xfId="21" applyNumberFormat="1" applyFont="1" applyFill="1" applyBorder="1" applyAlignment="1">
      <alignment horizontal="center" vertical="center"/>
    </xf>
    <xf numFmtId="3" fontId="0" fillId="24" borderId="78" xfId="21" applyNumberFormat="1" applyFont="1" applyFill="1" applyBorder="1" applyAlignment="1">
      <alignment horizontal="center" vertical="center"/>
    </xf>
    <xf numFmtId="3" fontId="0" fillId="24" borderId="90" xfId="21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" fontId="0" fillId="24" borderId="17" xfId="0" applyNumberForma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2" fontId="0" fillId="0" borderId="12" xfId="0" applyNumberFormat="1" applyBorder="1" applyAlignment="1">
      <alignment horizontal="center" vertical="center"/>
    </xf>
    <xf numFmtId="2" fontId="0" fillId="24" borderId="79" xfId="21" applyNumberFormat="1" applyFont="1" applyFill="1" applyBorder="1" applyAlignment="1">
      <alignment horizontal="center" vertical="center"/>
    </xf>
    <xf numFmtId="2" fontId="0" fillId="24" borderId="81" xfId="21" applyNumberFormat="1" applyFont="1" applyFill="1" applyBorder="1" applyAlignment="1">
      <alignment horizontal="center" vertical="center"/>
    </xf>
    <xf numFmtId="2" fontId="0" fillId="24" borderId="83" xfId="21" applyNumberFormat="1" applyFont="1" applyFill="1" applyBorder="1" applyAlignment="1">
      <alignment horizontal="center" vertical="center"/>
    </xf>
    <xf numFmtId="2" fontId="20" fillId="0" borderId="10" xfId="0" applyNumberFormat="1" applyFont="1" applyBorder="1" applyAlignment="1"/>
    <xf numFmtId="2" fontId="20" fillId="0" borderId="0" xfId="0" applyNumberFormat="1" applyFont="1" applyBorder="1" applyAlignment="1"/>
    <xf numFmtId="166" fontId="0" fillId="10" borderId="3" xfId="0" applyNumberFormat="1" applyFont="1" applyFill="1" applyBorder="1" applyAlignment="1">
      <alignment horizontal="center" vertical="center" wrapText="1"/>
    </xf>
    <xf numFmtId="0" fontId="0" fillId="10" borderId="3" xfId="0" applyFont="1" applyFill="1" applyBorder="1" applyAlignment="1">
      <alignment horizontal="center" vertical="center" wrapText="1"/>
    </xf>
    <xf numFmtId="3" fontId="0" fillId="10" borderId="3" xfId="0" applyNumberFormat="1" applyFont="1" applyFill="1" applyBorder="1" applyAlignment="1">
      <alignment horizontal="center" vertical="center"/>
    </xf>
    <xf numFmtId="166" fontId="0" fillId="12" borderId="3" xfId="0" applyNumberFormat="1" applyFont="1" applyFill="1" applyBorder="1" applyAlignment="1">
      <alignment horizontal="center" vertical="center"/>
    </xf>
    <xf numFmtId="0" fontId="0" fillId="11" borderId="3" xfId="0" applyFont="1" applyFill="1" applyBorder="1" applyAlignment="1">
      <alignment horizontal="center" vertical="center" wrapText="1"/>
    </xf>
    <xf numFmtId="4" fontId="0" fillId="24" borderId="79" xfId="21" applyNumberFormat="1" applyFont="1" applyFill="1" applyBorder="1" applyAlignment="1">
      <alignment horizontal="center" vertical="center"/>
    </xf>
    <xf numFmtId="4" fontId="0" fillId="24" borderId="81" xfId="21" applyNumberFormat="1" applyFont="1" applyFill="1" applyBorder="1" applyAlignment="1">
      <alignment horizontal="center" vertical="center"/>
    </xf>
    <xf numFmtId="4" fontId="0" fillId="24" borderId="83" xfId="21" applyNumberFormat="1" applyFont="1" applyFill="1" applyBorder="1" applyAlignment="1">
      <alignment horizontal="center" vertical="center"/>
    </xf>
    <xf numFmtId="0" fontId="61" fillId="37" borderId="9" xfId="0" applyFont="1" applyFill="1" applyBorder="1" applyAlignment="1">
      <alignment horizontal="center" vertical="center" wrapText="1"/>
    </xf>
    <xf numFmtId="1" fontId="0" fillId="0" borderId="0" xfId="11" applyNumberFormat="1" applyFont="1" applyAlignment="1">
      <alignment horizontal="center" vertical="center"/>
    </xf>
    <xf numFmtId="1" fontId="6" fillId="0" borderId="0" xfId="11" applyNumberFormat="1" applyFont="1" applyAlignment="1">
      <alignment horizontal="center" vertical="center"/>
    </xf>
    <xf numFmtId="1" fontId="0" fillId="10" borderId="3" xfId="11" applyNumberFormat="1" applyFont="1" applyFill="1" applyBorder="1" applyAlignment="1">
      <alignment horizontal="center" vertical="center"/>
    </xf>
    <xf numFmtId="1" fontId="6" fillId="12" borderId="3" xfId="11" applyNumberFormat="1" applyFont="1" applyFill="1" applyBorder="1" applyAlignment="1">
      <alignment horizontal="center" vertical="center"/>
    </xf>
    <xf numFmtId="1" fontId="64" fillId="41" borderId="3" xfId="11" applyNumberFormat="1" applyFont="1" applyFill="1" applyBorder="1" applyAlignment="1">
      <alignment horizontal="center" vertical="center"/>
    </xf>
    <xf numFmtId="1" fontId="61" fillId="43" borderId="3" xfId="11" applyNumberFormat="1" applyFont="1" applyFill="1" applyBorder="1" applyAlignment="1">
      <alignment horizontal="center" vertical="center"/>
    </xf>
    <xf numFmtId="1" fontId="47" fillId="0" borderId="0" xfId="11" applyNumberFormat="1" applyFont="1" applyAlignment="1">
      <alignment vertical="center"/>
    </xf>
    <xf numFmtId="1" fontId="6" fillId="38" borderId="3" xfId="11" applyNumberFormat="1" applyFont="1" applyFill="1" applyBorder="1" applyAlignment="1">
      <alignment horizontal="center" vertical="center"/>
    </xf>
    <xf numFmtId="1" fontId="61" fillId="42" borderId="3" xfId="11" applyNumberFormat="1" applyFont="1" applyFill="1" applyBorder="1" applyAlignment="1">
      <alignment horizontal="center" vertical="center"/>
    </xf>
    <xf numFmtId="48" fontId="0" fillId="24" borderId="3" xfId="11" applyNumberFormat="1" applyFont="1" applyFill="1" applyBorder="1" applyAlignment="1">
      <alignment horizontal="center" vertical="center"/>
    </xf>
    <xf numFmtId="1" fontId="0" fillId="24" borderId="0" xfId="11" applyNumberFormat="1" applyFont="1" applyFill="1"/>
    <xf numFmtId="1" fontId="65" fillId="24" borderId="3" xfId="11" applyNumberFormat="1" applyFont="1" applyFill="1" applyBorder="1" applyAlignment="1">
      <alignment horizontal="center" vertical="center"/>
    </xf>
    <xf numFmtId="49" fontId="61" fillId="43" borderId="3" xfId="11" applyNumberFormat="1" applyFont="1" applyFill="1" applyBorder="1" applyAlignment="1">
      <alignment horizontal="center" vertical="center"/>
    </xf>
    <xf numFmtId="1" fontId="61" fillId="32" borderId="3" xfId="11" applyNumberFormat="1" applyFont="1" applyFill="1" applyBorder="1" applyAlignment="1">
      <alignment horizontal="center" vertical="center"/>
    </xf>
    <xf numFmtId="1" fontId="61" fillId="44" borderId="3" xfId="11" applyNumberFormat="1" applyFont="1" applyFill="1" applyBorder="1" applyAlignment="1">
      <alignment horizontal="center" vertical="center"/>
    </xf>
    <xf numFmtId="1" fontId="61" fillId="45" borderId="3" xfId="11" applyNumberFormat="1" applyFont="1" applyFill="1" applyBorder="1" applyAlignment="1">
      <alignment horizontal="center" vertical="center"/>
    </xf>
    <xf numFmtId="48" fontId="9" fillId="24" borderId="3" xfId="11" applyNumberFormat="1" applyFont="1" applyFill="1" applyBorder="1" applyAlignment="1">
      <alignment horizontal="center" vertical="center"/>
    </xf>
    <xf numFmtId="48" fontId="0" fillId="24" borderId="27" xfId="11" applyNumberFormat="1" applyFont="1" applyFill="1" applyBorder="1" applyAlignment="1">
      <alignment horizontal="center" vertical="center"/>
    </xf>
    <xf numFmtId="48" fontId="0" fillId="24" borderId="26" xfId="11" applyNumberFormat="1" applyFont="1" applyFill="1" applyBorder="1" applyAlignment="1">
      <alignment horizontal="center" vertical="center"/>
    </xf>
    <xf numFmtId="48" fontId="9" fillId="24" borderId="27" xfId="11" applyNumberFormat="1" applyFont="1" applyFill="1" applyBorder="1" applyAlignment="1">
      <alignment horizontal="center" vertical="center"/>
    </xf>
    <xf numFmtId="48" fontId="9" fillId="24" borderId="26" xfId="11" applyNumberFormat="1" applyFont="1" applyFill="1" applyBorder="1" applyAlignment="1">
      <alignment horizontal="center" vertical="center"/>
    </xf>
    <xf numFmtId="48" fontId="0" fillId="24" borderId="24" xfId="11" applyNumberFormat="1" applyFont="1" applyFill="1" applyBorder="1" applyAlignment="1">
      <alignment horizontal="center" vertical="center"/>
    </xf>
    <xf numFmtId="48" fontId="0" fillId="24" borderId="23" xfId="11" applyNumberFormat="1" applyFont="1" applyFill="1" applyBorder="1" applyAlignment="1">
      <alignment horizontal="center" vertical="center"/>
    </xf>
    <xf numFmtId="48" fontId="0" fillId="24" borderId="22" xfId="11" applyNumberFormat="1" applyFont="1" applyFill="1" applyBorder="1" applyAlignment="1">
      <alignment horizontal="center" vertical="center"/>
    </xf>
    <xf numFmtId="1" fontId="0" fillId="24" borderId="26" xfId="11" applyNumberFormat="1" applyFont="1" applyFill="1" applyBorder="1" applyAlignment="1">
      <alignment horizontal="center" vertical="center"/>
    </xf>
    <xf numFmtId="1" fontId="9" fillId="24" borderId="26" xfId="11" applyNumberFormat="1" applyFont="1" applyFill="1" applyBorder="1" applyAlignment="1">
      <alignment horizontal="center" vertical="center"/>
    </xf>
    <xf numFmtId="1" fontId="0" fillId="24" borderId="22" xfId="11" applyNumberFormat="1" applyFont="1" applyFill="1" applyBorder="1" applyAlignment="1">
      <alignment horizontal="center" vertical="center"/>
    </xf>
    <xf numFmtId="1" fontId="61" fillId="44" borderId="41" xfId="11" applyNumberFormat="1" applyFont="1" applyFill="1" applyBorder="1" applyAlignment="1">
      <alignment horizontal="center" vertical="center"/>
    </xf>
    <xf numFmtId="1" fontId="6" fillId="38" borderId="40" xfId="11" applyNumberFormat="1" applyFont="1" applyFill="1" applyBorder="1" applyAlignment="1">
      <alignment horizontal="center" vertical="center"/>
    </xf>
    <xf numFmtId="1" fontId="61" fillId="32" borderId="40" xfId="11" applyNumberFormat="1" applyFont="1" applyFill="1" applyBorder="1" applyAlignment="1">
      <alignment horizontal="center" vertical="center"/>
    </xf>
    <xf numFmtId="1" fontId="61" fillId="42" borderId="39" xfId="11" applyNumberFormat="1" applyFont="1" applyFill="1" applyBorder="1" applyAlignment="1">
      <alignment horizontal="center" vertical="center"/>
    </xf>
    <xf numFmtId="1" fontId="61" fillId="42" borderId="40" xfId="11" applyNumberFormat="1" applyFont="1" applyFill="1" applyBorder="1" applyAlignment="1">
      <alignment horizontal="center" vertical="center"/>
    </xf>
    <xf numFmtId="1" fontId="66" fillId="45" borderId="39" xfId="11" applyNumberFormat="1" applyFont="1" applyFill="1" applyBorder="1" applyAlignment="1">
      <alignment horizontal="center" vertical="center" wrapText="1"/>
    </xf>
    <xf numFmtId="3" fontId="0" fillId="34" borderId="3" xfId="11" applyNumberFormat="1" applyFont="1" applyFill="1" applyBorder="1"/>
    <xf numFmtId="1" fontId="6" fillId="24" borderId="26" xfId="11" applyNumberFormat="1" applyFont="1" applyFill="1" applyBorder="1" applyAlignment="1">
      <alignment horizontal="center" vertical="center"/>
    </xf>
    <xf numFmtId="1" fontId="6" fillId="24" borderId="22" xfId="11" applyNumberFormat="1" applyFont="1" applyFill="1" applyBorder="1" applyAlignment="1">
      <alignment horizontal="center" vertical="center"/>
    </xf>
    <xf numFmtId="1" fontId="19" fillId="0" borderId="0" xfId="11" applyNumberFormat="1" applyFont="1" applyFill="1" applyBorder="1" applyAlignment="1">
      <alignment horizontal="center" vertical="center"/>
    </xf>
    <xf numFmtId="1" fontId="19" fillId="0" borderId="10" xfId="11" applyNumberFormat="1" applyFont="1" applyFill="1" applyBorder="1" applyAlignment="1">
      <alignment horizontal="center" vertical="center" wrapText="1"/>
    </xf>
    <xf numFmtId="1" fontId="47" fillId="0" borderId="0" xfId="11" applyNumberFormat="1" applyFont="1" applyFill="1" applyBorder="1" applyAlignment="1">
      <alignment vertical="center"/>
    </xf>
    <xf numFmtId="1" fontId="6" fillId="0" borderId="0" xfId="1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8" fontId="0" fillId="0" borderId="3" xfId="0" applyNumberFormat="1" applyBorder="1" applyAlignment="1">
      <alignment horizontal="center" vertical="center"/>
    </xf>
    <xf numFmtId="2" fontId="0" fillId="0" borderId="0" xfId="0" applyNumberFormat="1"/>
    <xf numFmtId="166" fontId="0" fillId="0" borderId="3" xfId="0" applyNumberForma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33" borderId="3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166" fontId="0" fillId="13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40" borderId="0" xfId="0" applyFill="1" applyAlignment="1">
      <alignment horizontal="center" vertical="center"/>
    </xf>
    <xf numFmtId="166" fontId="0" fillId="40" borderId="0" xfId="0" applyNumberFormat="1" applyFill="1" applyAlignment="1">
      <alignment horizontal="center" vertical="center"/>
    </xf>
    <xf numFmtId="166" fontId="0" fillId="36" borderId="0" xfId="0" applyNumberFormat="1" applyFill="1" applyAlignment="1">
      <alignment horizontal="center" vertical="center"/>
    </xf>
    <xf numFmtId="0" fontId="57" fillId="0" borderId="3" xfId="26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0" fontId="57" fillId="24" borderId="3" xfId="26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57" fillId="24" borderId="3" xfId="26" quotePrefix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0" fontId="58" fillId="0" borderId="38" xfId="0" applyFont="1" applyBorder="1" applyAlignment="1">
      <alignment horizontal="center" vertical="center" textRotation="90"/>
    </xf>
    <xf numFmtId="0" fontId="58" fillId="0" borderId="52" xfId="0" applyFont="1" applyBorder="1" applyAlignment="1">
      <alignment horizontal="center" vertical="center" textRotation="90"/>
    </xf>
    <xf numFmtId="0" fontId="58" fillId="0" borderId="16" xfId="0" applyFont="1" applyBorder="1" applyAlignment="1">
      <alignment horizontal="center" vertical="center" textRotation="90"/>
    </xf>
    <xf numFmtId="0" fontId="58" fillId="0" borderId="13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12" fillId="0" borderId="3" xfId="5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33" fillId="14" borderId="33" xfId="12" applyFont="1" applyFill="1" applyBorder="1" applyAlignment="1" applyProtection="1">
      <alignment horizontal="center" vertical="center"/>
    </xf>
    <xf numFmtId="0" fontId="33" fillId="14" borderId="30" xfId="12" applyFont="1" applyFill="1" applyBorder="1" applyAlignment="1" applyProtection="1">
      <alignment horizontal="center" vertical="center"/>
    </xf>
    <xf numFmtId="0" fontId="31" fillId="15" borderId="0" xfId="10" applyFont="1" applyFill="1" applyAlignment="1">
      <alignment horizontal="left"/>
    </xf>
    <xf numFmtId="0" fontId="4" fillId="11" borderId="18" xfId="12" applyFill="1" applyBorder="1" applyAlignment="1">
      <alignment horizontal="center" vertical="center"/>
    </xf>
    <xf numFmtId="0" fontId="4" fillId="11" borderId="19" xfId="12" applyFill="1" applyBorder="1" applyAlignment="1">
      <alignment horizontal="center" vertical="center"/>
    </xf>
    <xf numFmtId="0" fontId="4" fillId="11" borderId="17" xfId="12" applyFill="1" applyBorder="1" applyAlignment="1">
      <alignment horizontal="center" vertical="center"/>
    </xf>
    <xf numFmtId="0" fontId="4" fillId="0" borderId="49" xfId="12" applyBorder="1" applyAlignment="1">
      <alignment horizontal="center" vertical="center"/>
    </xf>
    <xf numFmtId="0" fontId="4" fillId="0" borderId="48" xfId="12" applyBorder="1" applyAlignment="1">
      <alignment horizontal="center" vertical="center"/>
    </xf>
    <xf numFmtId="0" fontId="4" fillId="0" borderId="47" xfId="12" applyBorder="1" applyAlignment="1">
      <alignment horizontal="center" vertical="center"/>
    </xf>
    <xf numFmtId="0" fontId="14" fillId="0" borderId="37" xfId="12" applyFont="1" applyBorder="1" applyAlignment="1">
      <alignment horizontal="center" vertical="center"/>
    </xf>
    <xf numFmtId="0" fontId="14" fillId="0" borderId="36" xfId="12" applyFont="1" applyBorder="1" applyAlignment="1">
      <alignment horizontal="center" vertical="center"/>
    </xf>
    <xf numFmtId="0" fontId="14" fillId="0" borderId="35" xfId="12" applyFont="1" applyBorder="1" applyAlignment="1">
      <alignment horizontal="center" vertical="center"/>
    </xf>
    <xf numFmtId="0" fontId="14" fillId="0" borderId="38" xfId="12" applyFont="1" applyBorder="1" applyAlignment="1">
      <alignment horizontal="center" vertical="center"/>
    </xf>
    <xf numFmtId="0" fontId="14" fillId="0" borderId="34" xfId="12" applyFont="1" applyBorder="1" applyAlignment="1">
      <alignment horizontal="center" vertical="center"/>
    </xf>
    <xf numFmtId="0" fontId="14" fillId="0" borderId="49" xfId="12" applyFont="1" applyBorder="1" applyAlignment="1">
      <alignment horizontal="center" vertical="center"/>
    </xf>
    <xf numFmtId="0" fontId="14" fillId="0" borderId="47" xfId="12" applyFont="1" applyBorder="1" applyAlignment="1">
      <alignment horizontal="center" vertical="center"/>
    </xf>
    <xf numFmtId="0" fontId="46" fillId="0" borderId="49" xfId="12" applyFont="1" applyBorder="1" applyAlignment="1">
      <alignment horizontal="center" vertical="center"/>
    </xf>
    <xf numFmtId="0" fontId="46" fillId="0" borderId="47" xfId="12" applyFont="1" applyBorder="1" applyAlignment="1">
      <alignment horizontal="center" vertical="center"/>
    </xf>
    <xf numFmtId="0" fontId="4" fillId="11" borderId="49" xfId="12" applyFill="1" applyBorder="1" applyAlignment="1">
      <alignment horizontal="center" vertical="center"/>
    </xf>
    <xf numFmtId="0" fontId="4" fillId="11" borderId="48" xfId="12" applyFill="1" applyBorder="1" applyAlignment="1">
      <alignment horizontal="center" vertical="center"/>
    </xf>
    <xf numFmtId="0" fontId="4" fillId="11" borderId="47" xfId="12" applyFill="1" applyBorder="1" applyAlignment="1">
      <alignment horizontal="center" vertical="center"/>
    </xf>
    <xf numFmtId="0" fontId="14" fillId="0" borderId="48" xfId="12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49" xfId="0" applyNumberFormat="1" applyFont="1" applyBorder="1" applyAlignment="1">
      <alignment horizontal="center" vertical="center"/>
    </xf>
    <xf numFmtId="2" fontId="6" fillId="0" borderId="48" xfId="0" applyNumberFormat="1" applyFont="1" applyBorder="1" applyAlignment="1">
      <alignment horizontal="center" vertical="center"/>
    </xf>
    <xf numFmtId="2" fontId="6" fillId="0" borderId="47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2" fontId="47" fillId="0" borderId="0" xfId="0" applyNumberFormat="1" applyFont="1" applyAlignment="1">
      <alignment horizontal="center"/>
    </xf>
    <xf numFmtId="2" fontId="6" fillId="0" borderId="49" xfId="0" applyNumberFormat="1" applyFont="1" applyBorder="1" applyAlignment="1">
      <alignment horizontal="center" vertical="center" wrapText="1"/>
    </xf>
    <xf numFmtId="2" fontId="6" fillId="0" borderId="47" xfId="0" applyNumberFormat="1" applyFont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/>
    </xf>
    <xf numFmtId="0" fontId="0" fillId="11" borderId="3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6" fillId="0" borderId="49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4" xfId="0" applyNumberFormat="1" applyFont="1" applyFill="1" applyBorder="1" applyAlignment="1">
      <alignment horizontal="center" vertical="center"/>
    </xf>
    <xf numFmtId="2" fontId="6" fillId="0" borderId="40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19" fillId="24" borderId="56" xfId="11" applyNumberFormat="1" applyFont="1" applyFill="1" applyBorder="1" applyAlignment="1">
      <alignment horizontal="center" vertical="center"/>
    </xf>
    <xf numFmtId="1" fontId="19" fillId="24" borderId="57" xfId="11" applyNumberFormat="1" applyFont="1" applyFill="1" applyBorder="1" applyAlignment="1">
      <alignment horizontal="center" vertical="center"/>
    </xf>
    <xf numFmtId="1" fontId="19" fillId="24" borderId="58" xfId="11" applyNumberFormat="1" applyFont="1" applyFill="1" applyBorder="1" applyAlignment="1">
      <alignment horizontal="center" vertical="center"/>
    </xf>
    <xf numFmtId="1" fontId="47" fillId="0" borderId="0" xfId="11" applyNumberFormat="1" applyFont="1" applyAlignment="1">
      <alignment horizontal="center"/>
    </xf>
    <xf numFmtId="1" fontId="21" fillId="0" borderId="0" xfId="11" applyNumberFormat="1" applyFont="1" applyBorder="1" applyAlignment="1">
      <alignment horizontal="center"/>
    </xf>
    <xf numFmtId="1" fontId="19" fillId="24" borderId="49" xfId="11" applyNumberFormat="1" applyFont="1" applyFill="1" applyBorder="1" applyAlignment="1">
      <alignment horizontal="center" vertical="center"/>
    </xf>
    <xf numFmtId="1" fontId="19" fillId="24" borderId="48" xfId="11" applyNumberFormat="1" applyFont="1" applyFill="1" applyBorder="1" applyAlignment="1">
      <alignment horizontal="center" vertical="center"/>
    </xf>
    <xf numFmtId="1" fontId="19" fillId="24" borderId="47" xfId="11" applyNumberFormat="1" applyFont="1" applyFill="1" applyBorder="1" applyAlignment="1">
      <alignment horizontal="center" vertical="center"/>
    </xf>
    <xf numFmtId="1" fontId="19" fillId="24" borderId="38" xfId="11" applyNumberFormat="1" applyFont="1" applyFill="1" applyBorder="1" applyAlignment="1">
      <alignment horizontal="center" vertical="center" wrapText="1"/>
    </xf>
    <xf numFmtId="1" fontId="19" fillId="24" borderId="34" xfId="11" applyNumberFormat="1" applyFont="1" applyFill="1" applyBorder="1" applyAlignment="1">
      <alignment horizontal="center" vertical="center" wrapText="1"/>
    </xf>
    <xf numFmtId="1" fontId="6" fillId="24" borderId="8" xfId="11" applyNumberFormat="1" applyFont="1" applyFill="1" applyBorder="1" applyAlignment="1">
      <alignment horizontal="center" vertical="center"/>
    </xf>
    <xf numFmtId="1" fontId="6" fillId="24" borderId="50" xfId="11" applyNumberFormat="1" applyFont="1" applyFill="1" applyBorder="1" applyAlignment="1">
      <alignment horizontal="center" vertical="center"/>
    </xf>
    <xf numFmtId="1" fontId="6" fillId="24" borderId="7" xfId="11" applyNumberFormat="1" applyFont="1" applyFill="1" applyBorder="1" applyAlignment="1">
      <alignment horizontal="center" vertical="center"/>
    </xf>
    <xf numFmtId="1" fontId="64" fillId="39" borderId="1" xfId="11" applyNumberFormat="1" applyFont="1" applyFill="1" applyBorder="1" applyAlignment="1">
      <alignment horizontal="center" vertical="center"/>
    </xf>
  </cellXfs>
  <cellStyles count="28">
    <cellStyle name="Calculation" xfId="1" builtinId="22"/>
    <cellStyle name="Comma" xfId="11" builtinId="3"/>
    <cellStyle name="Comma 2" xfId="9"/>
    <cellStyle name="Comma 2 2" xfId="20"/>
    <cellStyle name="Comma 3" xfId="13"/>
    <cellStyle name="Excel Built-in Explanatory Text" xfId="25"/>
    <cellStyle name="Excel Built-in Percent" xfId="24"/>
    <cellStyle name="Good" xfId="3" builtinId="26"/>
    <cellStyle name="Heading 1" xfId="5" builtinId="16"/>
    <cellStyle name="Heading_6. New topics" xfId="17"/>
    <cellStyle name="Hyperlink" xfId="26" builtinId="8"/>
    <cellStyle name="Hyperlink 2" xfId="10"/>
    <cellStyle name="Hyperlink_WebTable Template" xfId="18"/>
    <cellStyle name="Input" xfId="6" builtinId="20"/>
    <cellStyle name="Normal" xfId="0" builtinId="0"/>
    <cellStyle name="Normal 2" xfId="8"/>
    <cellStyle name="Normal 2 2" xfId="19"/>
    <cellStyle name="Normal 3" xfId="12"/>
    <cellStyle name="Normal 4" xfId="22"/>
    <cellStyle name="Normal 4 2" xfId="23"/>
    <cellStyle name="Normal_11908a_new updated" xfId="15"/>
    <cellStyle name="Normal_7 Tables" xfId="27"/>
    <cellStyle name="Normal_70108 updated" xfId="16"/>
    <cellStyle name="Normal_TSR4 data request B" xfId="14"/>
    <cellStyle name="Note" xfId="4" builtinId="10"/>
    <cellStyle name="Note 2" xfId="21"/>
    <cellStyle name="Percent" xfId="2" builtinId="5"/>
    <cellStyle name="Total" xfId="7" builtinId="25"/>
  </cellStyles>
  <dxfs count="0"/>
  <tableStyles count="0" defaultTableStyle="TableStyleMedium2" defaultPivotStyle="PivotStyleLight16"/>
  <colors>
    <mruColors>
      <color rgb="FFF8CCAE"/>
      <color rgb="FFFFFCCC"/>
      <color rgb="FFFAE5D7"/>
      <color rgb="FFFDE79A"/>
      <color rgb="FFC9F2D0"/>
      <color rgb="FFF8CD99"/>
      <color rgb="FFFFFDCC"/>
      <color rgb="FFC7F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vehicles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Fleet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GUI!$A$36:$A$85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GUI!$F$36:$F$85</c:f>
              <c:numCache>
                <c:formatCode>##0.0E+0</c:formatCode>
                <c:ptCount val="50"/>
                <c:pt idx="0">
                  <c:v>25100599.000000004</c:v>
                </c:pt>
                <c:pt idx="1">
                  <c:v>25751846.999999996</c:v>
                </c:pt>
                <c:pt idx="2">
                  <c:v>26205078</c:v>
                </c:pt>
                <c:pt idx="3">
                  <c:v>26987189</c:v>
                </c:pt>
                <c:pt idx="4">
                  <c:v>27472100</c:v>
                </c:pt>
                <c:pt idx="5">
                  <c:v>27549135</c:v>
                </c:pt>
                <c:pt idx="6">
                  <c:v>27921828.999999996</c:v>
                </c:pt>
                <c:pt idx="7">
                  <c:v>28062643</c:v>
                </c:pt>
                <c:pt idx="8">
                  <c:v>28132621</c:v>
                </c:pt>
                <c:pt idx="9">
                  <c:v>28285805.999999996</c:v>
                </c:pt>
                <c:pt idx="10">
                  <c:v>28311976.000000004</c:v>
                </c:pt>
                <c:pt idx="11">
                  <c:v>28543941</c:v>
                </c:pt>
                <c:pt idx="12">
                  <c:v>28934408.000000004</c:v>
                </c:pt>
                <c:pt idx="13">
                  <c:v>29363503</c:v>
                </c:pt>
                <c:pt idx="14">
                  <c:v>29940531.000000004</c:v>
                </c:pt>
                <c:pt idx="15">
                  <c:v>30462606</c:v>
                </c:pt>
                <c:pt idx="16">
                  <c:v>31253245.6875</c:v>
                </c:pt>
                <c:pt idx="17">
                  <c:v>31656051.375</c:v>
                </c:pt>
                <c:pt idx="18">
                  <c:v>32058857.0625</c:v>
                </c:pt>
                <c:pt idx="19">
                  <c:v>32461662.75</c:v>
                </c:pt>
                <c:pt idx="20">
                  <c:v>32864468.4375</c:v>
                </c:pt>
                <c:pt idx="21">
                  <c:v>33267274.125</c:v>
                </c:pt>
                <c:pt idx="22">
                  <c:v>33670079.8125</c:v>
                </c:pt>
                <c:pt idx="23">
                  <c:v>34072885.5</c:v>
                </c:pt>
                <c:pt idx="24">
                  <c:v>34475691.1875</c:v>
                </c:pt>
                <c:pt idx="25">
                  <c:v>34878496.875</c:v>
                </c:pt>
                <c:pt idx="26">
                  <c:v>35281302.5625</c:v>
                </c:pt>
                <c:pt idx="27">
                  <c:v>35684108.25</c:v>
                </c:pt>
                <c:pt idx="28">
                  <c:v>36086913.9375</c:v>
                </c:pt>
                <c:pt idx="29">
                  <c:v>36489719.625</c:v>
                </c:pt>
                <c:pt idx="30">
                  <c:v>36892525.3125</c:v>
                </c:pt>
                <c:pt idx="31">
                  <c:v>37295331</c:v>
                </c:pt>
                <c:pt idx="32">
                  <c:v>37698136.6875</c:v>
                </c:pt>
                <c:pt idx="33">
                  <c:v>38100942.375</c:v>
                </c:pt>
                <c:pt idx="34">
                  <c:v>38503748.0625</c:v>
                </c:pt>
                <c:pt idx="35">
                  <c:v>38906553.75</c:v>
                </c:pt>
                <c:pt idx="36">
                  <c:v>39309359.4375</c:v>
                </c:pt>
                <c:pt idx="37">
                  <c:v>39712165.125</c:v>
                </c:pt>
                <c:pt idx="38">
                  <c:v>40114970.8125</c:v>
                </c:pt>
                <c:pt idx="39">
                  <c:v>40517776.5</c:v>
                </c:pt>
                <c:pt idx="40">
                  <c:v>40920582.1875</c:v>
                </c:pt>
                <c:pt idx="41">
                  <c:v>41323387.875</c:v>
                </c:pt>
                <c:pt idx="42">
                  <c:v>41726193.5625</c:v>
                </c:pt>
                <c:pt idx="43">
                  <c:v>42128999.25</c:v>
                </c:pt>
                <c:pt idx="44">
                  <c:v>42531804.9375</c:v>
                </c:pt>
                <c:pt idx="45">
                  <c:v>42934610.625</c:v>
                </c:pt>
                <c:pt idx="46">
                  <c:v>43337416.3125</c:v>
                </c:pt>
                <c:pt idx="47">
                  <c:v>43740222</c:v>
                </c:pt>
                <c:pt idx="48">
                  <c:v>44143027.6875</c:v>
                </c:pt>
                <c:pt idx="49">
                  <c:v>44545833.375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63-4FF7-99DE-174881F4992C}"/>
            </c:ext>
          </c:extLst>
        </c:ser>
        <c:ser>
          <c:idx val="1"/>
          <c:order val="1"/>
          <c:tx>
            <c:v>#EVs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GUI!$A$36:$A$85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GUI!$K$36:$K$85</c:f>
              <c:numCache>
                <c:formatCode>##0.0E+0</c:formatCode>
                <c:ptCount val="50"/>
                <c:pt idx="0">
                  <c:v>272</c:v>
                </c:pt>
                <c:pt idx="1">
                  <c:v>326</c:v>
                </c:pt>
                <c:pt idx="2">
                  <c:v>349</c:v>
                </c:pt>
                <c:pt idx="3">
                  <c:v>399</c:v>
                </c:pt>
                <c:pt idx="4">
                  <c:v>564</c:v>
                </c:pt>
                <c:pt idx="5">
                  <c:v>807</c:v>
                </c:pt>
                <c:pt idx="6">
                  <c:v>1192</c:v>
                </c:pt>
                <c:pt idx="7">
                  <c:v>1325</c:v>
                </c:pt>
                <c:pt idx="8">
                  <c:v>1453</c:v>
                </c:pt>
                <c:pt idx="9">
                  <c:v>1543</c:v>
                </c:pt>
                <c:pt idx="10">
                  <c:v>2610</c:v>
                </c:pt>
                <c:pt idx="11">
                  <c:v>4132</c:v>
                </c:pt>
                <c:pt idx="12">
                  <c:v>6255</c:v>
                </c:pt>
                <c:pt idx="13">
                  <c:v>16207.999999999998</c:v>
                </c:pt>
                <c:pt idx="14">
                  <c:v>24603</c:v>
                </c:pt>
                <c:pt idx="15">
                  <c:v>33434</c:v>
                </c:pt>
                <c:pt idx="16">
                  <c:v>42921.825458555715</c:v>
                </c:pt>
                <c:pt idx="17">
                  <c:v>52206.18511696683</c:v>
                </c:pt>
                <c:pt idx="18">
                  <c:v>61712.743212757872</c:v>
                </c:pt>
                <c:pt idx="19">
                  <c:v>71441.499745928857</c:v>
                </c:pt>
                <c:pt idx="20">
                  <c:v>81392.454716479755</c:v>
                </c:pt>
                <c:pt idx="21">
                  <c:v>92050.611047847065</c:v>
                </c:pt>
                <c:pt idx="22">
                  <c:v>130154.97782356929</c:v>
                </c:pt>
                <c:pt idx="23">
                  <c:v>183925.86759650573</c:v>
                </c:pt>
                <c:pt idx="24">
                  <c:v>259716.39940422747</c:v>
                </c:pt>
                <c:pt idx="25">
                  <c:v>366376.80757035385</c:v>
                </c:pt>
                <c:pt idx="26">
                  <c:v>516162.20600965025</c:v>
                </c:pt>
                <c:pt idx="27">
                  <c:v>725900.75783864839</c:v>
                </c:pt>
                <c:pt idx="28">
                  <c:v>1018429.4999016544</c:v>
                </c:pt>
                <c:pt idx="29">
                  <c:v>1424228.8356624753</c:v>
                </c:pt>
                <c:pt idx="30">
                  <c:v>1983030.0768467924</c:v>
                </c:pt>
                <c:pt idx="31">
                  <c:v>2744891.5299501969</c:v>
                </c:pt>
                <c:pt idx="32">
                  <c:v>3769813.6687500505</c:v>
                </c:pt>
                <c:pt idx="33">
                  <c:v>5124455.8091150085</c:v>
                </c:pt>
                <c:pt idx="34">
                  <c:v>6874200.9394672457</c:v>
                </c:pt>
                <c:pt idx="35">
                  <c:v>9069303.3346752338</c:v>
                </c:pt>
                <c:pt idx="36">
                  <c:v>11725967.34968257</c:v>
                </c:pt>
                <c:pt idx="37">
                  <c:v>14807197.489294544</c:v>
                </c:pt>
                <c:pt idx="38">
                  <c:v>18212415.554118518</c:v>
                </c:pt>
                <c:pt idx="39">
                  <c:v>21785074.978651997</c:v>
                </c:pt>
                <c:pt idx="40">
                  <c:v>25340479.772622488</c:v>
                </c:pt>
                <c:pt idx="41">
                  <c:v>28704530.26262616</c:v>
                </c:pt>
                <c:pt idx="42">
                  <c:v>31747158.009238675</c:v>
                </c:pt>
                <c:pt idx="43">
                  <c:v>34398066.88633354</c:v>
                </c:pt>
                <c:pt idx="44">
                  <c:v>36643282.565989897</c:v>
                </c:pt>
                <c:pt idx="45">
                  <c:v>38509775.75267569</c:v>
                </c:pt>
                <c:pt idx="46">
                  <c:v>40047284.676284075</c:v>
                </c:pt>
                <c:pt idx="47">
                  <c:v>41313361.288905233</c:v>
                </c:pt>
                <c:pt idx="48">
                  <c:v>42363674.883688956</c:v>
                </c:pt>
                <c:pt idx="49">
                  <c:v>43247043.238507979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63-4FF7-99DE-174881F4992C}"/>
            </c:ext>
          </c:extLst>
        </c:ser>
        <c:ser>
          <c:idx val="2"/>
          <c:order val="2"/>
          <c:tx>
            <c:v>#Conventional ICE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GUI!$A$36:$A$85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GUI!$L$36:$L$85</c:f>
              <c:numCache>
                <c:formatCode>##0.0E+0</c:formatCode>
                <c:ptCount val="50"/>
                <c:pt idx="0">
                  <c:v>25100327.000000004</c:v>
                </c:pt>
                <c:pt idx="1">
                  <c:v>25751520.999999996</c:v>
                </c:pt>
                <c:pt idx="2">
                  <c:v>26204729</c:v>
                </c:pt>
                <c:pt idx="3">
                  <c:v>26986790</c:v>
                </c:pt>
                <c:pt idx="4">
                  <c:v>27471536</c:v>
                </c:pt>
                <c:pt idx="5">
                  <c:v>27548328</c:v>
                </c:pt>
                <c:pt idx="6">
                  <c:v>27920636.999999996</c:v>
                </c:pt>
                <c:pt idx="7">
                  <c:v>28061318</c:v>
                </c:pt>
                <c:pt idx="8">
                  <c:v>28131168</c:v>
                </c:pt>
                <c:pt idx="9">
                  <c:v>28284262.999999996</c:v>
                </c:pt>
                <c:pt idx="10">
                  <c:v>28309366.000000004</c:v>
                </c:pt>
                <c:pt idx="11">
                  <c:v>28539809</c:v>
                </c:pt>
                <c:pt idx="12">
                  <c:v>28928153.000000004</c:v>
                </c:pt>
                <c:pt idx="13">
                  <c:v>29347295</c:v>
                </c:pt>
                <c:pt idx="14">
                  <c:v>29915928.000000004</c:v>
                </c:pt>
                <c:pt idx="15">
                  <c:v>30429172</c:v>
                </c:pt>
                <c:pt idx="16">
                  <c:v>31210323.862041444</c:v>
                </c:pt>
                <c:pt idx="17">
                  <c:v>31603845.189883035</c:v>
                </c:pt>
                <c:pt idx="18">
                  <c:v>31997144.319287241</c:v>
                </c:pt>
                <c:pt idx="19">
                  <c:v>32390221.250254072</c:v>
                </c:pt>
                <c:pt idx="20">
                  <c:v>32783075.982783519</c:v>
                </c:pt>
                <c:pt idx="21">
                  <c:v>33175223.513952155</c:v>
                </c:pt>
                <c:pt idx="22">
                  <c:v>33539924.83467643</c:v>
                </c:pt>
                <c:pt idx="23">
                  <c:v>33888959.632403493</c:v>
                </c:pt>
                <c:pt idx="24">
                  <c:v>34215974.788095772</c:v>
                </c:pt>
                <c:pt idx="25">
                  <c:v>34512120.067429647</c:v>
                </c:pt>
                <c:pt idx="26">
                  <c:v>34765140.356490351</c:v>
                </c:pt>
                <c:pt idx="27">
                  <c:v>34958207.492161348</c:v>
                </c:pt>
                <c:pt idx="28">
                  <c:v>35068484.437598348</c:v>
                </c:pt>
                <c:pt idx="29">
                  <c:v>35065490.789337523</c:v>
                </c:pt>
                <c:pt idx="30">
                  <c:v>34909495.235653207</c:v>
                </c:pt>
                <c:pt idx="31">
                  <c:v>34550439.470049806</c:v>
                </c:pt>
                <c:pt idx="32">
                  <c:v>33928323.018749952</c:v>
                </c:pt>
                <c:pt idx="33">
                  <c:v>32976486.565884992</c:v>
                </c:pt>
                <c:pt idx="34">
                  <c:v>31629547.123032756</c:v>
                </c:pt>
                <c:pt idx="35">
                  <c:v>29837250.415324766</c:v>
                </c:pt>
                <c:pt idx="36">
                  <c:v>27583392.08781743</c:v>
                </c:pt>
                <c:pt idx="37">
                  <c:v>24904967.635705456</c:v>
                </c:pt>
                <c:pt idx="38">
                  <c:v>21902555.258381482</c:v>
                </c:pt>
                <c:pt idx="39">
                  <c:v>18732701.521348003</c:v>
                </c:pt>
                <c:pt idx="40">
                  <c:v>15580102.414877512</c:v>
                </c:pt>
                <c:pt idx="41">
                  <c:v>12618857.61237384</c:v>
                </c:pt>
                <c:pt idx="42">
                  <c:v>9979035.5532613248</c:v>
                </c:pt>
                <c:pt idx="43">
                  <c:v>7730932.3636664599</c:v>
                </c:pt>
                <c:pt idx="44">
                  <c:v>5888522.3715101033</c:v>
                </c:pt>
                <c:pt idx="45">
                  <c:v>4424834.8723243102</c:v>
                </c:pt>
                <c:pt idx="46">
                  <c:v>3290131.6362159252</c:v>
                </c:pt>
                <c:pt idx="47">
                  <c:v>2426860.7110947669</c:v>
                </c:pt>
                <c:pt idx="48">
                  <c:v>1779352.8038110435</c:v>
                </c:pt>
                <c:pt idx="49">
                  <c:v>1298790.1364920214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63-4FF7-99DE-174881F49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277400"/>
        <c:axId val="646280024"/>
      </c:scatterChart>
      <c:valAx>
        <c:axId val="646277400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280024"/>
        <c:crosses val="autoZero"/>
        <c:crossBetween val="midCat"/>
      </c:valAx>
      <c:valAx>
        <c:axId val="64628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277400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EV MR, PR &amp; NSR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'Upper Limit  PR'!$B$2</c:f>
              <c:strCache>
                <c:ptCount val="1"/>
                <c:pt idx="0">
                  <c:v>EV Market Ratio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'Upper Limit 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'Upper Limit  PR'!$B$3:$B$52</c:f>
              <c:numCache>
                <c:formatCode>0.000</c:formatCode>
                <c:ptCount val="50"/>
                <c:pt idx="0">
                  <c:v>1.0836394780857617E-3</c:v>
                </c:pt>
                <c:pt idx="1">
                  <c:v>1.2659286147514003E-3</c:v>
                </c:pt>
                <c:pt idx="2">
                  <c:v>1.3318029429257947E-3</c:v>
                </c:pt>
                <c:pt idx="3">
                  <c:v>1.4784792888210773E-3</c:v>
                </c:pt>
                <c:pt idx="4">
                  <c:v>2.0529919445546572E-3</c:v>
                </c:pt>
                <c:pt idx="5">
                  <c:v>2.9293115736664689E-3</c:v>
                </c:pt>
                <c:pt idx="6">
                  <c:v>4.2690613139991663E-3</c:v>
                </c:pt>
                <c:pt idx="7">
                  <c:v>4.7215795033988782E-3</c:v>
                </c:pt>
                <c:pt idx="8">
                  <c:v>5.1648227159495734E-3</c:v>
                </c:pt>
                <c:pt idx="9">
                  <c:v>5.455032817519855E-3</c:v>
                </c:pt>
                <c:pt idx="10">
                  <c:v>9.2187136637866592E-3</c:v>
                </c:pt>
                <c:pt idx="11">
                  <c:v>1.4475926782500006E-2</c:v>
                </c:pt>
                <c:pt idx="12">
                  <c:v>2.1617860645360358E-2</c:v>
                </c:pt>
                <c:pt idx="13">
                  <c:v>5.5197773916824566E-2</c:v>
                </c:pt>
                <c:pt idx="14">
                  <c:v>8.2172891322468522E-2</c:v>
                </c:pt>
                <c:pt idx="15">
                  <c:v>0.10975423442104723</c:v>
                </c:pt>
                <c:pt idx="16">
                  <c:v>0.13733557751962594</c:v>
                </c:pt>
                <c:pt idx="17">
                  <c:v>0.16491692061820465</c:v>
                </c:pt>
                <c:pt idx="18">
                  <c:v>0.19249826371678336</c:v>
                </c:pt>
                <c:pt idx="19">
                  <c:v>0.22007960681536207</c:v>
                </c:pt>
                <c:pt idx="20">
                  <c:v>0.24766094991394078</c:v>
                </c:pt>
                <c:pt idx="21">
                  <c:v>0.27670019101045618</c:v>
                </c:pt>
                <c:pt idx="22">
                  <c:v>0.3865597543824334</c:v>
                </c:pt>
                <c:pt idx="23">
                  <c:v>0.53980126689448049</c:v>
                </c:pt>
                <c:pt idx="24">
                  <c:v>0.75333195784742957</c:v>
                </c:pt>
                <c:pt idx="25">
                  <c:v>1.0504374912812346</c:v>
                </c:pt>
                <c:pt idx="26">
                  <c:v>1.4629907869622472</c:v>
                </c:pt>
                <c:pt idx="27">
                  <c:v>2.0342409925254286</c:v>
                </c:pt>
                <c:pt idx="28">
                  <c:v>2.8221573661452535</c:v>
                </c:pt>
                <c:pt idx="29">
                  <c:v>3.9030961331001874</c:v>
                </c:pt>
                <c:pt idx="30">
                  <c:v>5.3751540726730846</c:v>
                </c:pt>
                <c:pt idx="31">
                  <c:v>7.359879792862535</c:v>
                </c:pt>
                <c:pt idx="32">
                  <c:v>10.000000000000135</c:v>
                </c:pt>
                <c:pt idx="33">
                  <c:v>13.449682579183211</c:v>
                </c:pt>
                <c:pt idx="34">
                  <c:v>17.853329313055223</c:v>
                </c:pt>
                <c:pt idx="35">
                  <c:v>23.310477183230947</c:v>
                </c:pt>
                <c:pt idx="36">
                  <c:v>29.829962933703602</c:v>
                </c:pt>
                <c:pt idx="37">
                  <c:v>37.28630116914217</c:v>
                </c:pt>
                <c:pt idx="38">
                  <c:v>45.400545445351412</c:v>
                </c:pt>
                <c:pt idx="39">
                  <c:v>53.766708986738188</c:v>
                </c:pt>
                <c:pt idx="40">
                  <c:v>61.926000115323966</c:v>
                </c:pt>
                <c:pt idx="41">
                  <c:v>69.463158125986936</c:v>
                </c:pt>
                <c:pt idx="42">
                  <c:v>76.084481470100727</c:v>
                </c:pt>
                <c:pt idx="43">
                  <c:v>81.649380471181118</c:v>
                </c:pt>
                <c:pt idx="44">
                  <c:v>86.155014159020013</c:v>
                </c:pt>
                <c:pt idx="45">
                  <c:v>89.694014204596485</c:v>
                </c:pt>
                <c:pt idx="46">
                  <c:v>92.408103859973451</c:v>
                </c:pt>
                <c:pt idx="47">
                  <c:v>94.45164976278636</c:v>
                </c:pt>
                <c:pt idx="48">
                  <c:v>95.969119253877309</c:v>
                </c:pt>
                <c:pt idx="49">
                  <c:v>97.084373468650995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77-9940-BB3B-F1FBD14EF661}"/>
            </c:ext>
          </c:extLst>
        </c:ser>
        <c:ser>
          <c:idx val="2"/>
          <c:order val="2"/>
          <c:tx>
            <c:strRef>
              <c:f>'Upper Limit  PR'!$E$2</c:f>
              <c:strCache>
                <c:ptCount val="1"/>
                <c:pt idx="0">
                  <c:v>EV New Sales Ratio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'Upper Limit 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'Upper Limit  PR'!$E$3:$E$52</c:f>
              <c:numCache>
                <c:formatCode>0.00</c:formatCode>
                <c:ptCount val="50"/>
                <c:pt idx="0">
                  <c:v>1.9742220790803693E-3</c:v>
                </c:pt>
                <c:pt idx="1">
                  <c:v>2.015415690682957E-3</c:v>
                </c:pt>
                <c:pt idx="2">
                  <c:v>8.7040600655831867E-4</c:v>
                </c:pt>
                <c:pt idx="3">
                  <c:v>1.9262827020198631E-3</c:v>
                </c:pt>
                <c:pt idx="4">
                  <c:v>6.7691335714153813E-3</c:v>
                </c:pt>
                <c:pt idx="5">
                  <c:v>1.0424415267521388E-2</c:v>
                </c:pt>
                <c:pt idx="6">
                  <c:v>1.6217682581619167E-2</c:v>
                </c:pt>
                <c:pt idx="7">
                  <c:v>6.3438550700995978E-3</c:v>
                </c:pt>
                <c:pt idx="8">
                  <c:v>6.5522547434741134E-3</c:v>
                </c:pt>
                <c:pt idx="9">
                  <c:v>4.5586331394394629E-3</c:v>
                </c:pt>
                <c:pt idx="10">
                  <c:v>5.6627215135122512E-2</c:v>
                </c:pt>
                <c:pt idx="11">
                  <c:v>7.6645524520776623E-2</c:v>
                </c:pt>
                <c:pt idx="12">
                  <c:v>9.6689159155001411E-2</c:v>
                </c:pt>
                <c:pt idx="13">
                  <c:v>0.41564682923651364</c:v>
                </c:pt>
                <c:pt idx="14">
                  <c:v>0.33058209225583407</c:v>
                </c:pt>
                <c:pt idx="15">
                  <c:v>0.34142267826006256</c:v>
                </c:pt>
                <c:pt idx="16">
                  <c:v>0.3294344528854305</c:v>
                </c:pt>
                <c:pt idx="17">
                  <c:v>0.32943445288543044</c:v>
                </c:pt>
                <c:pt idx="18">
                  <c:v>0.32943445288543044</c:v>
                </c:pt>
                <c:pt idx="19">
                  <c:v>0.32943445288543044</c:v>
                </c:pt>
                <c:pt idx="20">
                  <c:v>0.32943445288543044</c:v>
                </c:pt>
                <c:pt idx="21">
                  <c:v>0.34684773938117719</c:v>
                </c:pt>
                <c:pt idx="22">
                  <c:v>1.3121741397555282</c:v>
                </c:pt>
                <c:pt idx="23">
                  <c:v>1.8303326873281782</c:v>
                </c:pt>
                <c:pt idx="24">
                  <c:v>2.550432953787432</c:v>
                </c:pt>
                <c:pt idx="25">
                  <c:v>3.5486596322078028</c:v>
                </c:pt>
                <c:pt idx="26">
                  <c:v>4.9275798050515931</c:v>
                </c:pt>
                <c:pt idx="27">
                  <c:v>6.8230723303715362</c:v>
                </c:pt>
                <c:pt idx="28">
                  <c:v>9.4109557513279736</c:v>
                </c:pt>
                <c:pt idx="29">
                  <c:v>12.910845930225948</c:v>
                </c:pt>
                <c:pt idx="30">
                  <c:v>17.582414322812333</c:v>
                </c:pt>
                <c:pt idx="31">
                  <c:v>23.7057720293522</c:v>
                </c:pt>
                <c:pt idx="32">
                  <c:v>31.5338724761001</c:v>
                </c:pt>
                <c:pt idx="33">
                  <c:v>41.20337030143174</c:v>
                </c:pt>
                <c:pt idx="34">
                  <c:v>52.597618154012068</c:v>
                </c:pt>
                <c:pt idx="35">
                  <c:v>65.180746147886907</c:v>
                </c:pt>
                <c:pt idx="36">
                  <c:v>77.869421138232894</c:v>
                </c:pt>
                <c:pt idx="37">
                  <c:v>89.05928541409574</c:v>
                </c:pt>
                <c:pt idx="38">
                  <c:v>96.917384122946331</c:v>
                </c:pt>
                <c:pt idx="39">
                  <c:v>99.926334230939332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77-9940-BB3B-F1FBD14EF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73392"/>
        <c:axId val="254934512"/>
      </c:scatterChart>
      <c:scatterChart>
        <c:scatterStyle val="smoothMarker"/>
        <c:varyColors val="0"/>
        <c:ser>
          <c:idx val="1"/>
          <c:order val="1"/>
          <c:tx>
            <c:strRef>
              <c:f>'Upper Limit  PR'!$C$2</c:f>
              <c:strCache>
                <c:ptCount val="1"/>
                <c:pt idx="0">
                  <c:v>EV PR (%)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'Upper Limit 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'Upper Limit  PR'!$C$3:$C$52</c:f>
              <c:numCache>
                <c:formatCode>#,##0.00</c:formatCode>
                <c:ptCount val="50"/>
                <c:pt idx="0">
                  <c:v>0</c:v>
                </c:pt>
                <c:pt idx="1">
                  <c:v>1.8228913666563863E-4</c:v>
                </c:pt>
                <c:pt idx="2">
                  <c:v>6.5874328174394398E-5</c:v>
                </c:pt>
                <c:pt idx="3">
                  <c:v>1.4667634589528257E-4</c:v>
                </c:pt>
                <c:pt idx="4">
                  <c:v>5.7451265573357996E-4</c:v>
                </c:pt>
                <c:pt idx="5">
                  <c:v>8.7631962911181166E-4</c:v>
                </c:pt>
                <c:pt idx="6">
                  <c:v>1.3397497403326974E-3</c:v>
                </c:pt>
                <c:pt idx="7">
                  <c:v>4.525181893997119E-4</c:v>
                </c:pt>
                <c:pt idx="8">
                  <c:v>4.4324321255069521E-4</c:v>
                </c:pt>
                <c:pt idx="9">
                  <c:v>2.9021010157028165E-4</c:v>
                </c:pt>
                <c:pt idx="10">
                  <c:v>3.7636808462668042E-3</c:v>
                </c:pt>
                <c:pt idx="11">
                  <c:v>5.2572131187133466E-3</c:v>
                </c:pt>
                <c:pt idx="12">
                  <c:v>7.1419338628603522E-3</c:v>
                </c:pt>
                <c:pt idx="13">
                  <c:v>3.3579913271464208E-2</c:v>
                </c:pt>
                <c:pt idx="14">
                  <c:v>2.6975117405643956E-2</c:v>
                </c:pt>
                <c:pt idx="15">
                  <c:v>2.7581343098578709E-2</c:v>
                </c:pt>
                <c:pt idx="16">
                  <c:v>2.7581343098578709E-2</c:v>
                </c:pt>
                <c:pt idx="17">
                  <c:v>2.7581343098578709E-2</c:v>
                </c:pt>
                <c:pt idx="18">
                  <c:v>2.7581343098578709E-2</c:v>
                </c:pt>
                <c:pt idx="19">
                  <c:v>2.7581343098578709E-2</c:v>
                </c:pt>
                <c:pt idx="20">
                  <c:v>2.7581343098578709E-2</c:v>
                </c:pt>
                <c:pt idx="21">
                  <c:v>2.90392410965154E-2</c:v>
                </c:pt>
                <c:pt idx="22">
                  <c:v>0.10985956337197722</c:v>
                </c:pt>
                <c:pt idx="23">
                  <c:v>0.1532415125120471</c:v>
                </c:pt>
                <c:pt idx="24">
                  <c:v>0.21353069095294908</c:v>
                </c:pt>
                <c:pt idx="25">
                  <c:v>0.29710553343380508</c:v>
                </c:pt>
                <c:pt idx="26">
                  <c:v>0.41255329568101251</c:v>
                </c:pt>
                <c:pt idx="27">
                  <c:v>0.5712502055631814</c:v>
                </c:pt>
                <c:pt idx="28">
                  <c:v>0.78791637361982492</c:v>
                </c:pt>
                <c:pt idx="29">
                  <c:v>1.080938766954934</c:v>
                </c:pt>
                <c:pt idx="30">
                  <c:v>1.4720579395728972</c:v>
                </c:pt>
                <c:pt idx="31">
                  <c:v>1.9847257201894504</c:v>
                </c:pt>
                <c:pt idx="32">
                  <c:v>2.6401202071376</c:v>
                </c:pt>
                <c:pt idx="33">
                  <c:v>3.4496825791830759</c:v>
                </c:pt>
                <c:pt idx="34">
                  <c:v>4.4036467338720122</c:v>
                </c:pt>
                <c:pt idx="35">
                  <c:v>5.4571478701757243</c:v>
                </c:pt>
                <c:pt idx="36">
                  <c:v>6.5194857504726542</c:v>
                </c:pt>
                <c:pt idx="37">
                  <c:v>7.4563382354385688</c:v>
                </c:pt>
                <c:pt idx="38">
                  <c:v>8.1142442762092415</c:v>
                </c:pt>
                <c:pt idx="39">
                  <c:v>8.3661635413867756</c:v>
                </c:pt>
                <c:pt idx="40">
                  <c:v>8.1592911285857781</c:v>
                </c:pt>
                <c:pt idx="41">
                  <c:v>7.5371580106629708</c:v>
                </c:pt>
                <c:pt idx="42">
                  <c:v>6.6213233441137902</c:v>
                </c:pt>
                <c:pt idx="43">
                  <c:v>5.5648990010803914</c:v>
                </c:pt>
                <c:pt idx="44">
                  <c:v>4.5056336878388947</c:v>
                </c:pt>
                <c:pt idx="45">
                  <c:v>3.5390000455764721</c:v>
                </c:pt>
                <c:pt idx="46">
                  <c:v>2.7140896553769664</c:v>
                </c:pt>
                <c:pt idx="47">
                  <c:v>2.0435459028129088</c:v>
                </c:pt>
                <c:pt idx="48">
                  <c:v>1.5174694910909494</c:v>
                </c:pt>
                <c:pt idx="49">
                  <c:v>1.1152542147736852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77-9940-BB3B-F1FBD14EF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935632"/>
        <c:axId val="254935072"/>
      </c:scatterChart>
      <c:valAx>
        <c:axId val="254773392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34512"/>
        <c:crosses val="autoZero"/>
        <c:crossBetween val="midCat"/>
      </c:valAx>
      <c:valAx>
        <c:axId val="254934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MR &amp; NSR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773392"/>
        <c:crosses val="autoZero"/>
        <c:crossBetween val="midCat"/>
      </c:valAx>
      <c:valAx>
        <c:axId val="2549350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35632"/>
        <c:crosses val="max"/>
        <c:crossBetween val="midCat"/>
      </c:valAx>
      <c:valAx>
        <c:axId val="25493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935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'Upper Limit  PR'!$F$67</c:f>
              <c:strCache>
                <c:ptCount val="1"/>
                <c:pt idx="0">
                  <c:v>Fleet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'Upper Limit  PR'!$A$68:$A$117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'Upper Limit  PR'!$F$68:$F$117</c:f>
              <c:numCache>
                <c:formatCode>##0.0E+0</c:formatCode>
                <c:ptCount val="50"/>
                <c:pt idx="0">
                  <c:v>25100599.000000004</c:v>
                </c:pt>
                <c:pt idx="1">
                  <c:v>25751846.999999996</c:v>
                </c:pt>
                <c:pt idx="2">
                  <c:v>26205078</c:v>
                </c:pt>
                <c:pt idx="3">
                  <c:v>26987189</c:v>
                </c:pt>
                <c:pt idx="4">
                  <c:v>27472100</c:v>
                </c:pt>
                <c:pt idx="5">
                  <c:v>27549135</c:v>
                </c:pt>
                <c:pt idx="6">
                  <c:v>27921828.999999996</c:v>
                </c:pt>
                <c:pt idx="7">
                  <c:v>28062643</c:v>
                </c:pt>
                <c:pt idx="8">
                  <c:v>28132621</c:v>
                </c:pt>
                <c:pt idx="9">
                  <c:v>28285805.999999996</c:v>
                </c:pt>
                <c:pt idx="10">
                  <c:v>28311976.000000004</c:v>
                </c:pt>
                <c:pt idx="11">
                  <c:v>28543941</c:v>
                </c:pt>
                <c:pt idx="12">
                  <c:v>28934408.000000004</c:v>
                </c:pt>
                <c:pt idx="13">
                  <c:v>29363503</c:v>
                </c:pt>
                <c:pt idx="14">
                  <c:v>29940531.000000004</c:v>
                </c:pt>
                <c:pt idx="15">
                  <c:v>30462606</c:v>
                </c:pt>
                <c:pt idx="16">
                  <c:v>30812830</c:v>
                </c:pt>
                <c:pt idx="17">
                  <c:v>30775220</c:v>
                </c:pt>
                <c:pt idx="18">
                  <c:v>30737610</c:v>
                </c:pt>
                <c:pt idx="19">
                  <c:v>30700000</c:v>
                </c:pt>
                <c:pt idx="20">
                  <c:v>30720000</c:v>
                </c:pt>
                <c:pt idx="21">
                  <c:v>30740000</c:v>
                </c:pt>
                <c:pt idx="22">
                  <c:v>30760000</c:v>
                </c:pt>
                <c:pt idx="23">
                  <c:v>30780000</c:v>
                </c:pt>
                <c:pt idx="24">
                  <c:v>30800000</c:v>
                </c:pt>
                <c:pt idx="25">
                  <c:v>30840000</c:v>
                </c:pt>
                <c:pt idx="26">
                  <c:v>30880000</c:v>
                </c:pt>
                <c:pt idx="27">
                  <c:v>30920000</c:v>
                </c:pt>
                <c:pt idx="28">
                  <c:v>30960000</c:v>
                </c:pt>
                <c:pt idx="29">
                  <c:v>31000000</c:v>
                </c:pt>
                <c:pt idx="30">
                  <c:v>30200000</c:v>
                </c:pt>
                <c:pt idx="31">
                  <c:v>29400000</c:v>
                </c:pt>
                <c:pt idx="32">
                  <c:v>28600000</c:v>
                </c:pt>
                <c:pt idx="33">
                  <c:v>27800000</c:v>
                </c:pt>
                <c:pt idx="34">
                  <c:v>27000000</c:v>
                </c:pt>
                <c:pt idx="35">
                  <c:v>26200000</c:v>
                </c:pt>
                <c:pt idx="36">
                  <c:v>25400000</c:v>
                </c:pt>
                <c:pt idx="37">
                  <c:v>24600000</c:v>
                </c:pt>
                <c:pt idx="38">
                  <c:v>23800000</c:v>
                </c:pt>
                <c:pt idx="39">
                  <c:v>23000000</c:v>
                </c:pt>
                <c:pt idx="40">
                  <c:v>23220000</c:v>
                </c:pt>
                <c:pt idx="41">
                  <c:v>23440000</c:v>
                </c:pt>
                <c:pt idx="42">
                  <c:v>23660000</c:v>
                </c:pt>
                <c:pt idx="43">
                  <c:v>23880000</c:v>
                </c:pt>
                <c:pt idx="44">
                  <c:v>24100000</c:v>
                </c:pt>
                <c:pt idx="45">
                  <c:v>24320000</c:v>
                </c:pt>
                <c:pt idx="46">
                  <c:v>24540000</c:v>
                </c:pt>
                <c:pt idx="47">
                  <c:v>24760000</c:v>
                </c:pt>
                <c:pt idx="48">
                  <c:v>24980000</c:v>
                </c:pt>
                <c:pt idx="49">
                  <c:v>25200000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95-3E43-BB67-5B555D16CE73}"/>
            </c:ext>
          </c:extLst>
        </c:ser>
        <c:ser>
          <c:idx val="1"/>
          <c:order val="1"/>
          <c:tx>
            <c:strRef>
              <c:f>'Upper Limit  PR'!$K$67</c:f>
              <c:strCache>
                <c:ptCount val="1"/>
                <c:pt idx="0">
                  <c:v>#EVs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'Upper Limit  PR'!$A$68:$A$117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'Upper Limit  PR'!$K$68:$K$117</c:f>
              <c:numCache>
                <c:formatCode>##0.0E+0</c:formatCode>
                <c:ptCount val="50"/>
                <c:pt idx="0">
                  <c:v>272</c:v>
                </c:pt>
                <c:pt idx="1">
                  <c:v>326</c:v>
                </c:pt>
                <c:pt idx="2">
                  <c:v>349</c:v>
                </c:pt>
                <c:pt idx="3">
                  <c:v>399</c:v>
                </c:pt>
                <c:pt idx="4">
                  <c:v>564</c:v>
                </c:pt>
                <c:pt idx="5">
                  <c:v>807</c:v>
                </c:pt>
                <c:pt idx="6">
                  <c:v>1192</c:v>
                </c:pt>
                <c:pt idx="7">
                  <c:v>1325</c:v>
                </c:pt>
                <c:pt idx="8">
                  <c:v>1453</c:v>
                </c:pt>
                <c:pt idx="9">
                  <c:v>1543</c:v>
                </c:pt>
                <c:pt idx="10">
                  <c:v>2610</c:v>
                </c:pt>
                <c:pt idx="11">
                  <c:v>4132</c:v>
                </c:pt>
                <c:pt idx="12">
                  <c:v>6255</c:v>
                </c:pt>
                <c:pt idx="13">
                  <c:v>16207.999999999998</c:v>
                </c:pt>
                <c:pt idx="14">
                  <c:v>24603</c:v>
                </c:pt>
                <c:pt idx="15">
                  <c:v>33434</c:v>
                </c:pt>
                <c:pt idx="16">
                  <c:v>42316.978030640559</c:v>
                </c:pt>
                <c:pt idx="17">
                  <c:v>50753.545137477842</c:v>
                </c:pt>
                <c:pt idx="18">
                  <c:v>59169.36555803637</c:v>
                </c:pt>
                <c:pt idx="19">
                  <c:v>67564.43929231615</c:v>
                </c:pt>
                <c:pt idx="20">
                  <c:v>76081.443813562611</c:v>
                </c:pt>
                <c:pt idx="21">
                  <c:v>85057.638716614223</c:v>
                </c:pt>
                <c:pt idx="22">
                  <c:v>118905.78044803652</c:v>
                </c:pt>
                <c:pt idx="23">
                  <c:v>166150.82995012111</c:v>
                </c:pt>
                <c:pt idx="24">
                  <c:v>232026.2430170083</c:v>
                </c:pt>
                <c:pt idx="25">
                  <c:v>323954.92231113277</c:v>
                </c:pt>
                <c:pt idx="26">
                  <c:v>451771.55501394189</c:v>
                </c:pt>
                <c:pt idx="27">
                  <c:v>628987.31488886254</c:v>
                </c:pt>
                <c:pt idx="28">
                  <c:v>873739.92055857042</c:v>
                </c:pt>
                <c:pt idx="29">
                  <c:v>1209959.8012610581</c:v>
                </c:pt>
                <c:pt idx="30">
                  <c:v>1623296.5299472716</c:v>
                </c:pt>
                <c:pt idx="31">
                  <c:v>2163804.6591015849</c:v>
                </c:pt>
                <c:pt idx="32">
                  <c:v>2860000.0000000386</c:v>
                </c:pt>
                <c:pt idx="33">
                  <c:v>3739011.757012933</c:v>
                </c:pt>
                <c:pt idx="34">
                  <c:v>4820398.91452491</c:v>
                </c:pt>
                <c:pt idx="35">
                  <c:v>6107345.022006508</c:v>
                </c:pt>
                <c:pt idx="36">
                  <c:v>7576810.5851607146</c:v>
                </c:pt>
                <c:pt idx="37">
                  <c:v>9172430.0876089744</c:v>
                </c:pt>
                <c:pt idx="38">
                  <c:v>10805329.815993635</c:v>
                </c:pt>
                <c:pt idx="39">
                  <c:v>12366343.066949783</c:v>
                </c:pt>
                <c:pt idx="40">
                  <c:v>14379217.226778226</c:v>
                </c:pt>
                <c:pt idx="41">
                  <c:v>16282164.264731338</c:v>
                </c:pt>
                <c:pt idx="42">
                  <c:v>18001588.315825831</c:v>
                </c:pt>
                <c:pt idx="43">
                  <c:v>19497872.056518052</c:v>
                </c:pt>
                <c:pt idx="44">
                  <c:v>20763358.412323821</c:v>
                </c:pt>
                <c:pt idx="45">
                  <c:v>21813584.254557867</c:v>
                </c:pt>
                <c:pt idx="46">
                  <c:v>22676948.687237486</c:v>
                </c:pt>
                <c:pt idx="47">
                  <c:v>23386228.481265903</c:v>
                </c:pt>
                <c:pt idx="48">
                  <c:v>23973085.989618555</c:v>
                </c:pt>
                <c:pt idx="49">
                  <c:v>24465262.11410005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95-3E43-BB67-5B555D16CE73}"/>
            </c:ext>
          </c:extLst>
        </c:ser>
        <c:ser>
          <c:idx val="2"/>
          <c:order val="2"/>
          <c:tx>
            <c:strRef>
              <c:f>'Upper Limit  PR'!$L$67</c:f>
              <c:strCache>
                <c:ptCount val="1"/>
                <c:pt idx="0">
                  <c:v>#ICEs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'Upper Limit  PR'!$A$68:$A$117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'Upper Limit  PR'!$L$68:$L$117</c:f>
              <c:numCache>
                <c:formatCode>##0.0E+0</c:formatCode>
                <c:ptCount val="50"/>
                <c:pt idx="0">
                  <c:v>25100327.000000004</c:v>
                </c:pt>
                <c:pt idx="1">
                  <c:v>25751520.999999996</c:v>
                </c:pt>
                <c:pt idx="2">
                  <c:v>26204729</c:v>
                </c:pt>
                <c:pt idx="3">
                  <c:v>26986790</c:v>
                </c:pt>
                <c:pt idx="4">
                  <c:v>27471536</c:v>
                </c:pt>
                <c:pt idx="5">
                  <c:v>27548328</c:v>
                </c:pt>
                <c:pt idx="6">
                  <c:v>27920636.999999996</c:v>
                </c:pt>
                <c:pt idx="7">
                  <c:v>28061318</c:v>
                </c:pt>
                <c:pt idx="8">
                  <c:v>28131168</c:v>
                </c:pt>
                <c:pt idx="9">
                  <c:v>28284262.999999996</c:v>
                </c:pt>
                <c:pt idx="10">
                  <c:v>28309366.000000004</c:v>
                </c:pt>
                <c:pt idx="11">
                  <c:v>28539809</c:v>
                </c:pt>
                <c:pt idx="12">
                  <c:v>28928153.000000004</c:v>
                </c:pt>
                <c:pt idx="13">
                  <c:v>29347295</c:v>
                </c:pt>
                <c:pt idx="14">
                  <c:v>29915928.000000004</c:v>
                </c:pt>
                <c:pt idx="15">
                  <c:v>30429172</c:v>
                </c:pt>
                <c:pt idx="16">
                  <c:v>30770513.021969359</c:v>
                </c:pt>
                <c:pt idx="17">
                  <c:v>30724466.454862524</c:v>
                </c:pt>
                <c:pt idx="18">
                  <c:v>30678440.634441964</c:v>
                </c:pt>
                <c:pt idx="19">
                  <c:v>30632435.560707685</c:v>
                </c:pt>
                <c:pt idx="20">
                  <c:v>30643918.556186438</c:v>
                </c:pt>
                <c:pt idx="21">
                  <c:v>30654942.361283384</c:v>
                </c:pt>
                <c:pt idx="22">
                  <c:v>30641094.219551962</c:v>
                </c:pt>
                <c:pt idx="23">
                  <c:v>30613849.17004988</c:v>
                </c:pt>
                <c:pt idx="24">
                  <c:v>30567973.756982993</c:v>
                </c:pt>
                <c:pt idx="25">
                  <c:v>30516045.077688865</c:v>
                </c:pt>
                <c:pt idx="26">
                  <c:v>30428228.444986057</c:v>
                </c:pt>
                <c:pt idx="27">
                  <c:v>30291012.685111139</c:v>
                </c:pt>
                <c:pt idx="28">
                  <c:v>30086260.079441428</c:v>
                </c:pt>
                <c:pt idx="29">
                  <c:v>29790040.19873894</c:v>
                </c:pt>
                <c:pt idx="30">
                  <c:v>28576703.470052727</c:v>
                </c:pt>
                <c:pt idx="31">
                  <c:v>27236195.340898417</c:v>
                </c:pt>
                <c:pt idx="32">
                  <c:v>25739999.999999963</c:v>
                </c:pt>
                <c:pt idx="33">
                  <c:v>24060988.242987067</c:v>
                </c:pt>
                <c:pt idx="34">
                  <c:v>22179601.085475091</c:v>
                </c:pt>
                <c:pt idx="35">
                  <c:v>20092654.977993492</c:v>
                </c:pt>
                <c:pt idx="36">
                  <c:v>17823189.414839286</c:v>
                </c:pt>
                <c:pt idx="37">
                  <c:v>15427569.912391026</c:v>
                </c:pt>
                <c:pt idx="38">
                  <c:v>12994670.184006365</c:v>
                </c:pt>
                <c:pt idx="39">
                  <c:v>10633656.933050217</c:v>
                </c:pt>
                <c:pt idx="40">
                  <c:v>8840782.773221774</c:v>
                </c:pt>
                <c:pt idx="41">
                  <c:v>7157835.7352686618</c:v>
                </c:pt>
                <c:pt idx="42">
                  <c:v>5658411.6841741689</c:v>
                </c:pt>
                <c:pt idx="43">
                  <c:v>4382127.9434819482</c:v>
                </c:pt>
                <c:pt idx="44">
                  <c:v>3336641.5876761787</c:v>
                </c:pt>
                <c:pt idx="45">
                  <c:v>2506415.7454421334</c:v>
                </c:pt>
                <c:pt idx="46">
                  <c:v>1863051.3127625138</c:v>
                </c:pt>
                <c:pt idx="47">
                  <c:v>1373771.5187340975</c:v>
                </c:pt>
                <c:pt idx="48">
                  <c:v>1006914.0103814453</c:v>
                </c:pt>
                <c:pt idx="49">
                  <c:v>734737.88589994982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95-3E43-BB67-5B555D16C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939552"/>
        <c:axId val="254940112"/>
      </c:scatterChart>
      <c:valAx>
        <c:axId val="254939552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40112"/>
        <c:crosses val="autoZero"/>
        <c:crossBetween val="midCat"/>
      </c:valAx>
      <c:valAx>
        <c:axId val="25494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39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/>
              <a:t>Forecast Number</a:t>
            </a:r>
            <a:r>
              <a:rPr lang="en-GB" sz="2000" baseline="0"/>
              <a:t> of Cars for Great Britain (UK Department for Transport)</a:t>
            </a:r>
            <a:endParaRPr lang="en-GB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Cars per Households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'Nº Cars Projection'!$B$63:$H$63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</c:numCache>
            </c:numRef>
          </c:xVal>
          <c:yVal>
            <c:numRef>
              <c:f>'Nº Cars Projection'!$X$71:$AD$71</c:f>
              <c:numCache>
                <c:formatCode>#,##0</c:formatCode>
                <c:ptCount val="7"/>
                <c:pt idx="0">
                  <c:v>29661000</c:v>
                </c:pt>
                <c:pt idx="1">
                  <c:v>32000000</c:v>
                </c:pt>
                <c:pt idx="2">
                  <c:v>33666000</c:v>
                </c:pt>
                <c:pt idx="3">
                  <c:v>35334000</c:v>
                </c:pt>
                <c:pt idx="4">
                  <c:v>36929000</c:v>
                </c:pt>
                <c:pt idx="5">
                  <c:v>38590000</c:v>
                </c:pt>
                <c:pt idx="6">
                  <c:v>40227000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2E-41A0-97AB-BA29A9CCDD27}"/>
            </c:ext>
          </c:extLst>
        </c:ser>
        <c:ser>
          <c:idx val="1"/>
          <c:order val="1"/>
          <c:tx>
            <c:v>Scenario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'Nº Cars Projection'!$B$63:$H$63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</c:numCache>
            </c:numRef>
          </c:xVal>
          <c:yVal>
            <c:numRef>
              <c:f>'Nº Cars Projection'!$B$65:$H$65</c:f>
              <c:numCache>
                <c:formatCode>#,##0</c:formatCode>
                <c:ptCount val="7"/>
                <c:pt idx="0">
                  <c:v>28420877</c:v>
                </c:pt>
                <c:pt idx="1">
                  <c:v>30438990.874312576</c:v>
                </c:pt>
                <c:pt idx="2">
                  <c:v>32083559.384876013</c:v>
                </c:pt>
                <c:pt idx="3">
                  <c:v>33770894.081845351</c:v>
                </c:pt>
                <c:pt idx="4">
                  <c:v>35664569.881424293</c:v>
                </c:pt>
                <c:pt idx="5">
                  <c:v>37205723.368376799</c:v>
                </c:pt>
                <c:pt idx="6">
                  <c:v>38926888.400043078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2E-41A0-97AB-BA29A9CCDD27}"/>
            </c:ext>
          </c:extLst>
        </c:ser>
        <c:ser>
          <c:idx val="2"/>
          <c:order val="2"/>
          <c:tx>
            <c:v>Scenario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'Nº Cars Projection'!$B$63:$H$63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</c:numCache>
            </c:numRef>
          </c:xVal>
          <c:yVal>
            <c:numRef>
              <c:f>'Nº Cars Projection'!$B$66:$H$66</c:f>
              <c:numCache>
                <c:formatCode>#,##0</c:formatCode>
                <c:ptCount val="7"/>
                <c:pt idx="0">
                  <c:v>28420877</c:v>
                </c:pt>
                <c:pt idx="1">
                  <c:v>30338701.270398423</c:v>
                </c:pt>
                <c:pt idx="2">
                  <c:v>31422255.954363789</c:v>
                </c:pt>
                <c:pt idx="3">
                  <c:v>32504527.812683959</c:v>
                </c:pt>
                <c:pt idx="4">
                  <c:v>33686063.263311006</c:v>
                </c:pt>
                <c:pt idx="5">
                  <c:v>34491224.708233021</c:v>
                </c:pt>
                <c:pt idx="6">
                  <c:v>35398591.594862312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2E-41A0-97AB-BA29A9CCDD27}"/>
            </c:ext>
          </c:extLst>
        </c:ser>
        <c:ser>
          <c:idx val="4"/>
          <c:order val="3"/>
          <c:tx>
            <c:v>Scenario 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'Nº Cars Projection'!$B$63:$H$63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</c:numCache>
            </c:numRef>
          </c:xVal>
          <c:yVal>
            <c:numRef>
              <c:f>'Nº Cars Projection'!$B$67:$H$67</c:f>
              <c:numCache>
                <c:formatCode>#,##0</c:formatCode>
                <c:ptCount val="7"/>
                <c:pt idx="0">
                  <c:v>28420877</c:v>
                </c:pt>
                <c:pt idx="1">
                  <c:v>30438990.874312576</c:v>
                </c:pt>
                <c:pt idx="2">
                  <c:v>32083559.384876013</c:v>
                </c:pt>
                <c:pt idx="3">
                  <c:v>33770894.081845351</c:v>
                </c:pt>
                <c:pt idx="4">
                  <c:v>35664569.881424293</c:v>
                </c:pt>
                <c:pt idx="5">
                  <c:v>37205723.368376799</c:v>
                </c:pt>
                <c:pt idx="6">
                  <c:v>38926888.400043078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F2E-41A0-97AB-BA29A9CCDD27}"/>
            </c:ext>
          </c:extLst>
        </c:ser>
        <c:ser>
          <c:idx val="5"/>
          <c:order val="4"/>
          <c:tx>
            <c:v>Scenario 4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'Nº Cars Projection'!$B$63:$H$63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</c:numCache>
            </c:numRef>
          </c:xVal>
          <c:yVal>
            <c:numRef>
              <c:f>'Nº Cars Projection'!$B$68:$H$68</c:f>
              <c:numCache>
                <c:formatCode>#,##0</c:formatCode>
                <c:ptCount val="7"/>
                <c:pt idx="0">
                  <c:v>28420877</c:v>
                </c:pt>
                <c:pt idx="1">
                  <c:v>30221362.652996968</c:v>
                </c:pt>
                <c:pt idx="2">
                  <c:v>31395100.618223451</c:v>
                </c:pt>
                <c:pt idx="3">
                  <c:v>32844245.284730691</c:v>
                </c:pt>
                <c:pt idx="4">
                  <c:v>34479851.070645332</c:v>
                </c:pt>
                <c:pt idx="5">
                  <c:v>35729062.056057483</c:v>
                </c:pt>
                <c:pt idx="6">
                  <c:v>37154756.740756005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F2E-41A0-97AB-BA29A9CCDD27}"/>
            </c:ext>
          </c:extLst>
        </c:ser>
        <c:ser>
          <c:idx val="3"/>
          <c:order val="5"/>
          <c:tx>
            <c:v>Scenario 5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'Nº Cars Projection'!$B$63:$H$63</c:f>
              <c:numCache>
                <c:formatCode>General</c:formatCode>
                <c:ptCount val="7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</c:numCache>
            </c:numRef>
          </c:xVal>
          <c:yVal>
            <c:numRef>
              <c:f>'Nº Cars Projection'!$B$69:$H$69</c:f>
              <c:numCache>
                <c:formatCode>#,##0</c:formatCode>
                <c:ptCount val="7"/>
                <c:pt idx="0">
                  <c:v>28420877</c:v>
                </c:pt>
                <c:pt idx="1">
                  <c:v>30638411.503509812</c:v>
                </c:pt>
                <c:pt idx="2">
                  <c:v>32743700.987113513</c:v>
                </c:pt>
                <c:pt idx="3">
                  <c:v>34630330.775627345</c:v>
                </c:pt>
                <c:pt idx="4">
                  <c:v>36728596.511682115</c:v>
                </c:pt>
                <c:pt idx="5">
                  <c:v>38421839.821387127</c:v>
                </c:pt>
                <c:pt idx="6">
                  <c:v>40303730.822790019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F2E-41A0-97AB-BA29A9CC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360720"/>
        <c:axId val="255361280"/>
      </c:scatterChart>
      <c:valAx>
        <c:axId val="255360720"/>
        <c:scaling>
          <c:orientation val="minMax"/>
          <c:max val="20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61280"/>
        <c:crosses val="autoZero"/>
        <c:crossBetween val="midCat"/>
      </c:valAx>
      <c:valAx>
        <c:axId val="255361280"/>
        <c:scaling>
          <c:orientation val="minMax"/>
          <c:min val="2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Million</a:t>
                </a:r>
                <a:r>
                  <a:rPr lang="en-GB" sz="1400" baseline="0"/>
                  <a:t> of Cars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0"/>
              <c:y val="0.40268507464810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60720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SCENARIOS FOR GREAT BRITAIN NUMBER OF CARS PROJECTIONS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504404097109528E-2"/>
          <c:y val="0.11972125937234658"/>
          <c:w val="0.72999026843995785"/>
          <c:h val="0.72278393366464311"/>
        </c:manualLayout>
      </c:layout>
      <c:scatterChart>
        <c:scatterStyle val="lineMarker"/>
        <c:varyColors val="0"/>
        <c:ser>
          <c:idx val="0"/>
          <c:order val="0"/>
          <c:tx>
            <c:v>Business as Usual GB Car Evolution Trend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'Nº Cars Projection'!$A$4:$A$38</c:f>
              <c:numCache>
                <c:formatCode>General</c:formatCode>
                <c:ptCount val="3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</c:numCache>
            </c:numRef>
          </c:xVal>
          <c:yVal>
            <c:numRef>
              <c:f>'Nº Cars Projection'!$B$4:$B$38</c:f>
              <c:numCache>
                <c:formatCode>#,##0</c:formatCode>
                <c:ptCount val="35"/>
                <c:pt idx="0">
                  <c:v>30850440</c:v>
                </c:pt>
                <c:pt idx="1">
                  <c:v>31253245.6875</c:v>
                </c:pt>
                <c:pt idx="2">
                  <c:v>31656051.375</c:v>
                </c:pt>
                <c:pt idx="3">
                  <c:v>32058857.0625</c:v>
                </c:pt>
                <c:pt idx="4">
                  <c:v>32461662.75</c:v>
                </c:pt>
                <c:pt idx="5">
                  <c:v>32864468.4375</c:v>
                </c:pt>
                <c:pt idx="6">
                  <c:v>33267274.125</c:v>
                </c:pt>
                <c:pt idx="7">
                  <c:v>33670079.8125</c:v>
                </c:pt>
                <c:pt idx="8">
                  <c:v>34072885.5</c:v>
                </c:pt>
                <c:pt idx="9">
                  <c:v>34475691.1875</c:v>
                </c:pt>
                <c:pt idx="10">
                  <c:v>34878496.875</c:v>
                </c:pt>
                <c:pt idx="11">
                  <c:v>35281302.5625</c:v>
                </c:pt>
                <c:pt idx="12">
                  <c:v>35684108.25</c:v>
                </c:pt>
                <c:pt idx="13">
                  <c:v>36086913.9375</c:v>
                </c:pt>
                <c:pt idx="14">
                  <c:v>36489719.625</c:v>
                </c:pt>
                <c:pt idx="15">
                  <c:v>36892525.3125</c:v>
                </c:pt>
                <c:pt idx="16">
                  <c:v>37295331</c:v>
                </c:pt>
                <c:pt idx="17">
                  <c:v>37698136.6875</c:v>
                </c:pt>
                <c:pt idx="18">
                  <c:v>38100942.375</c:v>
                </c:pt>
                <c:pt idx="19">
                  <c:v>38503748.0625</c:v>
                </c:pt>
                <c:pt idx="20">
                  <c:v>38906553.75</c:v>
                </c:pt>
                <c:pt idx="21">
                  <c:v>39309359.4375</c:v>
                </c:pt>
                <c:pt idx="22">
                  <c:v>39712165.125</c:v>
                </c:pt>
                <c:pt idx="23">
                  <c:v>40114970.8125</c:v>
                </c:pt>
                <c:pt idx="24">
                  <c:v>40517776.5</c:v>
                </c:pt>
                <c:pt idx="25">
                  <c:v>40920582.1875</c:v>
                </c:pt>
                <c:pt idx="26">
                  <c:v>41323387.875</c:v>
                </c:pt>
                <c:pt idx="27">
                  <c:v>41726193.5625</c:v>
                </c:pt>
                <c:pt idx="28">
                  <c:v>42128999.25</c:v>
                </c:pt>
                <c:pt idx="29">
                  <c:v>42531804.9375</c:v>
                </c:pt>
                <c:pt idx="30">
                  <c:v>42934610.625</c:v>
                </c:pt>
                <c:pt idx="31">
                  <c:v>43337416.3125</c:v>
                </c:pt>
                <c:pt idx="32">
                  <c:v>43740222</c:v>
                </c:pt>
                <c:pt idx="33">
                  <c:v>44143027.6875</c:v>
                </c:pt>
                <c:pt idx="34">
                  <c:v>44545833.375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CD-47CB-85EA-10EE58802B60}"/>
            </c:ext>
          </c:extLst>
        </c:ser>
        <c:ser>
          <c:idx val="1"/>
          <c:order val="1"/>
          <c:tx>
            <c:v>Department for Transport Minimum Forecast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'Nº Cars Projection'!$A$4:$A$38</c:f>
              <c:numCache>
                <c:formatCode>General</c:formatCode>
                <c:ptCount val="3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</c:numCache>
            </c:numRef>
          </c:xVal>
          <c:yVal>
            <c:numRef>
              <c:f>'Nº Cars Projection'!$D$4:$D$38</c:f>
              <c:numCache>
                <c:formatCode>#,##0</c:formatCode>
                <c:ptCount val="35"/>
                <c:pt idx="0">
                  <c:v>30850440</c:v>
                </c:pt>
                <c:pt idx="1">
                  <c:v>30993393</c:v>
                </c:pt>
                <c:pt idx="2">
                  <c:v>31136347</c:v>
                </c:pt>
                <c:pt idx="3">
                  <c:v>31279301</c:v>
                </c:pt>
                <c:pt idx="4">
                  <c:v>31422255.954363789</c:v>
                </c:pt>
                <c:pt idx="5">
                  <c:v>31638710</c:v>
                </c:pt>
                <c:pt idx="6">
                  <c:v>31855164</c:v>
                </c:pt>
                <c:pt idx="7">
                  <c:v>32071618</c:v>
                </c:pt>
                <c:pt idx="8">
                  <c:v>32288072</c:v>
                </c:pt>
                <c:pt idx="9">
                  <c:v>32504527.812683959</c:v>
                </c:pt>
                <c:pt idx="10">
                  <c:v>32740834</c:v>
                </c:pt>
                <c:pt idx="11">
                  <c:v>32977141</c:v>
                </c:pt>
                <c:pt idx="12">
                  <c:v>33213448</c:v>
                </c:pt>
                <c:pt idx="13">
                  <c:v>33449755</c:v>
                </c:pt>
                <c:pt idx="14">
                  <c:v>33686063.263311006</c:v>
                </c:pt>
                <c:pt idx="15">
                  <c:v>33847095</c:v>
                </c:pt>
                <c:pt idx="16">
                  <c:v>34008127</c:v>
                </c:pt>
                <c:pt idx="17">
                  <c:v>34169159</c:v>
                </c:pt>
                <c:pt idx="18">
                  <c:v>34330191</c:v>
                </c:pt>
                <c:pt idx="19">
                  <c:v>34491224.708233021</c:v>
                </c:pt>
                <c:pt idx="20">
                  <c:v>34672698</c:v>
                </c:pt>
                <c:pt idx="21">
                  <c:v>34854171</c:v>
                </c:pt>
                <c:pt idx="22">
                  <c:v>35035644</c:v>
                </c:pt>
                <c:pt idx="23">
                  <c:v>35217117</c:v>
                </c:pt>
                <c:pt idx="24">
                  <c:v>35398591.594862312</c:v>
                </c:pt>
                <c:pt idx="25">
                  <c:v>35588097</c:v>
                </c:pt>
                <c:pt idx="26">
                  <c:v>35777603</c:v>
                </c:pt>
                <c:pt idx="27">
                  <c:v>35967109</c:v>
                </c:pt>
                <c:pt idx="28">
                  <c:v>36156615</c:v>
                </c:pt>
                <c:pt idx="29">
                  <c:v>36346121</c:v>
                </c:pt>
                <c:pt idx="30">
                  <c:v>36535627</c:v>
                </c:pt>
                <c:pt idx="31">
                  <c:v>36725133</c:v>
                </c:pt>
                <c:pt idx="32">
                  <c:v>36914639</c:v>
                </c:pt>
                <c:pt idx="33">
                  <c:v>37104145</c:v>
                </c:pt>
                <c:pt idx="34">
                  <c:v>37293651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CD-47CB-85EA-10EE58802B60}"/>
            </c:ext>
          </c:extLst>
        </c:ser>
        <c:ser>
          <c:idx val="2"/>
          <c:order val="2"/>
          <c:tx>
            <c:v>National Grid Future Two Degrees Scenario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'Nº Cars Projection'!$A$4:$A$38</c:f>
              <c:numCache>
                <c:formatCode>General</c:formatCode>
                <c:ptCount val="3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</c:numCache>
            </c:numRef>
          </c:xVal>
          <c:yVal>
            <c:numRef>
              <c:f>'Nº Cars Projection'!$F$4:$F$38</c:f>
              <c:numCache>
                <c:formatCode>#,##0</c:formatCode>
                <c:ptCount val="35"/>
                <c:pt idx="0">
                  <c:v>30850440</c:v>
                </c:pt>
                <c:pt idx="1">
                  <c:v>30812830</c:v>
                </c:pt>
                <c:pt idx="2">
                  <c:v>30775220</c:v>
                </c:pt>
                <c:pt idx="3">
                  <c:v>30737610</c:v>
                </c:pt>
                <c:pt idx="4">
                  <c:v>30700000</c:v>
                </c:pt>
                <c:pt idx="5">
                  <c:v>30720000</c:v>
                </c:pt>
                <c:pt idx="6">
                  <c:v>30740000</c:v>
                </c:pt>
                <c:pt idx="7">
                  <c:v>30760000</c:v>
                </c:pt>
                <c:pt idx="8">
                  <c:v>30780000</c:v>
                </c:pt>
                <c:pt idx="9">
                  <c:v>30800000</c:v>
                </c:pt>
                <c:pt idx="10">
                  <c:v>30840000</c:v>
                </c:pt>
                <c:pt idx="11">
                  <c:v>30880000</c:v>
                </c:pt>
                <c:pt idx="12">
                  <c:v>30920000</c:v>
                </c:pt>
                <c:pt idx="13">
                  <c:v>30960000</c:v>
                </c:pt>
                <c:pt idx="14">
                  <c:v>31000000</c:v>
                </c:pt>
                <c:pt idx="15">
                  <c:v>30200000</c:v>
                </c:pt>
                <c:pt idx="16">
                  <c:v>29400000</c:v>
                </c:pt>
                <c:pt idx="17">
                  <c:v>28600000</c:v>
                </c:pt>
                <c:pt idx="18">
                  <c:v>27800000</c:v>
                </c:pt>
                <c:pt idx="19">
                  <c:v>27000000</c:v>
                </c:pt>
                <c:pt idx="20">
                  <c:v>26200000</c:v>
                </c:pt>
                <c:pt idx="21">
                  <c:v>25400000</c:v>
                </c:pt>
                <c:pt idx="22">
                  <c:v>24600000</c:v>
                </c:pt>
                <c:pt idx="23">
                  <c:v>23800000</c:v>
                </c:pt>
                <c:pt idx="24">
                  <c:v>23000000</c:v>
                </c:pt>
                <c:pt idx="25">
                  <c:v>23220000</c:v>
                </c:pt>
                <c:pt idx="26">
                  <c:v>23440000</c:v>
                </c:pt>
                <c:pt idx="27">
                  <c:v>23660000</c:v>
                </c:pt>
                <c:pt idx="28">
                  <c:v>23880000</c:v>
                </c:pt>
                <c:pt idx="29">
                  <c:v>24100000</c:v>
                </c:pt>
                <c:pt idx="30">
                  <c:v>24320000</c:v>
                </c:pt>
                <c:pt idx="31">
                  <c:v>24540000</c:v>
                </c:pt>
                <c:pt idx="32">
                  <c:v>24760000</c:v>
                </c:pt>
                <c:pt idx="33">
                  <c:v>24980000</c:v>
                </c:pt>
                <c:pt idx="34">
                  <c:v>25200000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CD-47CB-85EA-10EE5880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43600"/>
        <c:axId val="255544160"/>
      </c:scatterChart>
      <c:valAx>
        <c:axId val="255543600"/>
        <c:scaling>
          <c:orientation val="minMax"/>
          <c:max val="2050"/>
          <c:min val="20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44160"/>
        <c:crosses val="autoZero"/>
        <c:crossBetween val="midCat"/>
      </c:valAx>
      <c:valAx>
        <c:axId val="255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Million</a:t>
                </a:r>
                <a:r>
                  <a:rPr lang="en-US" sz="1400" baseline="0"/>
                  <a:t> o</a:t>
                </a:r>
                <a:r>
                  <a:rPr lang="en-US" sz="1400"/>
                  <a:t>f Cars</a:t>
                </a:r>
              </a:p>
            </c:rich>
          </c:tx>
          <c:layout>
            <c:manualLayout>
              <c:xMode val="edge"/>
              <c:yMode val="edge"/>
              <c:x val="2.1303627958085658E-2"/>
              <c:y val="0.3647807809937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43600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36928763685904"/>
          <c:y val="0.19125835778740413"/>
          <c:w val="0.14215236321220304"/>
          <c:h val="0.59567680994013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UK Government Tax Revenue Loss for the Most</a:t>
            </a:r>
            <a:r>
              <a:rPr lang="en-US" baseline="0"/>
              <a:t> Aggressive Scenario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UK Government Tax Revenue Loss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'Tax Revenue Lost'!$B$7:$B$41</c:f>
              <c:numCache>
                <c:formatCode>0</c:formatCode>
                <c:ptCount val="3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</c:numCache>
            </c:numRef>
          </c:xVal>
          <c:yVal>
            <c:numRef>
              <c:f>'Tax Revenue Lost'!$K$7:$K$41</c:f>
              <c:numCache>
                <c:formatCode>#,##0.00</c:formatCode>
                <c:ptCount val="35"/>
                <c:pt idx="0">
                  <c:v>24.802754094935846</c:v>
                </c:pt>
                <c:pt idx="1">
                  <c:v>31.440934401662137</c:v>
                </c:pt>
                <c:pt idx="2">
                  <c:v>38.24187867332185</c:v>
                </c:pt>
                <c:pt idx="3">
                  <c:v>45.205586909914963</c:v>
                </c:pt>
                <c:pt idx="4">
                  <c:v>52.332059111441495</c:v>
                </c:pt>
                <c:pt idx="5">
                  <c:v>59.621295277901403</c:v>
                </c:pt>
                <c:pt idx="6">
                  <c:v>67.428567929451305</c:v>
                </c:pt>
                <c:pt idx="7">
                  <c:v>95.340635587644257</c:v>
                </c:pt>
                <c:pt idx="8">
                  <c:v>134.72868583966138</c:v>
                </c:pt>
                <c:pt idx="9">
                  <c:v>190.24648158519796</c:v>
                </c:pt>
                <c:pt idx="10">
                  <c:v>268.37696323593184</c:v>
                </c:pt>
                <c:pt idx="11">
                  <c:v>378.09720081538944</c:v>
                </c:pt>
                <c:pt idx="12">
                  <c:v>531.73409717531968</c:v>
                </c:pt>
                <c:pt idx="13">
                  <c:v>746.01615278557074</c:v>
                </c:pt>
                <c:pt idx="14">
                  <c:v>1043.2707583291665</c:v>
                </c:pt>
                <c:pt idx="15">
                  <c:v>1452.6017450694189</c:v>
                </c:pt>
                <c:pt idx="16">
                  <c:v>2010.6776356977937</c:v>
                </c:pt>
                <c:pt idx="17">
                  <c:v>2761.4497519474321</c:v>
                </c:pt>
                <c:pt idx="18">
                  <c:v>3753.7471255544074</c:v>
                </c:pt>
                <c:pt idx="19">
                  <c:v>5035.4638576666575</c:v>
                </c:pt>
                <c:pt idx="20">
                  <c:v>6643.4120209922403</c:v>
                </c:pt>
                <c:pt idx="21">
                  <c:v>8589.4615687626301</c:v>
                </c:pt>
                <c:pt idx="22">
                  <c:v>10846.512699766046</c:v>
                </c:pt>
                <c:pt idx="23">
                  <c:v>13340.890249082144</c:v>
                </c:pt>
                <c:pt idx="24">
                  <c:v>15957.921314424366</c:v>
                </c:pt>
                <c:pt idx="25">
                  <c:v>18562.31308258247</c:v>
                </c:pt>
                <c:pt idx="26">
                  <c:v>21026.534714586749</c:v>
                </c:pt>
                <c:pt idx="27">
                  <c:v>23255.308965632783</c:v>
                </c:pt>
                <c:pt idx="28">
                  <c:v>25197.142781391656</c:v>
                </c:pt>
                <c:pt idx="29">
                  <c:v>26841.799739652211</c:v>
                </c:pt>
                <c:pt idx="30">
                  <c:v>28209.036319568913</c:v>
                </c:pt>
                <c:pt idx="31">
                  <c:v>29335.286582522389</c:v>
                </c:pt>
                <c:pt idx="32">
                  <c:v>30262.70826833434</c:v>
                </c:pt>
                <c:pt idx="33">
                  <c:v>31032.080038569398</c:v>
                </c:pt>
                <c:pt idx="34">
                  <c:v>31679.161708550721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DD-40AE-8A7F-7CE025878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06720"/>
        <c:axId val="106413456"/>
      </c:scatterChart>
      <c:valAx>
        <c:axId val="425606720"/>
        <c:scaling>
          <c:orientation val="minMax"/>
          <c:max val="2050"/>
          <c:min val="2015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13456"/>
        <c:crosses val="autoZero"/>
        <c:crossBetween val="midCat"/>
      </c:valAx>
      <c:valAx>
        <c:axId val="10641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500"/>
                  <a:t>Million 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606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/>
              <a:t>Fuel Breakdown Costs</a:t>
            </a:r>
          </a:p>
        </c:rich>
      </c:tx>
      <c:layout>
        <c:manualLayout>
          <c:xMode val="edge"/>
          <c:yMode val="edge"/>
          <c:x val="0.38462516384061285"/>
          <c:y val="4.043531959833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85434427870468"/>
          <c:y val="0.19477496113310519"/>
          <c:w val="0.84908573928258968"/>
          <c:h val="0.577881007766115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'Tax Revenue Lost'!$F$54</c:f>
              <c:strCache>
                <c:ptCount val="1"/>
                <c:pt idx="0">
                  <c:v>Wholesail Distribution &amp; Profit Margin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'Tax Revenue Lost'!$E$57:$E$62</c:f>
              <c:numCache>
                <c:formatCode>General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</c:numCache>
            </c:numRef>
          </c:cat>
          <c:val>
            <c:numRef>
              <c:f>'Tax Revenue Lost'!$F$57:$F$62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D86-4C9E-B3E6-B38F146B56C6}"/>
            </c:ext>
          </c:extLst>
        </c:ser>
        <c:ser>
          <c:idx val="2"/>
          <c:order val="1"/>
          <c:tx>
            <c:strRef>
              <c:f>'Tax Revenue Lost'!$G$54</c:f>
              <c:strCache>
                <c:ptCount val="1"/>
                <c:pt idx="0">
                  <c:v>Standard Duty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'Tax Revenue Lost'!$E$57:$E$62</c:f>
              <c:numCache>
                <c:formatCode>General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</c:numCache>
            </c:numRef>
          </c:cat>
          <c:val>
            <c:numRef>
              <c:f>'Tax Revenue Lost'!$G$57:$G$62</c:f>
              <c:numCache>
                <c:formatCode>General</c:formatCode>
                <c:ptCount val="6"/>
                <c:pt idx="0">
                  <c:v>0.57950000000000002</c:v>
                </c:pt>
                <c:pt idx="1">
                  <c:v>0.57950000000000002</c:v>
                </c:pt>
                <c:pt idx="2">
                  <c:v>0.57950000000000002</c:v>
                </c:pt>
                <c:pt idx="3">
                  <c:v>0.57950000000000002</c:v>
                </c:pt>
                <c:pt idx="4">
                  <c:v>0.57950000000000002</c:v>
                </c:pt>
                <c:pt idx="5">
                  <c:v>0.57950000000000002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6-4C9E-B3E6-B38F146B56C6}"/>
            </c:ext>
          </c:extLst>
        </c:ser>
        <c:ser>
          <c:idx val="3"/>
          <c:order val="2"/>
          <c:tx>
            <c:strRef>
              <c:f>'Tax Revenue Lost'!$H$54</c:f>
              <c:strCache>
                <c:ptCount val="1"/>
                <c:pt idx="0">
                  <c:v>VAT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'Tax Revenue Lost'!$E$57:$E$62</c:f>
              <c:numCache>
                <c:formatCode>General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</c:numCache>
            </c:numRef>
          </c:cat>
          <c:val>
            <c:numRef>
              <c:f>'Tax Revenue Lost'!$H$57:$H$62</c:f>
              <c:numCache>
                <c:formatCode>General</c:formatCode>
                <c:ptCount val="6"/>
                <c:pt idx="0">
                  <c:v>0.16700000000000001</c:v>
                </c:pt>
                <c:pt idx="1">
                  <c:v>0.18370000000000003</c:v>
                </c:pt>
                <c:pt idx="2">
                  <c:v>0.20039999999999999</c:v>
                </c:pt>
                <c:pt idx="3">
                  <c:v>0.21710000000000002</c:v>
                </c:pt>
                <c:pt idx="4">
                  <c:v>0.23380000000000001</c:v>
                </c:pt>
                <c:pt idx="5">
                  <c:v>0.2505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6-4C9E-B3E6-B38F146B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496464"/>
        <c:axId val="188489800"/>
      </c:barChart>
      <c:catAx>
        <c:axId val="18849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2000">
                    <a:latin typeface="Arial" panose="020B0604020202020204" pitchFamily="34" charset="0"/>
                    <a:cs typeface="Arial" panose="020B0604020202020204" pitchFamily="34" charset="0"/>
                  </a:rPr>
                  <a:t>£/L</a:t>
                </a:r>
              </a:p>
            </c:rich>
          </c:tx>
          <c:layout>
            <c:manualLayout>
              <c:xMode val="edge"/>
              <c:yMode val="edge"/>
              <c:x val="0.53082505316557071"/>
              <c:y val="0.84693720048884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489800"/>
        <c:crosses val="autoZero"/>
        <c:auto val="1"/>
        <c:lblAlgn val="ctr"/>
        <c:lblOffset val="100"/>
        <c:noMultiLvlLbl val="0"/>
      </c:catAx>
      <c:valAx>
        <c:axId val="188489800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2000">
                    <a:latin typeface="Arial" panose="020B0604020202020204" pitchFamily="34" charset="0"/>
                    <a:cs typeface="Arial" panose="020B0604020202020204" pitchFamily="34" charset="0"/>
                  </a:rPr>
                  <a:t>£</a:t>
                </a:r>
              </a:p>
            </c:rich>
          </c:tx>
          <c:layout>
            <c:manualLayout>
              <c:xMode val="edge"/>
              <c:yMode val="edge"/>
              <c:x val="2.4471389746127316E-2"/>
              <c:y val="0.38268034615337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49646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99037620297463"/>
          <c:y val="0.92187445319335082"/>
          <c:w val="0.7900192475940507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Evs Electrical Demand (TWh)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GUI!$A$36:$A$85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cat>
          <c:val>
            <c:numRef>
              <c:f>GUI!$R$36:$R$85</c:f>
              <c:numCache>
                <c:formatCode>##0.0E+0</c:formatCode>
                <c:ptCount val="50"/>
                <c:pt idx="0">
                  <c:v>5.7868276351918946E-4</c:v>
                </c:pt>
                <c:pt idx="1">
                  <c:v>6.9356831215902843E-4</c:v>
                </c:pt>
                <c:pt idx="2">
                  <c:v>7.4250104583895992E-4</c:v>
                </c:pt>
                <c:pt idx="3">
                  <c:v>8.48876553838811E-4</c:v>
                </c:pt>
                <c:pt idx="4">
                  <c:v>1.1999157302383192E-3</c:v>
                </c:pt>
                <c:pt idx="5">
                  <c:v>1.7169006991175949E-3</c:v>
                </c:pt>
                <c:pt idx="6">
                  <c:v>2.5359921107164477E-3</c:v>
                </c:pt>
                <c:pt idx="7">
                  <c:v>2.8189509619960511E-3</c:v>
                </c:pt>
                <c:pt idx="8">
                  <c:v>3.09127226247567E-3</c:v>
                </c:pt>
                <c:pt idx="9">
                  <c:v>3.2827481768754017E-3</c:v>
                </c:pt>
                <c:pt idx="10">
                  <c:v>5.5528015175922221E-3</c:v>
                </c:pt>
                <c:pt idx="11">
                  <c:v>8.7908719811076869E-3</c:v>
                </c:pt>
                <c:pt idx="12">
                  <c:v>1.330757605078136E-2</c:v>
                </c:pt>
                <c:pt idx="13">
                  <c:v>3.4482684673231692E-2</c:v>
                </c:pt>
                <c:pt idx="14">
                  <c:v>5.2343132466406678E-2</c:v>
                </c:pt>
                <c:pt idx="15">
                  <c:v>7.1131174689340368E-2</c:v>
                </c:pt>
                <c:pt idx="16">
                  <c:v>9.1316619748696037E-2</c:v>
                </c:pt>
                <c:pt idx="17">
                  <c:v>0.11106918925103214</c:v>
                </c:pt>
                <c:pt idx="18">
                  <c:v>0.1312944881864295</c:v>
                </c:pt>
                <c:pt idx="19">
                  <c:v>0.15199251655488816</c:v>
                </c:pt>
                <c:pt idx="20">
                  <c:v>0.17316327435640805</c:v>
                </c:pt>
                <c:pt idx="21">
                  <c:v>0.19583861023822857</c:v>
                </c:pt>
                <c:pt idx="22">
                  <c:v>0.27690603769383049</c:v>
                </c:pt>
                <c:pt idx="23">
                  <c:v>0.39130415199783258</c:v>
                </c:pt>
                <c:pt idx="24">
                  <c:v>0.55254927845033797</c:v>
                </c:pt>
                <c:pt idx="25">
                  <c:v>0.77947038049320083</c:v>
                </c:pt>
                <c:pt idx="26">
                  <c:v>1.0981403374920058</c:v>
                </c:pt>
                <c:pt idx="27">
                  <c:v>1.544361237451261</c:v>
                </c:pt>
                <c:pt idx="28">
                  <c:v>2.1667191082814536</c:v>
                </c:pt>
                <c:pt idx="29">
                  <c:v>3.0300613180326423</c:v>
                </c:pt>
                <c:pt idx="30">
                  <c:v>4.2189166360712225</c:v>
                </c:pt>
                <c:pt idx="31">
                  <c:v>5.8397846180588084</c:v>
                </c:pt>
                <c:pt idx="32">
                  <c:v>8.0203168815613726</c:v>
                </c:pt>
                <c:pt idx="33">
                  <c:v>10.90233179834793</c:v>
                </c:pt>
                <c:pt idx="34">
                  <c:v>14.624932340577624</c:v>
                </c:pt>
                <c:pt idx="35">
                  <c:v>19.295034988616415</c:v>
                </c:pt>
                <c:pt idx="36">
                  <c:v>24.947114672242996</c:v>
                </c:pt>
                <c:pt idx="37">
                  <c:v>31.502463099556504</c:v>
                </c:pt>
                <c:pt idx="38">
                  <c:v>38.747099129474904</c:v>
                </c:pt>
                <c:pt idx="39">
                  <c:v>46.347968353378988</c:v>
                </c:pt>
                <c:pt idx="40">
                  <c:v>53.912128175453319</c:v>
                </c:pt>
                <c:pt idx="41">
                  <c:v>61.069179771679082</c:v>
                </c:pt>
                <c:pt idx="42">
                  <c:v>67.542401215686041</c:v>
                </c:pt>
                <c:pt idx="43">
                  <c:v>73.182236784931661</c:v>
                </c:pt>
                <c:pt idx="44">
                  <c:v>77.958955954785182</c:v>
                </c:pt>
                <c:pt idx="45">
                  <c:v>81.929939173024408</c:v>
                </c:pt>
                <c:pt idx="46">
                  <c:v>85.201005029087327</c:v>
                </c:pt>
                <c:pt idx="47">
                  <c:v>87.894595885773469</c:v>
                </c:pt>
                <c:pt idx="48">
                  <c:v>90.129148729858827</c:v>
                </c:pt>
                <c:pt idx="49">
                  <c:v>92.00852387975614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E-4F3A-BCFD-91F6DA97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233488"/>
        <c:axId val="763231848"/>
      </c:areaChart>
      <c:catAx>
        <c:axId val="76323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231848"/>
        <c:crosses val="autoZero"/>
        <c:auto val="1"/>
        <c:lblAlgn val="ctr"/>
        <c:lblOffset val="100"/>
        <c:noMultiLvlLbl val="0"/>
      </c:catAx>
      <c:valAx>
        <c:axId val="76323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233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Public Charging Points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GUI!$A$36:$A$85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GUI!$T$36:$T$85</c:f>
              <c:numCache>
                <c:formatCode>##0.0E+0</c:formatCode>
                <c:ptCount val="50"/>
                <c:pt idx="0">
                  <c:v>37.748399832505832</c:v>
                </c:pt>
                <c:pt idx="1">
                  <c:v>45.242567446312144</c:v>
                </c:pt>
                <c:pt idx="2">
                  <c:v>48.43452772626668</c:v>
                </c:pt>
                <c:pt idx="3">
                  <c:v>55.373571813124371</c:v>
                </c:pt>
                <c:pt idx="4">
                  <c:v>78.27241729975475</c:v>
                </c:pt>
                <c:pt idx="5">
                  <c:v>111.99617156188312</c:v>
                </c:pt>
                <c:pt idx="6">
                  <c:v>165.42681103068733</c:v>
                </c:pt>
                <c:pt idx="7">
                  <c:v>183.88466830172879</c:v>
                </c:pt>
                <c:pt idx="8">
                  <c:v>201.64862116408449</c:v>
                </c:pt>
                <c:pt idx="9">
                  <c:v>214.13890052042831</c:v>
                </c:pt>
                <c:pt idx="10">
                  <c:v>362.21810133397145</c:v>
                </c:pt>
                <c:pt idx="11">
                  <c:v>573.44260333791954</c:v>
                </c:pt>
                <c:pt idx="12">
                  <c:v>868.07441526589707</c:v>
                </c:pt>
                <c:pt idx="13">
                  <c:v>2249.3605311957886</c:v>
                </c:pt>
                <c:pt idx="14">
                  <c:v>3414.4260333791949</c:v>
                </c:pt>
                <c:pt idx="15">
                  <c:v>4640</c:v>
                </c:pt>
                <c:pt idx="16">
                  <c:v>6076.1667969431492</c:v>
                </c:pt>
                <c:pt idx="17">
                  <c:v>7529.1640280609563</c:v>
                </c:pt>
                <c:pt idx="18">
                  <c:v>9056.668152897113</c:v>
                </c:pt>
                <c:pt idx="19">
                  <c:v>10657.318009267938</c:v>
                </c:pt>
                <c:pt idx="20">
                  <c:v>12329.789610663973</c:v>
                </c:pt>
                <c:pt idx="21">
                  <c:v>14147.33720450434</c:v>
                </c:pt>
                <c:pt idx="22">
                  <c:v>20277.601114743866</c:v>
                </c:pt>
                <c:pt idx="23">
                  <c:v>29024.439580093345</c:v>
                </c:pt>
                <c:pt idx="24">
                  <c:v>41482.694978042236</c:v>
                </c:pt>
                <c:pt idx="25">
                  <c:v>59189.57235629153</c:v>
                </c:pt>
                <c:pt idx="26">
                  <c:v>84289.996633738992</c:v>
                </c:pt>
                <c:pt idx="27">
                  <c:v>119751.47915951165</c:v>
                </c:pt>
                <c:pt idx="28">
                  <c:v>169631.4381317271</c:v>
                </c:pt>
                <c:pt idx="29">
                  <c:v>239386.81303605685</c:v>
                </c:pt>
                <c:pt idx="30">
                  <c:v>336188.12175890413</c:v>
                </c:pt>
                <c:pt idx="31">
                  <c:v>469149.78558431298</c:v>
                </c:pt>
                <c:pt idx="32">
                  <c:v>649310.28580414341</c:v>
                </c:pt>
                <c:pt idx="33">
                  <c:v>889099.2593495436</c:v>
                </c:pt>
                <c:pt idx="34">
                  <c:v>1200962.05930546</c:v>
                </c:pt>
                <c:pt idx="35">
                  <c:v>1594886.3016918213</c:v>
                </c:pt>
                <c:pt idx="36">
                  <c:v>2074944.1293730603</c:v>
                </c:pt>
                <c:pt idx="37">
                  <c:v>2635688.7323199436</c:v>
                </c:pt>
                <c:pt idx="38">
                  <c:v>3260031.2826732984</c:v>
                </c:pt>
                <c:pt idx="39">
                  <c:v>4357014.9957303992</c:v>
                </c:pt>
                <c:pt idx="40">
                  <c:v>5068095.9545244984</c:v>
                </c:pt>
                <c:pt idx="41">
                  <c:v>5740906.0525252325</c:v>
                </c:pt>
                <c:pt idx="42">
                  <c:v>6349431.6018477352</c:v>
                </c:pt>
                <c:pt idx="43">
                  <c:v>6879613.3772667088</c:v>
                </c:pt>
                <c:pt idx="44">
                  <c:v>7328656.5131979799</c:v>
                </c:pt>
                <c:pt idx="45">
                  <c:v>7701955.1505351383</c:v>
                </c:pt>
                <c:pt idx="46">
                  <c:v>8009456.9352568155</c:v>
                </c:pt>
                <c:pt idx="47">
                  <c:v>8262672.2577810474</c:v>
                </c:pt>
                <c:pt idx="48">
                  <c:v>8472734.9767377917</c:v>
                </c:pt>
                <c:pt idx="49">
                  <c:v>8649408.6477015968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7A-4F00-863A-DA307A9F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774224"/>
        <c:axId val="635771272"/>
      </c:scatterChart>
      <c:valAx>
        <c:axId val="635774224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771272"/>
        <c:crosses val="autoZero"/>
        <c:crossBetween val="midCat"/>
      </c:valAx>
      <c:valAx>
        <c:axId val="63577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774224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Fuel Tax Loss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Fuel Tax Lost (Pounds)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GUI!$A$36:$A$85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GUI!$U$36:$U$85</c:f>
              <c:numCache>
                <c:formatCode>##0.0E+0</c:formatCode>
                <c:ptCount val="50"/>
                <c:pt idx="0">
                  <c:v>199244.35199999998</c:v>
                </c:pt>
                <c:pt idx="1">
                  <c:v>238800.21599999999</c:v>
                </c:pt>
                <c:pt idx="2">
                  <c:v>255648.08399999997</c:v>
                </c:pt>
                <c:pt idx="3">
                  <c:v>292273.88399999996</c:v>
                </c:pt>
                <c:pt idx="4">
                  <c:v>413139.02399999998</c:v>
                </c:pt>
                <c:pt idx="5">
                  <c:v>591140.41200000001</c:v>
                </c:pt>
                <c:pt idx="6">
                  <c:v>873159.07199999993</c:v>
                </c:pt>
                <c:pt idx="7">
                  <c:v>970583.7</c:v>
                </c:pt>
                <c:pt idx="8">
                  <c:v>1064345.7479999999</c:v>
                </c:pt>
                <c:pt idx="9">
                  <c:v>1130272.1879999998</c:v>
                </c:pt>
                <c:pt idx="10">
                  <c:v>1911866.76</c:v>
                </c:pt>
                <c:pt idx="11">
                  <c:v>3026756.1119999997</c:v>
                </c:pt>
                <c:pt idx="12">
                  <c:v>4581887.58</c:v>
                </c:pt>
                <c:pt idx="13">
                  <c:v>11872619.327999998</c:v>
                </c:pt>
                <c:pt idx="14">
                  <c:v>18022091.147999998</c:v>
                </c:pt>
                <c:pt idx="15">
                  <c:v>24490939.943999998</c:v>
                </c:pt>
                <c:pt idx="16">
                  <c:v>31440923.897599395</c:v>
                </c:pt>
                <c:pt idx="17">
                  <c:v>38241865.897140071</c:v>
                </c:pt>
                <c:pt idx="18">
                  <c:v>45205571.807236545</c:v>
                </c:pt>
                <c:pt idx="19">
                  <c:v>52332041.627888821</c:v>
                </c:pt>
                <c:pt idx="20">
                  <c:v>59621275.359096885</c:v>
                </c:pt>
                <c:pt idx="21">
                  <c:v>67428545.402324736</c:v>
                </c:pt>
                <c:pt idx="22">
                  <c:v>95340603.735409677</c:v>
                </c:pt>
                <c:pt idx="23">
                  <c:v>134728640.82832199</c:v>
                </c:pt>
                <c:pt idx="24">
                  <c:v>190246418.02598709</c:v>
                </c:pt>
                <c:pt idx="25">
                  <c:v>268376873.57420531</c:v>
                </c:pt>
                <c:pt idx="26">
                  <c:v>378097074.49736494</c:v>
                </c:pt>
                <c:pt idx="27">
                  <c:v>531733919.52893531</c:v>
                </c:pt>
                <c:pt idx="28">
                  <c:v>746015903.54996026</c:v>
                </c:pt>
                <c:pt idx="29">
                  <c:v>1043270409.7841337</c:v>
                </c:pt>
                <c:pt idx="30">
                  <c:v>1452601259.7715049</c:v>
                </c:pt>
                <c:pt idx="31">
                  <c:v>2010676963.9529984</c:v>
                </c:pt>
                <c:pt idx="32">
                  <c:v>2761448829.3781118</c:v>
                </c:pt>
                <c:pt idx="33">
                  <c:v>3753745871.4696894</c:v>
                </c:pt>
                <c:pt idx="34">
                  <c:v>5035462175.3747883</c:v>
                </c:pt>
                <c:pt idx="35">
                  <c:v>6643409801.5029631</c:v>
                </c:pt>
                <c:pt idx="36">
                  <c:v>8589458699.1200762</c:v>
                </c:pt>
                <c:pt idx="37">
                  <c:v>10846509076.068081</c:v>
                </c:pt>
                <c:pt idx="38">
                  <c:v>13340885792.04068</c:v>
                </c:pt>
                <c:pt idx="39">
                  <c:v>15957915983.062244</c:v>
                </c:pt>
                <c:pt idx="40">
                  <c:v>18562306881.122334</c:v>
                </c:pt>
                <c:pt idx="41">
                  <c:v>21026527689.857864</c:v>
                </c:pt>
                <c:pt idx="42">
                  <c:v>23255301196.295475</c:v>
                </c:pt>
                <c:pt idx="43">
                  <c:v>25197134363.309498</c:v>
                </c:pt>
                <c:pt idx="44">
                  <c:v>26841790772.108654</c:v>
                </c:pt>
                <c:pt idx="45">
                  <c:v>28209026895.246983</c:v>
                </c:pt>
                <c:pt idx="46">
                  <c:v>29335276781.932903</c:v>
                </c:pt>
                <c:pt idx="47">
                  <c:v>30262698157.903706</c:v>
                </c:pt>
                <c:pt idx="48">
                  <c:v>31032069671.1003</c:v>
                </c:pt>
                <c:pt idx="49">
                  <c:v>31679151124.898911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3E-4230-855E-DF506C1A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832608"/>
        <c:axId val="635832936"/>
      </c:scatterChart>
      <c:valAx>
        <c:axId val="635832608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32936"/>
        <c:crosses val="autoZero"/>
        <c:crossBetween val="midCat"/>
      </c:valAx>
      <c:valAx>
        <c:axId val="63583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32608"/>
        <c:crosses val="autoZero"/>
        <c:crossBetween val="midCat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Lithium (kg)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GUI!$A$36:$A$85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GUI!$V$36:$V$85</c:f>
              <c:numCache>
                <c:formatCode>##0.0E+0</c:formatCode>
                <c:ptCount val="50"/>
                <c:pt idx="0">
                  <c:v>1292</c:v>
                </c:pt>
                <c:pt idx="1">
                  <c:v>215.99999999999997</c:v>
                </c:pt>
                <c:pt idx="2">
                  <c:v>91.999999999999858</c:v>
                </c:pt>
                <c:pt idx="3">
                  <c:v>200.00000000000017</c:v>
                </c:pt>
                <c:pt idx="4">
                  <c:v>659.99999999999966</c:v>
                </c:pt>
                <c:pt idx="5">
                  <c:v>972.00000000000045</c:v>
                </c:pt>
                <c:pt idx="6">
                  <c:v>1539.9999999999995</c:v>
                </c:pt>
                <c:pt idx="7">
                  <c:v>532</c:v>
                </c:pt>
                <c:pt idx="8">
                  <c:v>512.00000000000045</c:v>
                </c:pt>
                <c:pt idx="9">
                  <c:v>359.99999999999943</c:v>
                </c:pt>
                <c:pt idx="10">
                  <c:v>4268</c:v>
                </c:pt>
                <c:pt idx="11">
                  <c:v>6087.9999999999991</c:v>
                </c:pt>
                <c:pt idx="12">
                  <c:v>8492</c:v>
                </c:pt>
                <c:pt idx="13">
                  <c:v>39812</c:v>
                </c:pt>
                <c:pt idx="14">
                  <c:v>33580.000000000015</c:v>
                </c:pt>
                <c:pt idx="15">
                  <c:v>35323.999999999985</c:v>
                </c:pt>
                <c:pt idx="16">
                  <c:v>34480.259690044521</c:v>
                </c:pt>
                <c:pt idx="17">
                  <c:v>34924.656564804369</c:v>
                </c:pt>
                <c:pt idx="18">
                  <c:v>35369.053439564224</c:v>
                </c:pt>
                <c:pt idx="19">
                  <c:v>35813.450314324087</c:v>
                </c:pt>
                <c:pt idx="20">
                  <c:v>36257.847189083936</c:v>
                </c:pt>
                <c:pt idx="21">
                  <c:v>38642.255757589737</c:v>
                </c:pt>
                <c:pt idx="22">
                  <c:v>147959.210676035</c:v>
                </c:pt>
                <c:pt idx="23">
                  <c:v>208855.22038679195</c:v>
                </c:pt>
                <c:pt idx="24">
                  <c:v>294464.72641389491</c:v>
                </c:pt>
                <c:pt idx="25">
                  <c:v>414503.77677664714</c:v>
                </c:pt>
                <c:pt idx="26">
                  <c:v>582216.70592313306</c:v>
                </c:pt>
                <c:pt idx="27">
                  <c:v>815382.16692605277</c:v>
                </c:pt>
                <c:pt idx="28">
                  <c:v>1137338.8145906287</c:v>
                </c:pt>
                <c:pt idx="29">
                  <c:v>1577726.1015191502</c:v>
                </c:pt>
                <c:pt idx="30">
                  <c:v>2172317.3918863884</c:v>
                </c:pt>
                <c:pt idx="31">
                  <c:v>2960840.1071471572</c:v>
                </c:pt>
                <c:pt idx="32">
                  <c:v>3981104.497604162</c:v>
                </c:pt>
                <c:pt idx="33">
                  <c:v>5257446.2864598297</c:v>
                </c:pt>
                <c:pt idx="34">
                  <c:v>6782276.1758903572</c:v>
                </c:pt>
                <c:pt idx="35">
                  <c:v>8492752.6773075946</c:v>
                </c:pt>
                <c:pt idx="36">
                  <c:v>10251072.34851956</c:v>
                </c:pt>
                <c:pt idx="37">
                  <c:v>11844293.409343503</c:v>
                </c:pt>
                <c:pt idx="38">
                  <c:v>13020106.892225156</c:v>
                </c:pt>
                <c:pt idx="39">
                  <c:v>13559133.781294314</c:v>
                </c:pt>
                <c:pt idx="40">
                  <c:v>13355317.728761358</c:v>
                </c:pt>
                <c:pt idx="41">
                  <c:v>12458436.157991573</c:v>
                </c:pt>
                <c:pt idx="42">
                  <c:v>11051304.779855674</c:v>
                </c:pt>
                <c:pt idx="43">
                  <c:v>9377745.033713663</c:v>
                </c:pt>
                <c:pt idx="44">
                  <c:v>7665309.3252397059</c:v>
                </c:pt>
                <c:pt idx="45">
                  <c:v>6077823.558347323</c:v>
                </c:pt>
                <c:pt idx="46">
                  <c:v>4704865.3321808502</c:v>
                </c:pt>
                <c:pt idx="47">
                  <c:v>3575406.058249082</c:v>
                </c:pt>
                <c:pt idx="48">
                  <c:v>2679427.9104065727</c:v>
                </c:pt>
                <c:pt idx="49">
                  <c:v>1987197.136883002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8A-4976-B012-6926204AA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820472"/>
        <c:axId val="635822112"/>
      </c:scatterChart>
      <c:valAx>
        <c:axId val="635820472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22112"/>
        <c:crosses val="autoZero"/>
        <c:crossBetween val="midCat"/>
      </c:valAx>
      <c:valAx>
        <c:axId val="6358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20472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EV MR &amp; PR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'Business as Usual PR'!$B$2</c:f>
              <c:strCache>
                <c:ptCount val="1"/>
                <c:pt idx="0">
                  <c:v>EV Market Ratio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'Business as Usual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'Business as Usual PR'!$B$3:$B$52</c:f>
              <c:numCache>
                <c:formatCode>0.000</c:formatCode>
                <c:ptCount val="50"/>
                <c:pt idx="0">
                  <c:v>1.0836394780857617E-3</c:v>
                </c:pt>
                <c:pt idx="1">
                  <c:v>1.2659286147514003E-3</c:v>
                </c:pt>
                <c:pt idx="2">
                  <c:v>1.3318029429257947E-3</c:v>
                </c:pt>
                <c:pt idx="3">
                  <c:v>1.4784792888210773E-3</c:v>
                </c:pt>
                <c:pt idx="4">
                  <c:v>2.0529919445546572E-3</c:v>
                </c:pt>
                <c:pt idx="5">
                  <c:v>2.9293115736664689E-3</c:v>
                </c:pt>
                <c:pt idx="6">
                  <c:v>4.2690613139991663E-3</c:v>
                </c:pt>
                <c:pt idx="7">
                  <c:v>4.7215795033988782E-3</c:v>
                </c:pt>
                <c:pt idx="8">
                  <c:v>5.1648227159495734E-3</c:v>
                </c:pt>
                <c:pt idx="9">
                  <c:v>5.455032817519855E-3</c:v>
                </c:pt>
                <c:pt idx="10">
                  <c:v>9.2187136637866592E-3</c:v>
                </c:pt>
                <c:pt idx="11">
                  <c:v>1.4475926782500006E-2</c:v>
                </c:pt>
                <c:pt idx="12">
                  <c:v>2.1617860645360358E-2</c:v>
                </c:pt>
                <c:pt idx="13">
                  <c:v>5.5197773916824566E-2</c:v>
                </c:pt>
                <c:pt idx="14">
                  <c:v>8.2172891322468522E-2</c:v>
                </c:pt>
                <c:pt idx="15">
                  <c:v>0.10975423442104723</c:v>
                </c:pt>
                <c:pt idx="16">
                  <c:v>0.13733557751962594</c:v>
                </c:pt>
                <c:pt idx="17">
                  <c:v>0.16533557751962594</c:v>
                </c:pt>
                <c:pt idx="18">
                  <c:v>0.19733557751962594</c:v>
                </c:pt>
                <c:pt idx="19">
                  <c:v>0.23333557751962594</c:v>
                </c:pt>
                <c:pt idx="20">
                  <c:v>0.27333557751962595</c:v>
                </c:pt>
                <c:pt idx="21">
                  <c:v>0.31733557751962593</c:v>
                </c:pt>
                <c:pt idx="22">
                  <c:v>0.36533557751962592</c:v>
                </c:pt>
                <c:pt idx="23">
                  <c:v>0.41733557751962591</c:v>
                </c:pt>
                <c:pt idx="24">
                  <c:v>0.47333557751962591</c:v>
                </c:pt>
                <c:pt idx="25">
                  <c:v>0.5333355775196259</c:v>
                </c:pt>
                <c:pt idx="26">
                  <c:v>0.59733557751962585</c:v>
                </c:pt>
                <c:pt idx="27">
                  <c:v>0.66533557751962591</c:v>
                </c:pt>
                <c:pt idx="28">
                  <c:v>0.73733557751962586</c:v>
                </c:pt>
                <c:pt idx="29">
                  <c:v>0.81333557751962582</c:v>
                </c:pt>
                <c:pt idx="30">
                  <c:v>0.89333557751962578</c:v>
                </c:pt>
                <c:pt idx="31">
                  <c:v>0.97733557751962574</c:v>
                </c:pt>
                <c:pt idx="32">
                  <c:v>1.0653355775196258</c:v>
                </c:pt>
                <c:pt idx="33">
                  <c:v>1.1573355775196259</c:v>
                </c:pt>
                <c:pt idx="34">
                  <c:v>1.253335577519626</c:v>
                </c:pt>
                <c:pt idx="35">
                  <c:v>1.3533355775196261</c:v>
                </c:pt>
                <c:pt idx="36">
                  <c:v>1.4573355775196262</c:v>
                </c:pt>
                <c:pt idx="37">
                  <c:v>1.5653355775196263</c:v>
                </c:pt>
                <c:pt idx="38">
                  <c:v>1.6773355775196264</c:v>
                </c:pt>
                <c:pt idx="39">
                  <c:v>1.7933355775196265</c:v>
                </c:pt>
                <c:pt idx="40">
                  <c:v>1.9133355775196264</c:v>
                </c:pt>
                <c:pt idx="41">
                  <c:v>2.0373355775196265</c:v>
                </c:pt>
                <c:pt idx="42">
                  <c:v>2.1653355775196266</c:v>
                </c:pt>
                <c:pt idx="43">
                  <c:v>2.2973355775196267</c:v>
                </c:pt>
                <c:pt idx="44">
                  <c:v>2.4333355775196268</c:v>
                </c:pt>
                <c:pt idx="45">
                  <c:v>2.5733355775196269</c:v>
                </c:pt>
                <c:pt idx="46">
                  <c:v>2.7173355775196271</c:v>
                </c:pt>
                <c:pt idx="47">
                  <c:v>2.8653355775196272</c:v>
                </c:pt>
                <c:pt idx="48">
                  <c:v>3.0173355775196273</c:v>
                </c:pt>
                <c:pt idx="49">
                  <c:v>3.1733355775196275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8E-A141-AE99-A61F496A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16480"/>
        <c:axId val="253517040"/>
      </c:scatterChart>
      <c:scatterChart>
        <c:scatterStyle val="lineMarker"/>
        <c:varyColors val="0"/>
        <c:ser>
          <c:idx val="1"/>
          <c:order val="1"/>
          <c:tx>
            <c:strRef>
              <c:f>'Business as Usual PR'!$C$2</c:f>
              <c:strCache>
                <c:ptCount val="1"/>
                <c:pt idx="0">
                  <c:v>EV PR (%)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'Business as Usual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'Business as Usual PR'!$C$3:$C$52</c:f>
              <c:numCache>
                <c:formatCode>#,##0.00</c:formatCode>
                <c:ptCount val="50"/>
                <c:pt idx="0">
                  <c:v>0</c:v>
                </c:pt>
                <c:pt idx="1">
                  <c:v>1.8228913666563863E-4</c:v>
                </c:pt>
                <c:pt idx="2">
                  <c:v>6.5874328174394398E-5</c:v>
                </c:pt>
                <c:pt idx="3">
                  <c:v>1.4667634589528257E-4</c:v>
                </c:pt>
                <c:pt idx="4">
                  <c:v>5.7451265573357996E-4</c:v>
                </c:pt>
                <c:pt idx="5">
                  <c:v>8.7631962911181166E-4</c:v>
                </c:pt>
                <c:pt idx="6">
                  <c:v>1.3397497403326974E-3</c:v>
                </c:pt>
                <c:pt idx="7">
                  <c:v>4.525181893997119E-4</c:v>
                </c:pt>
                <c:pt idx="8">
                  <c:v>4.4324321255069521E-4</c:v>
                </c:pt>
                <c:pt idx="9">
                  <c:v>2.9021010157028165E-4</c:v>
                </c:pt>
                <c:pt idx="10">
                  <c:v>3.7636808462668042E-3</c:v>
                </c:pt>
                <c:pt idx="11">
                  <c:v>5.2572131187133466E-3</c:v>
                </c:pt>
                <c:pt idx="12">
                  <c:v>7.1419338628603522E-3</c:v>
                </c:pt>
                <c:pt idx="13">
                  <c:v>3.3579913271464208E-2</c:v>
                </c:pt>
                <c:pt idx="14">
                  <c:v>2.6975117405643956E-2</c:v>
                </c:pt>
                <c:pt idx="15">
                  <c:v>2.7581343098578709E-2</c:v>
                </c:pt>
                <c:pt idx="16">
                  <c:v>2.8000000000000001E-2</c:v>
                </c:pt>
                <c:pt idx="17">
                  <c:v>3.2000000000000001E-2</c:v>
                </c:pt>
                <c:pt idx="18">
                  <c:v>3.5999999999999997E-2</c:v>
                </c:pt>
                <c:pt idx="19">
                  <c:v>0.04</c:v>
                </c:pt>
                <c:pt idx="20">
                  <c:v>4.3999999999999997E-2</c:v>
                </c:pt>
                <c:pt idx="21">
                  <c:v>4.8000000000000001E-2</c:v>
                </c:pt>
                <c:pt idx="22">
                  <c:v>5.1999999999999998E-2</c:v>
                </c:pt>
                <c:pt idx="23">
                  <c:v>5.6000000000000001E-2</c:v>
                </c:pt>
                <c:pt idx="24">
                  <c:v>0.06</c:v>
                </c:pt>
                <c:pt idx="25">
                  <c:v>6.4000000000000001E-2</c:v>
                </c:pt>
                <c:pt idx="26">
                  <c:v>6.8000000000000005E-2</c:v>
                </c:pt>
                <c:pt idx="27">
                  <c:v>7.1999999999999995E-2</c:v>
                </c:pt>
                <c:pt idx="28">
                  <c:v>7.5999999999999998E-2</c:v>
                </c:pt>
                <c:pt idx="29">
                  <c:v>0.08</c:v>
                </c:pt>
                <c:pt idx="30">
                  <c:v>8.4000000000000005E-2</c:v>
                </c:pt>
                <c:pt idx="31">
                  <c:v>8.7999999999999995E-2</c:v>
                </c:pt>
                <c:pt idx="32">
                  <c:v>9.1999999999999998E-2</c:v>
                </c:pt>
                <c:pt idx="33">
                  <c:v>9.6000000000000002E-2</c:v>
                </c:pt>
                <c:pt idx="34">
                  <c:v>0.1</c:v>
                </c:pt>
                <c:pt idx="35">
                  <c:v>0.104</c:v>
                </c:pt>
                <c:pt idx="36">
                  <c:v>0.108</c:v>
                </c:pt>
                <c:pt idx="37">
                  <c:v>0.112</c:v>
                </c:pt>
                <c:pt idx="38">
                  <c:v>0.11600000000000001</c:v>
                </c:pt>
                <c:pt idx="39">
                  <c:v>0.12</c:v>
                </c:pt>
                <c:pt idx="40">
                  <c:v>0.124</c:v>
                </c:pt>
                <c:pt idx="41">
                  <c:v>0.128</c:v>
                </c:pt>
                <c:pt idx="42">
                  <c:v>0.13200000000000001</c:v>
                </c:pt>
                <c:pt idx="43">
                  <c:v>0.13600000000000001</c:v>
                </c:pt>
                <c:pt idx="44">
                  <c:v>0.14000000000000001</c:v>
                </c:pt>
                <c:pt idx="45">
                  <c:v>0.14399999999999999</c:v>
                </c:pt>
                <c:pt idx="46">
                  <c:v>0.14799999999999999</c:v>
                </c:pt>
                <c:pt idx="47">
                  <c:v>0.152</c:v>
                </c:pt>
                <c:pt idx="48">
                  <c:v>0.156</c:v>
                </c:pt>
                <c:pt idx="49">
                  <c:v>0.16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8E-A141-AE99-A61F496A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18160"/>
        <c:axId val="253517600"/>
      </c:scatterChart>
      <c:valAx>
        <c:axId val="253516480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(years)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517040"/>
        <c:crosses val="autoZero"/>
        <c:crossBetween val="midCat"/>
      </c:valAx>
      <c:valAx>
        <c:axId val="25351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516480"/>
        <c:crosses val="autoZero"/>
        <c:crossBetween val="midCat"/>
      </c:valAx>
      <c:valAx>
        <c:axId val="2535176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518160"/>
        <c:crosses val="max"/>
        <c:crossBetween val="midCat"/>
      </c:valAx>
      <c:valAx>
        <c:axId val="25351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51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'Intermediate Limit PR'!$C$19:$C$361</c:f>
              <c:numCache>
                <c:formatCode>#,##0.00</c:formatCode>
                <c:ptCount val="343"/>
                <c:pt idx="0">
                  <c:v>2.7581343098578709E-2</c:v>
                </c:pt>
                <c:pt idx="1">
                  <c:v>2.7581343098578709E-2</c:v>
                </c:pt>
                <c:pt idx="2">
                  <c:v>2.7581343098578709E-2</c:v>
                </c:pt>
                <c:pt idx="3">
                  <c:v>2.7581343098578709E-2</c:v>
                </c:pt>
                <c:pt idx="4">
                  <c:v>2.7581343098578709E-2</c:v>
                </c:pt>
                <c:pt idx="5">
                  <c:v>2.7581343098578681E-2</c:v>
                </c:pt>
                <c:pt idx="6">
                  <c:v>2.7581343098578681E-2</c:v>
                </c:pt>
                <c:pt idx="7">
                  <c:v>2.7581343098578681E-2</c:v>
                </c:pt>
                <c:pt idx="8">
                  <c:v>2.7581343098578681E-2</c:v>
                </c:pt>
                <c:pt idx="9">
                  <c:v>2.7581343098578681E-2</c:v>
                </c:pt>
                <c:pt idx="10">
                  <c:v>2.7581343098578681E-2</c:v>
                </c:pt>
                <c:pt idx="11">
                  <c:v>2.7581343098578681E-2</c:v>
                </c:pt>
                <c:pt idx="12">
                  <c:v>2.7581343098578681E-2</c:v>
                </c:pt>
                <c:pt idx="13">
                  <c:v>2.7581343098578681E-2</c:v>
                </c:pt>
                <c:pt idx="14">
                  <c:v>0.14912545091962126</c:v>
                </c:pt>
                <c:pt idx="15">
                  <c:v>0.2381670864227341</c:v>
                </c:pt>
                <c:pt idx="16">
                  <c:v>0.3168144248565119</c:v>
                </c:pt>
                <c:pt idx="17">
                  <c:v>0.41396190950196909</c:v>
                </c:pt>
                <c:pt idx="18">
                  <c:v>0.52843760806464135</c:v>
                </c:pt>
                <c:pt idx="19">
                  <c:v>0.65485774442108724</c:v>
                </c:pt>
                <c:pt idx="20">
                  <c:v>0.7823382900567184</c:v>
                </c:pt>
                <c:pt idx="21">
                  <c:v>0.89476058825262816</c:v>
                </c:pt>
                <c:pt idx="22">
                  <c:v>0.97370931314510933</c:v>
                </c:pt>
                <c:pt idx="23">
                  <c:v>1.0039396249664128</c:v>
                </c:pt>
                <c:pt idx="24">
                  <c:v>0.97911493543029327</c:v>
                </c:pt>
                <c:pt idx="25">
                  <c:v>0.90445896127955638</c:v>
                </c:pt>
                <c:pt idx="26">
                  <c:v>0.79455880129365575</c:v>
                </c:pt>
                <c:pt idx="27">
                  <c:v>0.66778788012964618</c:v>
                </c:pt>
                <c:pt idx="28">
                  <c:v>0.54067604254066737</c:v>
                </c:pt>
                <c:pt idx="29">
                  <c:v>0.42468000546917573</c:v>
                </c:pt>
                <c:pt idx="30">
                  <c:v>0.32569075864523711</c:v>
                </c:pt>
                <c:pt idx="31">
                  <c:v>0.24522550833754941</c:v>
                </c:pt>
                <c:pt idx="32">
                  <c:v>0.18209633893091315</c:v>
                </c:pt>
                <c:pt idx="33">
                  <c:v>0.13383050577284195</c:v>
                </c:pt>
                <c:pt idx="43" formatCode="General">
                  <c:v>12</c:v>
                </c:pt>
                <c:pt idx="44" formatCode="General">
                  <c:v>2033</c:v>
                </c:pt>
                <c:pt idx="45" formatCode="General">
                  <c:v>13.1</c:v>
                </c:pt>
                <c:pt idx="47" formatCode="General">
                  <c:v>0</c:v>
                </c:pt>
                <c:pt idx="48">
                  <c:v>0</c:v>
                </c:pt>
                <c:pt idx="49">
                  <c:v>1.8228913666563863E-4</c:v>
                </c:pt>
                <c:pt idx="50">
                  <c:v>6.5874328174394398E-5</c:v>
                </c:pt>
                <c:pt idx="51">
                  <c:v>1.4667634589528257E-4</c:v>
                </c:pt>
                <c:pt idx="52">
                  <c:v>5.7451265573357996E-4</c:v>
                </c:pt>
                <c:pt idx="53">
                  <c:v>8.7631962911181166E-4</c:v>
                </c:pt>
                <c:pt idx="54">
                  <c:v>1.3397497403326974E-3</c:v>
                </c:pt>
                <c:pt idx="55">
                  <c:v>4.525181893997119E-4</c:v>
                </c:pt>
                <c:pt idx="56">
                  <c:v>4.4324321255069521E-4</c:v>
                </c:pt>
                <c:pt idx="57">
                  <c:v>2.9021010157028165E-4</c:v>
                </c:pt>
                <c:pt idx="58">
                  <c:v>3.7636808462668042E-3</c:v>
                </c:pt>
                <c:pt idx="59">
                  <c:v>5.2572131187133466E-3</c:v>
                </c:pt>
                <c:pt idx="60">
                  <c:v>7.1419338628603522E-3</c:v>
                </c:pt>
                <c:pt idx="61">
                  <c:v>3.3579913271464208E-2</c:v>
                </c:pt>
                <c:pt idx="62">
                  <c:v>2.6975117405643956E-2</c:v>
                </c:pt>
                <c:pt idx="63">
                  <c:v>2.7581343098578709E-2</c:v>
                </c:pt>
                <c:pt idx="64">
                  <c:v>2.7581343098578709E-2</c:v>
                </c:pt>
                <c:pt idx="65">
                  <c:v>2.7581343098578709E-2</c:v>
                </c:pt>
                <c:pt idx="66">
                  <c:v>2.7581343098578709E-2</c:v>
                </c:pt>
                <c:pt idx="67">
                  <c:v>2.7581343098578709E-2</c:v>
                </c:pt>
                <c:pt idx="68">
                  <c:v>2.7581343098578709E-2</c:v>
                </c:pt>
                <c:pt idx="69">
                  <c:v>2.7581343098578681E-2</c:v>
                </c:pt>
                <c:pt idx="70">
                  <c:v>2.7581343098578681E-2</c:v>
                </c:pt>
                <c:pt idx="71">
                  <c:v>2.7581343098578681E-2</c:v>
                </c:pt>
                <c:pt idx="72">
                  <c:v>2.7581343098578681E-2</c:v>
                </c:pt>
                <c:pt idx="73">
                  <c:v>2.7581343098578681E-2</c:v>
                </c:pt>
                <c:pt idx="74">
                  <c:v>2.7581343098578681E-2</c:v>
                </c:pt>
                <c:pt idx="75">
                  <c:v>2.7581343098578681E-2</c:v>
                </c:pt>
                <c:pt idx="76">
                  <c:v>2.7581343098578681E-2</c:v>
                </c:pt>
                <c:pt idx="77">
                  <c:v>2.7581343098578681E-2</c:v>
                </c:pt>
                <c:pt idx="78">
                  <c:v>0.14912545091962126</c:v>
                </c:pt>
                <c:pt idx="79">
                  <c:v>0.2381670864227341</c:v>
                </c:pt>
                <c:pt idx="80">
                  <c:v>0.3168144248565119</c:v>
                </c:pt>
                <c:pt idx="81">
                  <c:v>0.41396190950196909</c:v>
                </c:pt>
                <c:pt idx="82">
                  <c:v>0.52843760806464135</c:v>
                </c:pt>
                <c:pt idx="83">
                  <c:v>0.65485774442108724</c:v>
                </c:pt>
                <c:pt idx="84">
                  <c:v>0.7823382900567184</c:v>
                </c:pt>
                <c:pt idx="85">
                  <c:v>0.89476058825262816</c:v>
                </c:pt>
                <c:pt idx="86">
                  <c:v>0.97370931314510933</c:v>
                </c:pt>
                <c:pt idx="87">
                  <c:v>1.0039396249664128</c:v>
                </c:pt>
                <c:pt idx="88">
                  <c:v>0.97911493543029327</c:v>
                </c:pt>
                <c:pt idx="89">
                  <c:v>0.90445896127955638</c:v>
                </c:pt>
                <c:pt idx="90">
                  <c:v>0.79455880129365575</c:v>
                </c:pt>
                <c:pt idx="91">
                  <c:v>0.66778788012964618</c:v>
                </c:pt>
                <c:pt idx="92">
                  <c:v>0.54067604254066737</c:v>
                </c:pt>
                <c:pt idx="93">
                  <c:v>0.42468000546917573</c:v>
                </c:pt>
                <c:pt idx="94">
                  <c:v>0.32569075864523711</c:v>
                </c:pt>
                <c:pt idx="95">
                  <c:v>0.24522550833754941</c:v>
                </c:pt>
                <c:pt idx="96">
                  <c:v>0.18209633893091315</c:v>
                </c:pt>
                <c:pt idx="97">
                  <c:v>0.13383050577284195</c:v>
                </c:pt>
                <c:pt idx="100" formatCode="General">
                  <c:v>2001</c:v>
                </c:pt>
                <c:pt idx="101" formatCode="General">
                  <c:v>88</c:v>
                </c:pt>
                <c:pt idx="102" formatCode="General">
                  <c:v>2033</c:v>
                </c:pt>
                <c:pt idx="103" formatCode="General">
                  <c:v>13.1</c:v>
                </c:pt>
                <c:pt idx="105" formatCode="General">
                  <c:v>0</c:v>
                </c:pt>
                <c:pt idx="106">
                  <c:v>0</c:v>
                </c:pt>
                <c:pt idx="107">
                  <c:v>1.1207979916186563E-3</c:v>
                </c:pt>
                <c:pt idx="108">
                  <c:v>1.4230709412822945E-3</c:v>
                </c:pt>
                <c:pt idx="109">
                  <c:v>5.6057783697342264E-3</c:v>
                </c:pt>
                <c:pt idx="110">
                  <c:v>1.9000290850302713E-2</c:v>
                </c:pt>
                <c:pt idx="111">
                  <c:v>3.1076782596975744E-2</c:v>
                </c:pt>
                <c:pt idx="112">
                  <c:v>5.3362430901691578E-2</c:v>
                </c:pt>
                <c:pt idx="113">
                  <c:v>5.2781054585441356E-2</c:v>
                </c:pt>
                <c:pt idx="114">
                  <c:v>5.0451866961117975E-2</c:v>
                </c:pt>
                <c:pt idx="115">
                  <c:v>7.320118024028846E-2</c:v>
                </c:pt>
                <c:pt idx="116">
                  <c:v>7.1104350722910659E-2</c:v>
                </c:pt>
                <c:pt idx="117">
                  <c:v>7.753249598661649E-2</c:v>
                </c:pt>
                <c:pt idx="118">
                  <c:v>9.1826203379740567E-2</c:v>
                </c:pt>
                <c:pt idx="119">
                  <c:v>0.11002372932186311</c:v>
                </c:pt>
                <c:pt idx="120">
                  <c:v>0.17785550508468317</c:v>
                </c:pt>
                <c:pt idx="121">
                  <c:v>0.22721114799953412</c:v>
                </c:pt>
                <c:pt idx="122">
                  <c:v>0.22721114799953424</c:v>
                </c:pt>
                <c:pt idx="123">
                  <c:v>0.22721114799953424</c:v>
                </c:pt>
                <c:pt idx="124">
                  <c:v>0.22721114799953424</c:v>
                </c:pt>
                <c:pt idx="125">
                  <c:v>0.22721114799953424</c:v>
                </c:pt>
                <c:pt idx="126">
                  <c:v>0.22721114799953424</c:v>
                </c:pt>
                <c:pt idx="127">
                  <c:v>0.22721114799953446</c:v>
                </c:pt>
                <c:pt idx="128">
                  <c:v>0.22721114799953446</c:v>
                </c:pt>
                <c:pt idx="129">
                  <c:v>0.22721114799953446</c:v>
                </c:pt>
                <c:pt idx="130">
                  <c:v>0.22721114799953446</c:v>
                </c:pt>
                <c:pt idx="131">
                  <c:v>0.22721114799953446</c:v>
                </c:pt>
                <c:pt idx="132">
                  <c:v>0.22721114799953446</c:v>
                </c:pt>
                <c:pt idx="133">
                  <c:v>0.22721114799953446</c:v>
                </c:pt>
                <c:pt idx="134">
                  <c:v>0.22721114799953446</c:v>
                </c:pt>
                <c:pt idx="135">
                  <c:v>0.22721114799953446</c:v>
                </c:pt>
                <c:pt idx="136">
                  <c:v>0.50339570738216644</c:v>
                </c:pt>
                <c:pt idx="137">
                  <c:v>1.7465586337667167</c:v>
                </c:pt>
                <c:pt idx="138">
                  <c:v>2.3233057822810865</c:v>
                </c:pt>
                <c:pt idx="139">
                  <c:v>3.0357206696811083</c:v>
                </c:pt>
                <c:pt idx="140">
                  <c:v>3.8752091258073698</c:v>
                </c:pt>
                <c:pt idx="141">
                  <c:v>4.802290125754638</c:v>
                </c:pt>
                <c:pt idx="142">
                  <c:v>5.7371474604159332</c:v>
                </c:pt>
                <c:pt idx="143">
                  <c:v>6.5615776471859419</c:v>
                </c:pt>
                <c:pt idx="144">
                  <c:v>7.1405349630641339</c:v>
                </c:pt>
                <c:pt idx="145">
                  <c:v>7.362223916420362</c:v>
                </c:pt>
                <c:pt idx="146">
                  <c:v>7.1801761931554822</c:v>
                </c:pt>
                <c:pt idx="147">
                  <c:v>6.6326990493834188</c:v>
                </c:pt>
                <c:pt idx="148">
                  <c:v>5.8267645428201362</c:v>
                </c:pt>
                <c:pt idx="149">
                  <c:v>4.8971111209507399</c:v>
                </c:pt>
                <c:pt idx="150">
                  <c:v>3.9649576452982274</c:v>
                </c:pt>
                <c:pt idx="151">
                  <c:v>3.1143200401073017</c:v>
                </c:pt>
                <c:pt idx="152">
                  <c:v>2.3883988967317293</c:v>
                </c:pt>
                <c:pt idx="153">
                  <c:v>1.7983203944753541</c:v>
                </c:pt>
                <c:pt idx="154">
                  <c:v>1.3353731521600452</c:v>
                </c:pt>
                <c:pt idx="155">
                  <c:v>0.9814237090008362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C-0744-8E18-FDF71FCB3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676240"/>
        <c:axId val="253676800"/>
      </c:lineChart>
      <c:catAx>
        <c:axId val="253676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676800"/>
        <c:crosses val="autoZero"/>
        <c:auto val="1"/>
        <c:lblAlgn val="ctr"/>
        <c:lblOffset val="100"/>
        <c:noMultiLvlLbl val="0"/>
      </c:catAx>
      <c:valAx>
        <c:axId val="25367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67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EV MR, PR &amp; NSR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'Intermediate Limit PR'!$B$2</c:f>
              <c:strCache>
                <c:ptCount val="1"/>
                <c:pt idx="0">
                  <c:v>EV Market Ratio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'Intermediate Limit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'Intermediate Limit PR'!$B$3:$B$52</c:f>
              <c:numCache>
                <c:formatCode>0.000</c:formatCode>
                <c:ptCount val="50"/>
                <c:pt idx="0">
                  <c:v>1.0836394780857617E-3</c:v>
                </c:pt>
                <c:pt idx="1">
                  <c:v>1.2659286147514003E-3</c:v>
                </c:pt>
                <c:pt idx="2">
                  <c:v>1.3318029429257947E-3</c:v>
                </c:pt>
                <c:pt idx="3">
                  <c:v>1.4784792888210773E-3</c:v>
                </c:pt>
                <c:pt idx="4">
                  <c:v>2.0529919445546572E-3</c:v>
                </c:pt>
                <c:pt idx="5">
                  <c:v>2.9293115736664689E-3</c:v>
                </c:pt>
                <c:pt idx="6">
                  <c:v>4.2690613139991663E-3</c:v>
                </c:pt>
                <c:pt idx="7">
                  <c:v>4.7215795033988782E-3</c:v>
                </c:pt>
                <c:pt idx="8">
                  <c:v>5.1648227159495734E-3</c:v>
                </c:pt>
                <c:pt idx="9">
                  <c:v>5.455032817519855E-3</c:v>
                </c:pt>
                <c:pt idx="10">
                  <c:v>9.2187136637866592E-3</c:v>
                </c:pt>
                <c:pt idx="11">
                  <c:v>1.4475926782500006E-2</c:v>
                </c:pt>
                <c:pt idx="12">
                  <c:v>2.1617860645360358E-2</c:v>
                </c:pt>
                <c:pt idx="13">
                  <c:v>5.5197773916824566E-2</c:v>
                </c:pt>
                <c:pt idx="14">
                  <c:v>8.2172891322468522E-2</c:v>
                </c:pt>
                <c:pt idx="15">
                  <c:v>0.10975423442104723</c:v>
                </c:pt>
                <c:pt idx="16">
                  <c:v>0.13733557751962594</c:v>
                </c:pt>
                <c:pt idx="17">
                  <c:v>0.16491692061820465</c:v>
                </c:pt>
                <c:pt idx="18">
                  <c:v>0.19249826371678336</c:v>
                </c:pt>
                <c:pt idx="19">
                  <c:v>0.22007960681536207</c:v>
                </c:pt>
                <c:pt idx="20">
                  <c:v>0.24766094991394078</c:v>
                </c:pt>
                <c:pt idx="21">
                  <c:v>0.27524229301251946</c:v>
                </c:pt>
                <c:pt idx="22">
                  <c:v>0.30282363611109814</c:v>
                </c:pt>
                <c:pt idx="23">
                  <c:v>0.33040497920967682</c:v>
                </c:pt>
                <c:pt idx="24">
                  <c:v>0.3579863223082555</c:v>
                </c:pt>
                <c:pt idx="25">
                  <c:v>0.38556766540683418</c:v>
                </c:pt>
                <c:pt idx="26">
                  <c:v>0.41314900850541286</c:v>
                </c:pt>
                <c:pt idx="27">
                  <c:v>0.44073035160399154</c:v>
                </c:pt>
                <c:pt idx="28">
                  <c:v>0.46831169470257022</c:v>
                </c:pt>
                <c:pt idx="29">
                  <c:v>0.49589303780114891</c:v>
                </c:pt>
                <c:pt idx="30">
                  <c:v>0.64501848872077017</c:v>
                </c:pt>
                <c:pt idx="31">
                  <c:v>0.88318557514350426</c:v>
                </c:pt>
                <c:pt idx="32">
                  <c:v>1.2000000000000162</c:v>
                </c:pt>
                <c:pt idx="33">
                  <c:v>1.6139619095019853</c:v>
                </c:pt>
                <c:pt idx="34">
                  <c:v>2.1423995175666266</c:v>
                </c:pt>
                <c:pt idx="35">
                  <c:v>2.7972572619877139</c:v>
                </c:pt>
                <c:pt idx="36">
                  <c:v>3.5795955520444322</c:v>
                </c:pt>
                <c:pt idx="37">
                  <c:v>4.4743561402970604</c:v>
                </c:pt>
                <c:pt idx="38">
                  <c:v>5.4480654534421697</c:v>
                </c:pt>
                <c:pt idx="39">
                  <c:v>6.4520050784085825</c:v>
                </c:pt>
                <c:pt idx="40">
                  <c:v>7.4311200138388758</c:v>
                </c:pt>
                <c:pt idx="41">
                  <c:v>8.3355789751184322</c:v>
                </c:pt>
                <c:pt idx="42">
                  <c:v>9.1301377764120879</c:v>
                </c:pt>
                <c:pt idx="43">
                  <c:v>9.7979256565417341</c:v>
                </c:pt>
                <c:pt idx="44">
                  <c:v>10.338601699082401</c:v>
                </c:pt>
                <c:pt idx="45">
                  <c:v>10.763281704551577</c:v>
                </c:pt>
                <c:pt idx="46">
                  <c:v>11.088972463196814</c:v>
                </c:pt>
                <c:pt idx="47">
                  <c:v>11.334197971534364</c:v>
                </c:pt>
                <c:pt idx="48">
                  <c:v>11.516294310465277</c:v>
                </c:pt>
                <c:pt idx="49">
                  <c:v>11.650124816238119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A4-A94C-BE02-0A6491B2A25A}"/>
            </c:ext>
          </c:extLst>
        </c:ser>
        <c:ser>
          <c:idx val="2"/>
          <c:order val="2"/>
          <c:tx>
            <c:strRef>
              <c:f>'Intermediate Limit PR'!$E$2</c:f>
              <c:strCache>
                <c:ptCount val="1"/>
                <c:pt idx="0">
                  <c:v>EV New Sales Ratio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'Intermediate Limit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'Intermediate Limit PR'!$E$3:$E$52</c:f>
              <c:numCache>
                <c:formatCode>0.00</c:formatCode>
                <c:ptCount val="50"/>
                <c:pt idx="0">
                  <c:v>1.9742220790803693E-3</c:v>
                </c:pt>
                <c:pt idx="1">
                  <c:v>2.015415690682957E-3</c:v>
                </c:pt>
                <c:pt idx="2">
                  <c:v>8.7040600655831867E-4</c:v>
                </c:pt>
                <c:pt idx="3">
                  <c:v>1.9262827020198631E-3</c:v>
                </c:pt>
                <c:pt idx="4">
                  <c:v>6.7691335714153813E-3</c:v>
                </c:pt>
                <c:pt idx="5">
                  <c:v>1.0424415267521388E-2</c:v>
                </c:pt>
                <c:pt idx="6">
                  <c:v>1.6217682581619167E-2</c:v>
                </c:pt>
                <c:pt idx="7">
                  <c:v>6.3438550700995978E-3</c:v>
                </c:pt>
                <c:pt idx="8">
                  <c:v>6.5522547434741134E-3</c:v>
                </c:pt>
                <c:pt idx="9">
                  <c:v>4.5586331394394629E-3</c:v>
                </c:pt>
                <c:pt idx="10">
                  <c:v>5.6627215135122512E-2</c:v>
                </c:pt>
                <c:pt idx="11">
                  <c:v>7.6645524520776623E-2</c:v>
                </c:pt>
                <c:pt idx="12">
                  <c:v>9.6689159155001411E-2</c:v>
                </c:pt>
                <c:pt idx="13">
                  <c:v>0.41564682923651364</c:v>
                </c:pt>
                <c:pt idx="14">
                  <c:v>0.33058209225583407</c:v>
                </c:pt>
                <c:pt idx="15">
                  <c:v>0.34142267826006256</c:v>
                </c:pt>
                <c:pt idx="16">
                  <c:v>0.3294344528854305</c:v>
                </c:pt>
                <c:pt idx="17">
                  <c:v>0.32943445288543044</c:v>
                </c:pt>
                <c:pt idx="18">
                  <c:v>0.32943445288543044</c:v>
                </c:pt>
                <c:pt idx="19">
                  <c:v>0.32943445288543044</c:v>
                </c:pt>
                <c:pt idx="20">
                  <c:v>0.32943445288543044</c:v>
                </c:pt>
                <c:pt idx="21">
                  <c:v>0.32943445288543011</c:v>
                </c:pt>
                <c:pt idx="22">
                  <c:v>0.32943445288543016</c:v>
                </c:pt>
                <c:pt idx="23">
                  <c:v>0.32943445288543011</c:v>
                </c:pt>
                <c:pt idx="24">
                  <c:v>0.32943445288543011</c:v>
                </c:pt>
                <c:pt idx="25">
                  <c:v>0.32943445288543011</c:v>
                </c:pt>
                <c:pt idx="26">
                  <c:v>0.32943445288543016</c:v>
                </c:pt>
                <c:pt idx="27">
                  <c:v>0.32943445288543011</c:v>
                </c:pt>
                <c:pt idx="28">
                  <c:v>0.32943445288543011</c:v>
                </c:pt>
                <c:pt idx="29">
                  <c:v>0.32943445288543011</c:v>
                </c:pt>
                <c:pt idx="30">
                  <c:v>1.781170016246602</c:v>
                </c:pt>
                <c:pt idx="31">
                  <c:v>2.8446926435222646</c:v>
                </c:pt>
                <c:pt idx="32">
                  <c:v>3.7840646971320107</c:v>
                </c:pt>
                <c:pt idx="33">
                  <c:v>4.9444044361718085</c:v>
                </c:pt>
                <c:pt idx="34">
                  <c:v>6.3117141784814477</c:v>
                </c:pt>
                <c:pt idx="35">
                  <c:v>7.8216895377464333</c:v>
                </c:pt>
                <c:pt idx="36">
                  <c:v>9.344330536587945</c:v>
                </c:pt>
                <c:pt idx="37">
                  <c:v>10.687114249691486</c:v>
                </c:pt>
                <c:pt idx="38">
                  <c:v>11.630086094753562</c:v>
                </c:pt>
                <c:pt idx="39">
                  <c:v>11.991160107712714</c:v>
                </c:pt>
                <c:pt idx="40">
                  <c:v>12.000000000000002</c:v>
                </c:pt>
                <c:pt idx="41">
                  <c:v>12.000000000000002</c:v>
                </c:pt>
                <c:pt idx="42">
                  <c:v>12.000000000000002</c:v>
                </c:pt>
                <c:pt idx="43">
                  <c:v>12.000000000000002</c:v>
                </c:pt>
                <c:pt idx="44">
                  <c:v>12</c:v>
                </c:pt>
                <c:pt idx="45">
                  <c:v>12.000000000000002</c:v>
                </c:pt>
                <c:pt idx="46">
                  <c:v>12.000000000000002</c:v>
                </c:pt>
                <c:pt idx="47">
                  <c:v>12.000000000000002</c:v>
                </c:pt>
                <c:pt idx="48">
                  <c:v>12.000000000000002</c:v>
                </c:pt>
                <c:pt idx="49">
                  <c:v>12.000000000000002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A4-A94C-BE02-0A6491B2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80160"/>
        <c:axId val="253680720"/>
      </c:scatterChart>
      <c:scatterChart>
        <c:scatterStyle val="lineMarker"/>
        <c:varyColors val="0"/>
        <c:ser>
          <c:idx val="1"/>
          <c:order val="1"/>
          <c:tx>
            <c:strRef>
              <c:f>'Intermediate Limit PR'!$C$2</c:f>
              <c:strCache>
                <c:ptCount val="1"/>
                <c:pt idx="0">
                  <c:v>EV PR (%)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'Intermediate Limit PR'!$A$3:$A$52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'Intermediate Limit PR'!$C$3:$C$52</c:f>
              <c:numCache>
                <c:formatCode>#,##0.00</c:formatCode>
                <c:ptCount val="50"/>
                <c:pt idx="0">
                  <c:v>0</c:v>
                </c:pt>
                <c:pt idx="1">
                  <c:v>1.8228913666563863E-4</c:v>
                </c:pt>
                <c:pt idx="2">
                  <c:v>6.5874328174394398E-5</c:v>
                </c:pt>
                <c:pt idx="3">
                  <c:v>1.4667634589528257E-4</c:v>
                </c:pt>
                <c:pt idx="4">
                  <c:v>5.7451265573357996E-4</c:v>
                </c:pt>
                <c:pt idx="5">
                  <c:v>8.7631962911181166E-4</c:v>
                </c:pt>
                <c:pt idx="6">
                  <c:v>1.3397497403326974E-3</c:v>
                </c:pt>
                <c:pt idx="7">
                  <c:v>4.525181893997119E-4</c:v>
                </c:pt>
                <c:pt idx="8">
                  <c:v>4.4324321255069521E-4</c:v>
                </c:pt>
                <c:pt idx="9">
                  <c:v>2.9021010157028165E-4</c:v>
                </c:pt>
                <c:pt idx="10">
                  <c:v>3.7636808462668042E-3</c:v>
                </c:pt>
                <c:pt idx="11">
                  <c:v>5.2572131187133466E-3</c:v>
                </c:pt>
                <c:pt idx="12">
                  <c:v>7.1419338628603522E-3</c:v>
                </c:pt>
                <c:pt idx="13">
                  <c:v>3.3579913271464208E-2</c:v>
                </c:pt>
                <c:pt idx="14">
                  <c:v>2.6975117405643956E-2</c:v>
                </c:pt>
                <c:pt idx="15">
                  <c:v>2.7581343098578709E-2</c:v>
                </c:pt>
                <c:pt idx="16">
                  <c:v>2.7581343098578709E-2</c:v>
                </c:pt>
                <c:pt idx="17">
                  <c:v>2.7581343098578709E-2</c:v>
                </c:pt>
                <c:pt idx="18">
                  <c:v>2.7581343098578709E-2</c:v>
                </c:pt>
                <c:pt idx="19">
                  <c:v>2.7581343098578709E-2</c:v>
                </c:pt>
                <c:pt idx="20">
                  <c:v>2.7581343098578709E-2</c:v>
                </c:pt>
                <c:pt idx="21">
                  <c:v>2.7581343098578681E-2</c:v>
                </c:pt>
                <c:pt idx="22">
                  <c:v>2.7581343098578681E-2</c:v>
                </c:pt>
                <c:pt idx="23">
                  <c:v>2.7581343098578681E-2</c:v>
                </c:pt>
                <c:pt idx="24">
                  <c:v>2.7581343098578681E-2</c:v>
                </c:pt>
                <c:pt idx="25">
                  <c:v>2.7581343098578681E-2</c:v>
                </c:pt>
                <c:pt idx="26">
                  <c:v>2.7581343098578681E-2</c:v>
                </c:pt>
                <c:pt idx="27">
                  <c:v>2.7581343098578681E-2</c:v>
                </c:pt>
                <c:pt idx="28">
                  <c:v>2.7581343098578681E-2</c:v>
                </c:pt>
                <c:pt idx="29">
                  <c:v>2.7581343098578681E-2</c:v>
                </c:pt>
                <c:pt idx="30">
                  <c:v>0.14912545091962126</c:v>
                </c:pt>
                <c:pt idx="31">
                  <c:v>0.2381670864227341</c:v>
                </c:pt>
                <c:pt idx="32">
                  <c:v>0.3168144248565119</c:v>
                </c:pt>
                <c:pt idx="33">
                  <c:v>0.41396190950196909</c:v>
                </c:pt>
                <c:pt idx="34">
                  <c:v>0.52843760806464135</c:v>
                </c:pt>
                <c:pt idx="35">
                  <c:v>0.65485774442108724</c:v>
                </c:pt>
                <c:pt idx="36">
                  <c:v>0.7823382900567184</c:v>
                </c:pt>
                <c:pt idx="37">
                  <c:v>0.89476058825262816</c:v>
                </c:pt>
                <c:pt idx="38">
                  <c:v>0.97370931314510933</c:v>
                </c:pt>
                <c:pt idx="39">
                  <c:v>1.0039396249664128</c:v>
                </c:pt>
                <c:pt idx="40">
                  <c:v>0.97911493543029327</c:v>
                </c:pt>
                <c:pt idx="41">
                  <c:v>0.90445896127955638</c:v>
                </c:pt>
                <c:pt idx="42">
                  <c:v>0.79455880129365575</c:v>
                </c:pt>
                <c:pt idx="43">
                  <c:v>0.66778788012964618</c:v>
                </c:pt>
                <c:pt idx="44">
                  <c:v>0.54067604254066737</c:v>
                </c:pt>
                <c:pt idx="45">
                  <c:v>0.42468000546917573</c:v>
                </c:pt>
                <c:pt idx="46">
                  <c:v>0.32569075864523711</c:v>
                </c:pt>
                <c:pt idx="47">
                  <c:v>0.24522550833754941</c:v>
                </c:pt>
                <c:pt idx="48">
                  <c:v>0.18209633893091315</c:v>
                </c:pt>
                <c:pt idx="49">
                  <c:v>0.13383050577284195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A4-A94C-BE02-0A6491B2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81840"/>
        <c:axId val="253681280"/>
      </c:scatterChart>
      <c:valAx>
        <c:axId val="253680160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680720"/>
        <c:crosses val="autoZero"/>
        <c:crossBetween val="midCat"/>
      </c:valAx>
      <c:valAx>
        <c:axId val="25368072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MR &amp; NSR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680160"/>
        <c:crosses val="autoZero"/>
        <c:crossBetween val="midCat"/>
      </c:valAx>
      <c:valAx>
        <c:axId val="2536812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681840"/>
        <c:crosses val="max"/>
        <c:crossBetween val="midCat"/>
      </c:valAx>
      <c:valAx>
        <c:axId val="25368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681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'Intermediate Limit PR'!$F$66</c:f>
              <c:strCache>
                <c:ptCount val="1"/>
                <c:pt idx="0">
                  <c:v>Fleet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'Intermediate Limit PR'!$A$67:$A$116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'Intermediate Limit PR'!$F$67:$F$116</c:f>
              <c:numCache>
                <c:formatCode>##0.0E+0</c:formatCode>
                <c:ptCount val="50"/>
                <c:pt idx="0">
                  <c:v>25100599.000000004</c:v>
                </c:pt>
                <c:pt idx="1">
                  <c:v>25751846.999999996</c:v>
                </c:pt>
                <c:pt idx="2">
                  <c:v>26205078</c:v>
                </c:pt>
                <c:pt idx="3">
                  <c:v>26987189</c:v>
                </c:pt>
                <c:pt idx="4">
                  <c:v>27472100</c:v>
                </c:pt>
                <c:pt idx="5">
                  <c:v>27549135</c:v>
                </c:pt>
                <c:pt idx="6">
                  <c:v>27921828.999999996</c:v>
                </c:pt>
                <c:pt idx="7">
                  <c:v>28062643</c:v>
                </c:pt>
                <c:pt idx="8">
                  <c:v>28132621</c:v>
                </c:pt>
                <c:pt idx="9">
                  <c:v>28285805.999999996</c:v>
                </c:pt>
                <c:pt idx="10">
                  <c:v>28311976.000000004</c:v>
                </c:pt>
                <c:pt idx="11">
                  <c:v>28543941</c:v>
                </c:pt>
                <c:pt idx="12">
                  <c:v>28934408.000000004</c:v>
                </c:pt>
                <c:pt idx="13">
                  <c:v>29363503</c:v>
                </c:pt>
                <c:pt idx="14">
                  <c:v>29940531.000000004</c:v>
                </c:pt>
                <c:pt idx="15">
                  <c:v>30462606</c:v>
                </c:pt>
                <c:pt idx="16">
                  <c:v>30812830</c:v>
                </c:pt>
                <c:pt idx="17">
                  <c:v>30775220</c:v>
                </c:pt>
                <c:pt idx="18">
                  <c:v>30737610</c:v>
                </c:pt>
                <c:pt idx="19">
                  <c:v>30700000</c:v>
                </c:pt>
                <c:pt idx="20">
                  <c:v>30720000</c:v>
                </c:pt>
                <c:pt idx="21">
                  <c:v>30740000</c:v>
                </c:pt>
                <c:pt idx="22">
                  <c:v>30760000</c:v>
                </c:pt>
                <c:pt idx="23">
                  <c:v>30780000</c:v>
                </c:pt>
                <c:pt idx="24">
                  <c:v>30800000</c:v>
                </c:pt>
                <c:pt idx="25">
                  <c:v>30840000</c:v>
                </c:pt>
                <c:pt idx="26">
                  <c:v>30880000</c:v>
                </c:pt>
                <c:pt idx="27">
                  <c:v>30920000</c:v>
                </c:pt>
                <c:pt idx="28">
                  <c:v>30960000</c:v>
                </c:pt>
                <c:pt idx="29">
                  <c:v>31000000</c:v>
                </c:pt>
                <c:pt idx="30">
                  <c:v>30200000</c:v>
                </c:pt>
                <c:pt idx="31">
                  <c:v>29400000</c:v>
                </c:pt>
                <c:pt idx="32">
                  <c:v>28600000</c:v>
                </c:pt>
                <c:pt idx="33">
                  <c:v>27800000</c:v>
                </c:pt>
                <c:pt idx="34">
                  <c:v>27000000</c:v>
                </c:pt>
                <c:pt idx="35">
                  <c:v>26200000</c:v>
                </c:pt>
                <c:pt idx="36">
                  <c:v>25400000</c:v>
                </c:pt>
                <c:pt idx="37">
                  <c:v>24600000</c:v>
                </c:pt>
                <c:pt idx="38">
                  <c:v>23800000</c:v>
                </c:pt>
                <c:pt idx="39">
                  <c:v>23000000</c:v>
                </c:pt>
                <c:pt idx="40">
                  <c:v>23220000</c:v>
                </c:pt>
                <c:pt idx="41">
                  <c:v>23440000</c:v>
                </c:pt>
                <c:pt idx="42">
                  <c:v>23660000</c:v>
                </c:pt>
                <c:pt idx="43">
                  <c:v>23880000</c:v>
                </c:pt>
                <c:pt idx="44">
                  <c:v>24100000</c:v>
                </c:pt>
                <c:pt idx="45">
                  <c:v>24320000</c:v>
                </c:pt>
                <c:pt idx="46">
                  <c:v>24540000</c:v>
                </c:pt>
                <c:pt idx="47">
                  <c:v>24760000</c:v>
                </c:pt>
                <c:pt idx="48">
                  <c:v>24980000</c:v>
                </c:pt>
                <c:pt idx="49">
                  <c:v>25200000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67-494D-8D46-8399FEC07D41}"/>
            </c:ext>
          </c:extLst>
        </c:ser>
        <c:ser>
          <c:idx val="1"/>
          <c:order val="1"/>
          <c:tx>
            <c:strRef>
              <c:f>'Intermediate Limit PR'!$K$66</c:f>
              <c:strCache>
                <c:ptCount val="1"/>
                <c:pt idx="0">
                  <c:v>#EVs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'Intermediate Limit PR'!$A$67:$A$116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'Intermediate Limit PR'!$K$67:$K$116</c:f>
              <c:numCache>
                <c:formatCode>##0.0E+0</c:formatCode>
                <c:ptCount val="50"/>
                <c:pt idx="0">
                  <c:v>272</c:v>
                </c:pt>
                <c:pt idx="1">
                  <c:v>326</c:v>
                </c:pt>
                <c:pt idx="2">
                  <c:v>349</c:v>
                </c:pt>
                <c:pt idx="3">
                  <c:v>399</c:v>
                </c:pt>
                <c:pt idx="4">
                  <c:v>564</c:v>
                </c:pt>
                <c:pt idx="5">
                  <c:v>807</c:v>
                </c:pt>
                <c:pt idx="6">
                  <c:v>1192</c:v>
                </c:pt>
                <c:pt idx="7">
                  <c:v>1325</c:v>
                </c:pt>
                <c:pt idx="8">
                  <c:v>1453</c:v>
                </c:pt>
                <c:pt idx="9">
                  <c:v>1543</c:v>
                </c:pt>
                <c:pt idx="10">
                  <c:v>2610</c:v>
                </c:pt>
                <c:pt idx="11">
                  <c:v>4132</c:v>
                </c:pt>
                <c:pt idx="12">
                  <c:v>6255</c:v>
                </c:pt>
                <c:pt idx="13">
                  <c:v>16207.999999999998</c:v>
                </c:pt>
                <c:pt idx="14">
                  <c:v>24603</c:v>
                </c:pt>
                <c:pt idx="15">
                  <c:v>33434</c:v>
                </c:pt>
                <c:pt idx="16">
                  <c:v>42316.978030640559</c:v>
                </c:pt>
                <c:pt idx="17">
                  <c:v>50753.545137477842</c:v>
                </c:pt>
                <c:pt idx="18">
                  <c:v>59169.36555803637</c:v>
                </c:pt>
                <c:pt idx="19">
                  <c:v>67564.43929231615</c:v>
                </c:pt>
                <c:pt idx="20">
                  <c:v>76081.443813562611</c:v>
                </c:pt>
                <c:pt idx="21">
                  <c:v>84609.480872048473</c:v>
                </c:pt>
                <c:pt idx="22">
                  <c:v>93148.550467773792</c:v>
                </c:pt>
                <c:pt idx="23">
                  <c:v>101698.65260073851</c:v>
                </c:pt>
                <c:pt idx="24">
                  <c:v>110259.7872709427</c:v>
                </c:pt>
                <c:pt idx="25">
                  <c:v>118909.06801146767</c:v>
                </c:pt>
                <c:pt idx="26">
                  <c:v>127580.41382647149</c:v>
                </c:pt>
                <c:pt idx="27">
                  <c:v>136273.82471595416</c:v>
                </c:pt>
                <c:pt idx="28">
                  <c:v>144989.30067991573</c:v>
                </c:pt>
                <c:pt idx="29">
                  <c:v>153726.84171835615</c:v>
                </c:pt>
                <c:pt idx="30">
                  <c:v>194795.58359367258</c:v>
                </c:pt>
                <c:pt idx="31">
                  <c:v>259656.55909219026</c:v>
                </c:pt>
                <c:pt idx="32">
                  <c:v>343200.0000000046</c:v>
                </c:pt>
                <c:pt idx="33">
                  <c:v>448681.41084155184</c:v>
                </c:pt>
                <c:pt idx="34">
                  <c:v>578447.86974298919</c:v>
                </c:pt>
                <c:pt idx="35">
                  <c:v>732881.4026407809</c:v>
                </c:pt>
                <c:pt idx="36">
                  <c:v>909217.27021928574</c:v>
                </c:pt>
                <c:pt idx="37">
                  <c:v>1100691.6105130769</c:v>
                </c:pt>
                <c:pt idx="38">
                  <c:v>1296639.5779192364</c:v>
                </c:pt>
                <c:pt idx="39">
                  <c:v>1483961.1680339738</c:v>
                </c:pt>
                <c:pt idx="40">
                  <c:v>1725506.067213387</c:v>
                </c:pt>
                <c:pt idx="41">
                  <c:v>1953859.7117677606</c:v>
                </c:pt>
                <c:pt idx="42">
                  <c:v>2160190.5978990998</c:v>
                </c:pt>
                <c:pt idx="43">
                  <c:v>2339744.6467821659</c:v>
                </c:pt>
                <c:pt idx="44">
                  <c:v>2491603.0094788587</c:v>
                </c:pt>
                <c:pt idx="45">
                  <c:v>2617630.1105469437</c:v>
                </c:pt>
                <c:pt idx="46">
                  <c:v>2721233.8424684983</c:v>
                </c:pt>
                <c:pt idx="47">
                  <c:v>2806347.4177519083</c:v>
                </c:pt>
                <c:pt idx="48">
                  <c:v>2876770.318754226</c:v>
                </c:pt>
                <c:pt idx="49">
                  <c:v>2935831.4536920059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67-494D-8D46-8399FEC07D41}"/>
            </c:ext>
          </c:extLst>
        </c:ser>
        <c:ser>
          <c:idx val="2"/>
          <c:order val="2"/>
          <c:tx>
            <c:strRef>
              <c:f>'Intermediate Limit PR'!$L$66</c:f>
              <c:strCache>
                <c:ptCount val="1"/>
                <c:pt idx="0">
                  <c:v>#ICEs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'Intermediate Limit PR'!$A$67:$A$116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'Intermediate Limit PR'!$L$67:$L$116</c:f>
              <c:numCache>
                <c:formatCode>##0.0E+0</c:formatCode>
                <c:ptCount val="50"/>
                <c:pt idx="0">
                  <c:v>25100327.000000004</c:v>
                </c:pt>
                <c:pt idx="1">
                  <c:v>25751520.999999996</c:v>
                </c:pt>
                <c:pt idx="2">
                  <c:v>26204729</c:v>
                </c:pt>
                <c:pt idx="3">
                  <c:v>26986790</c:v>
                </c:pt>
                <c:pt idx="4">
                  <c:v>27471536</c:v>
                </c:pt>
                <c:pt idx="5">
                  <c:v>27548328</c:v>
                </c:pt>
                <c:pt idx="6">
                  <c:v>27920636.999999996</c:v>
                </c:pt>
                <c:pt idx="7">
                  <c:v>28061318</c:v>
                </c:pt>
                <c:pt idx="8">
                  <c:v>28131168</c:v>
                </c:pt>
                <c:pt idx="9">
                  <c:v>28284262.999999996</c:v>
                </c:pt>
                <c:pt idx="10">
                  <c:v>28309366.000000004</c:v>
                </c:pt>
                <c:pt idx="11">
                  <c:v>28539809</c:v>
                </c:pt>
                <c:pt idx="12">
                  <c:v>28928153.000000004</c:v>
                </c:pt>
                <c:pt idx="13">
                  <c:v>29347295</c:v>
                </c:pt>
                <c:pt idx="14">
                  <c:v>29915928.000000004</c:v>
                </c:pt>
                <c:pt idx="15">
                  <c:v>30429172</c:v>
                </c:pt>
                <c:pt idx="16">
                  <c:v>30378267.251323473</c:v>
                </c:pt>
                <c:pt idx="17">
                  <c:v>30262774.726956919</c:v>
                </c:pt>
                <c:pt idx="18">
                  <c:v>30147473.857502166</c:v>
                </c:pt>
                <c:pt idx="19">
                  <c:v>30032364.642959218</c:v>
                </c:pt>
                <c:pt idx="20">
                  <c:v>29973657.448093202</c:v>
                </c:pt>
                <c:pt idx="21">
                  <c:v>29914848.33623074</c:v>
                </c:pt>
                <c:pt idx="22">
                  <c:v>29855937.307371847</c:v>
                </c:pt>
                <c:pt idx="23">
                  <c:v>29796924.361516509</c:v>
                </c:pt>
                <c:pt idx="24">
                  <c:v>29737809.498664737</c:v>
                </c:pt>
                <c:pt idx="25">
                  <c:v>29697852.026226524</c:v>
                </c:pt>
                <c:pt idx="26">
                  <c:v>29657690.719795436</c:v>
                </c:pt>
                <c:pt idx="27">
                  <c:v>29617325.579371467</c:v>
                </c:pt>
                <c:pt idx="28">
                  <c:v>29576756.604954623</c:v>
                </c:pt>
                <c:pt idx="29">
                  <c:v>29535983.796544898</c:v>
                </c:pt>
                <c:pt idx="30">
                  <c:v>28576703.470052727</c:v>
                </c:pt>
                <c:pt idx="31">
                  <c:v>27236195.340898413</c:v>
                </c:pt>
                <c:pt idx="32">
                  <c:v>25739999.999999963</c:v>
                </c:pt>
                <c:pt idx="33">
                  <c:v>24060988.242987067</c:v>
                </c:pt>
                <c:pt idx="34">
                  <c:v>22179601.085475091</c:v>
                </c:pt>
                <c:pt idx="35">
                  <c:v>20092654.977993488</c:v>
                </c:pt>
                <c:pt idx="36">
                  <c:v>17823189.414839286</c:v>
                </c:pt>
                <c:pt idx="37">
                  <c:v>15427569.912391026</c:v>
                </c:pt>
                <c:pt idx="38">
                  <c:v>12994670.184006363</c:v>
                </c:pt>
                <c:pt idx="39">
                  <c:v>10633656.933050219</c:v>
                </c:pt>
                <c:pt idx="40">
                  <c:v>8840782.7732217759</c:v>
                </c:pt>
                <c:pt idx="41">
                  <c:v>7157835.7352686618</c:v>
                </c:pt>
                <c:pt idx="42">
                  <c:v>5658411.6841741651</c:v>
                </c:pt>
                <c:pt idx="43">
                  <c:v>4382127.9434819482</c:v>
                </c:pt>
                <c:pt idx="44">
                  <c:v>3336641.5876761787</c:v>
                </c:pt>
                <c:pt idx="45">
                  <c:v>2506415.7454421334</c:v>
                </c:pt>
                <c:pt idx="46">
                  <c:v>1863051.3127625138</c:v>
                </c:pt>
                <c:pt idx="47">
                  <c:v>1373771.5187340975</c:v>
                </c:pt>
                <c:pt idx="48">
                  <c:v>1006914.0103814453</c:v>
                </c:pt>
                <c:pt idx="49">
                  <c:v>734737.88589995354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67-494D-8D46-8399FEC07D41}"/>
            </c:ext>
          </c:extLst>
        </c:ser>
        <c:ser>
          <c:idx val="3"/>
          <c:order val="3"/>
          <c:tx>
            <c:strRef>
              <c:f>'Intermediate Limit PR'!$E$124</c:f>
              <c:strCache>
                <c:ptCount val="1"/>
                <c:pt idx="0">
                  <c:v>#Hybrids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'Intermediate Limit PR'!$A$125:$A$174</c:f>
              <c:numCache>
                <c:formatCode>General</c:formatCode>
                <c:ptCount val="5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  <c:pt idx="38">
                  <c:v>2039</c:v>
                </c:pt>
                <c:pt idx="39">
                  <c:v>2040</c:v>
                </c:pt>
                <c:pt idx="40">
                  <c:v>2041</c:v>
                </c:pt>
                <c:pt idx="41">
                  <c:v>2042</c:v>
                </c:pt>
                <c:pt idx="42">
                  <c:v>2043</c:v>
                </c:pt>
                <c:pt idx="43">
                  <c:v>2044</c:v>
                </c:pt>
                <c:pt idx="44">
                  <c:v>2045</c:v>
                </c:pt>
                <c:pt idx="45">
                  <c:v>2046</c:v>
                </c:pt>
                <c:pt idx="46">
                  <c:v>2047</c:v>
                </c:pt>
                <c:pt idx="47">
                  <c:v>2048</c:v>
                </c:pt>
                <c:pt idx="48">
                  <c:v>2049</c:v>
                </c:pt>
                <c:pt idx="49">
                  <c:v>2050</c:v>
                </c:pt>
              </c:numCache>
            </c:numRef>
          </c:xVal>
          <c:yVal>
            <c:numRef>
              <c:f>'Intermediate Limit PR'!$E$125:$E$174</c:f>
              <c:numCache>
                <c:formatCode>##0.0E+0</c:formatCode>
                <c:ptCount val="50"/>
                <c:pt idx="0">
                  <c:v>554</c:v>
                </c:pt>
                <c:pt idx="1">
                  <c:v>857</c:v>
                </c:pt>
                <c:pt idx="2">
                  <c:v>1245</c:v>
                </c:pt>
                <c:pt idx="3">
                  <c:v>2795</c:v>
                </c:pt>
                <c:pt idx="4">
                  <c:v>8065</c:v>
                </c:pt>
                <c:pt idx="5">
                  <c:v>16649</c:v>
                </c:pt>
                <c:pt idx="6">
                  <c:v>31774</c:v>
                </c:pt>
                <c:pt idx="7">
                  <c:v>46746</c:v>
                </c:pt>
                <c:pt idx="8">
                  <c:v>61056</c:v>
                </c:pt>
                <c:pt idx="9">
                  <c:v>82094</c:v>
                </c:pt>
                <c:pt idx="10">
                  <c:v>102301</c:v>
                </c:pt>
                <c:pt idx="11">
                  <c:v>125270</c:v>
                </c:pt>
                <c:pt idx="12">
                  <c:v>153553</c:v>
                </c:pt>
                <c:pt idx="13">
                  <c:v>188137</c:v>
                </c:pt>
                <c:pt idx="14">
                  <c:v>245085</c:v>
                </c:pt>
                <c:pt idx="15">
                  <c:v>318573</c:v>
                </c:pt>
                <c:pt idx="16">
                  <c:v>392245.7706458855</c:v>
                </c:pt>
                <c:pt idx="17">
                  <c:v>461691.72790560388</c:v>
                </c:pt>
                <c:pt idx="18">
                  <c:v>530966.77693979698</c:v>
                </c:pt>
                <c:pt idx="19">
                  <c:v>600070.91774846474</c:v>
                </c:pt>
                <c:pt idx="20">
                  <c:v>670261.10809323669</c:v>
                </c:pt>
                <c:pt idx="21">
                  <c:v>740542.18289720849</c:v>
                </c:pt>
                <c:pt idx="22">
                  <c:v>810914.14216038003</c:v>
                </c:pt>
                <c:pt idx="23">
                  <c:v>881376.98588275129</c:v>
                </c:pt>
                <c:pt idx="24">
                  <c:v>951930.71406432253</c:v>
                </c:pt>
                <c:pt idx="25">
                  <c:v>1023238.9057620079</c:v>
                </c:pt>
                <c:pt idx="26">
                  <c:v>1094728.8663780931</c:v>
                </c:pt>
                <c:pt idx="27">
                  <c:v>1166400.5959125778</c:v>
                </c:pt>
                <c:pt idx="28">
                  <c:v>1238254.094365462</c:v>
                </c:pt>
                <c:pt idx="29">
                  <c:v>1310289.361736746</c:v>
                </c:pt>
                <c:pt idx="30">
                  <c:v>1428500.9463535992</c:v>
                </c:pt>
                <c:pt idx="31">
                  <c:v>1904148.1000093953</c:v>
                </c:pt>
                <c:pt idx="32">
                  <c:v>2516800.0000000335</c:v>
                </c:pt>
                <c:pt idx="33">
                  <c:v>3290330.346171381</c:v>
                </c:pt>
                <c:pt idx="34">
                  <c:v>4241951.0447819205</c:v>
                </c:pt>
                <c:pt idx="35">
                  <c:v>5374463.6193657275</c:v>
                </c:pt>
                <c:pt idx="36">
                  <c:v>6667593.3149414286</c:v>
                </c:pt>
                <c:pt idx="37">
                  <c:v>8071738.4770958973</c:v>
                </c:pt>
                <c:pt idx="38">
                  <c:v>9508690.2380743995</c:v>
                </c:pt>
                <c:pt idx="39">
                  <c:v>10882381.898915809</c:v>
                </c:pt>
                <c:pt idx="40">
                  <c:v>12653711.159564838</c:v>
                </c:pt>
                <c:pt idx="41">
                  <c:v>14328304.552963579</c:v>
                </c:pt>
                <c:pt idx="42">
                  <c:v>15841397.717926733</c:v>
                </c:pt>
                <c:pt idx="43">
                  <c:v>17158127.409735885</c:v>
                </c:pt>
                <c:pt idx="44">
                  <c:v>18271755.402844962</c:v>
                </c:pt>
                <c:pt idx="45">
                  <c:v>19195954.144010924</c:v>
                </c:pt>
                <c:pt idx="46">
                  <c:v>19955714.844768986</c:v>
                </c:pt>
                <c:pt idx="47">
                  <c:v>20579881.063513994</c:v>
                </c:pt>
                <c:pt idx="48">
                  <c:v>21096315.670864329</c:v>
                </c:pt>
                <c:pt idx="49">
                  <c:v>21529430.660408042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67-494D-8D46-8399FEC0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68352"/>
        <c:axId val="254768912"/>
      </c:scatterChart>
      <c:valAx>
        <c:axId val="254768352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768912"/>
        <c:crosses val="autoZero"/>
        <c:crossBetween val="midCat"/>
      </c:valAx>
      <c:valAx>
        <c:axId val="25476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#0.0E+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76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chart" Target="../charts/chart14.xml"/><Relationship Id="rId4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EX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2.png"/><Relationship Id="rId4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4.png"/><Relationship Id="rId1" Type="http://schemas.openxmlformats.org/officeDocument/2006/relationships/chart" Target="../charts/chart12.xml"/><Relationship Id="rId5" Type="http://schemas.openxmlformats.org/officeDocument/2006/relationships/image" Target="../media/image2.png"/><Relationship Id="rId4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664030</xdr:colOff>
      <xdr:row>0</xdr:row>
      <xdr:rowOff>0</xdr:rowOff>
    </xdr:from>
    <xdr:to>
      <xdr:col>2</xdr:col>
      <xdr:colOff>1830162</xdr:colOff>
      <xdr:row>7</xdr:row>
      <xdr:rowOff>74347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51040-05D3-4DA0-AC02-B7D919F2E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3494" y="0"/>
          <a:ext cx="3139168" cy="1503097"/>
        </a:xfrm>
        <a:prstGeom prst="rect">
          <a:avLst/>
        </a:prstGeom>
      </xdr:spPr>
    </xdr:pic>
    <xdr:clientData/>
  </xdr:twoCellAnchor>
  <xdr:twoCellAnchor>
    <xdr:from>
      <xdr:col>2</xdr:col>
      <xdr:colOff>1932214</xdr:colOff>
      <xdr:row>0</xdr:row>
      <xdr:rowOff>95250</xdr:rowOff>
    </xdr:from>
    <xdr:to>
      <xdr:col>4</xdr:col>
      <xdr:colOff>1510393</xdr:colOff>
      <xdr:row>7</xdr:row>
      <xdr:rowOff>40821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BE6A88-C8E6-492F-9A0B-41DE8189846D}"/>
            </a:ext>
          </a:extLst>
        </xdr:cNvPr>
        <xdr:cNvSpPr txBox="1"/>
      </xdr:nvSpPr>
      <xdr:spPr>
        <a:xfrm>
          <a:off x="3905250" y="95250"/>
          <a:ext cx="4109357" cy="1374321"/>
        </a:xfrm>
        <a:prstGeom prst="round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sng"/>
            <a:t>ELECTRIC VEHICLE PARADIGM SHIFT. ASSESSMENT OF THE IMPLICATONS FOR GREAT BRITAIN</a:t>
          </a:r>
        </a:p>
        <a:p>
          <a:pPr algn="ctr"/>
          <a:endParaRPr lang="en-GB" sz="1100"/>
        </a:p>
        <a:p>
          <a:pPr algn="ctr"/>
          <a:r>
            <a:rPr lang="en-GB" sz="1100"/>
            <a:t>Group Project</a:t>
          </a:r>
        </a:p>
        <a:p>
          <a:pPr algn="ctr"/>
          <a:r>
            <a:rPr lang="en-GB" sz="1100"/>
            <a:t>MSc in Sustainable Engineering: Renewable Energy Systems and the Environment</a:t>
          </a:r>
        </a:p>
        <a:p>
          <a:pPr algn="ctr"/>
          <a:r>
            <a:rPr lang="en-GB" sz="1100"/>
            <a:t>University of Strathclyde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42</xdr:row>
      <xdr:rowOff>163286</xdr:rowOff>
    </xdr:from>
    <xdr:to>
      <xdr:col>0</xdr:col>
      <xdr:colOff>1137558</xdr:colOff>
      <xdr:row>48</xdr:row>
      <xdr:rowOff>16329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18944-D28F-47DE-9419-6955EBF0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965" y="9089572"/>
          <a:ext cx="1110343" cy="10776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42</xdr:row>
      <xdr:rowOff>78441</xdr:rowOff>
    </xdr:from>
    <xdr:to>
      <xdr:col>1</xdr:col>
      <xdr:colOff>270061</xdr:colOff>
      <xdr:row>48</xdr:row>
      <xdr:rowOff>29135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28FD1-04FC-4912-A473-8BE3F0B4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10107706"/>
          <a:ext cx="1099297" cy="1160929"/>
        </a:xfrm>
        <a:prstGeom prst="rect">
          <a:avLst/>
        </a:prstGeom>
      </xdr:spPr>
    </xdr:pic>
    <xdr:clientData/>
  </xdr:twoCellAnchor>
  <xdr:oneCellAnchor>
    <xdr:from>
      <xdr:col>4</xdr:col>
      <xdr:colOff>56028</xdr:colOff>
      <xdr:row>0</xdr:row>
      <xdr:rowOff>22412</xdr:rowOff>
    </xdr:from>
    <xdr:ext cx="3496235" cy="46807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6CFD7BE-2D11-4F56-B757-3B5BF9918A99}"/>
            </a:ext>
          </a:extLst>
        </xdr:cNvPr>
        <xdr:cNvSpPr txBox="1"/>
      </xdr:nvSpPr>
      <xdr:spPr>
        <a:xfrm>
          <a:off x="3675528" y="22412"/>
          <a:ext cx="3496235" cy="46807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Ratio is the number of Electric Vehicles to publicly accessible charging points, based</a:t>
          </a:r>
          <a:r>
            <a:rPr lang="en-US" sz="1200" baseline="0"/>
            <a:t> on 2016 figures.</a:t>
          </a:r>
          <a:r>
            <a:rPr lang="en-US" sz="1200"/>
            <a:t> </a:t>
          </a:r>
        </a:p>
      </xdr:txBody>
    </xdr:sp>
    <xdr:clientData/>
  </xdr:oneCellAnchor>
  <xdr:oneCellAnchor>
    <xdr:from>
      <xdr:col>4</xdr:col>
      <xdr:colOff>62752</xdr:colOff>
      <xdr:row>1</xdr:row>
      <xdr:rowOff>197224</xdr:rowOff>
    </xdr:from>
    <xdr:ext cx="3496235" cy="5820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DA3CEDC-FFB6-49CA-918B-D74E7A48AEF1}"/>
            </a:ext>
          </a:extLst>
        </xdr:cNvPr>
        <xdr:cNvSpPr txBox="1"/>
      </xdr:nvSpPr>
      <xdr:spPr>
        <a:xfrm>
          <a:off x="3664934" y="560906"/>
          <a:ext cx="3496235" cy="5820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/>
            <a:t>Ratio</a:t>
          </a:r>
          <a:r>
            <a:rPr lang="en-US" sz="1200" baseline="0"/>
            <a:t> of 0.171 is applied in Scenario 1, Scenario 2, Scenario 4, Scenario 5, Scenario 7 and Scenario 8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246786</xdr:colOff>
      <xdr:row>77</xdr:row>
      <xdr:rowOff>47624</xdr:rowOff>
    </xdr:from>
    <xdr:to>
      <xdr:col>10</xdr:col>
      <xdr:colOff>283587</xdr:colOff>
      <xdr:row>96</xdr:row>
      <xdr:rowOff>90053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92838B-0227-4FC8-B0DD-1312433F6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349915</xdr:colOff>
      <xdr:row>42</xdr:row>
      <xdr:rowOff>51954</xdr:rowOff>
    </xdr:from>
    <xdr:to>
      <xdr:col>2</xdr:col>
      <xdr:colOff>87123</xdr:colOff>
      <xdr:row>47</xdr:row>
      <xdr:rowOff>179931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67967-507B-4D7F-889A-D95A60CDC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15" y="9784772"/>
          <a:ext cx="1088026" cy="1167068"/>
        </a:xfrm>
        <a:prstGeom prst="rect">
          <a:avLst/>
        </a:prstGeom>
      </xdr:spPr>
    </xdr:pic>
    <xdr:clientData/>
  </xdr:twoCellAnchor>
  <xdr:twoCellAnchor>
    <xdr:from>
      <xdr:col>8</xdr:col>
      <xdr:colOff>823123</xdr:colOff>
      <xdr:row>52</xdr:row>
      <xdr:rowOff>96779</xdr:rowOff>
    </xdr:from>
    <xdr:to>
      <xdr:col>17</xdr:col>
      <xdr:colOff>755889</xdr:colOff>
      <xdr:row>72</xdr:row>
      <xdr:rowOff>141602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C95A45-D245-4A1E-AEDC-FCA191D4F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95250</xdr:colOff>
      <xdr:row>43</xdr:row>
      <xdr:rowOff>47625</xdr:rowOff>
    </xdr:from>
    <xdr:to>
      <xdr:col>44</xdr:col>
      <xdr:colOff>328179</xdr:colOff>
      <xdr:row>46</xdr:row>
      <xdr:rowOff>186170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F228CDC-FDD0-414F-BD27-ADAC1CA85345}"/>
            </a:ext>
          </a:extLst>
        </xdr:cNvPr>
        <xdr:cNvSpPr txBox="1"/>
      </xdr:nvSpPr>
      <xdr:spPr>
        <a:xfrm>
          <a:off x="1428750" y="9120188"/>
          <a:ext cx="42190554" cy="71004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/>
            <a:t>NUMBERS</a:t>
          </a:r>
          <a:r>
            <a:rPr lang="en-GB" sz="4000" baseline="0"/>
            <a:t> BEHIND PROJECTIONS</a:t>
          </a:r>
          <a:endParaRPr lang="en-GB" sz="4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84885</xdr:colOff>
      <xdr:row>66</xdr:row>
      <xdr:rowOff>166687</xdr:rowOff>
    </xdr:from>
    <xdr:to>
      <xdr:col>3</xdr:col>
      <xdr:colOff>27684</xdr:colOff>
      <xdr:row>71</xdr:row>
      <xdr:rowOff>163885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9AF31-DC83-4AF2-8480-4E973FC49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135" y="12334875"/>
          <a:ext cx="1133424" cy="9496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20259</xdr:colOff>
      <xdr:row>2</xdr:row>
      <xdr:rowOff>197304</xdr:rowOff>
    </xdr:from>
    <xdr:ext cx="2598498" cy="1216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DD1407-154F-B74B-8D7A-D41E417C8FFC}"/>
            </a:ext>
          </a:extLst>
        </xdr:cNvPr>
        <xdr:cNvSpPr txBox="1"/>
      </xdr:nvSpPr>
      <xdr:spPr>
        <a:xfrm>
          <a:off x="20259" y="714375"/>
          <a:ext cx="2598498" cy="121660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/>
            <a:t>Values for Emissions per</a:t>
          </a:r>
          <a:r>
            <a:rPr lang="en-US" sz="1200" baseline="0"/>
            <a:t> vehicle are used along with numbers of each type of vehicle in order to obtain the emissions for an average vehicle and the total annual tailpipe emissions.</a:t>
          </a:r>
          <a:endParaRPr lang="en-US" sz="1200"/>
        </a:p>
      </xdr:txBody>
    </xdr:sp>
    <xdr:clientData/>
  </xdr:oneCellAnchor>
  <xdr:oneCellAnchor>
    <xdr:from>
      <xdr:col>5</xdr:col>
      <xdr:colOff>292100</xdr:colOff>
      <xdr:row>14</xdr:row>
      <xdr:rowOff>101600</xdr:rowOff>
    </xdr:from>
    <xdr:ext cx="2696634" cy="10316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299C29-9AAD-D743-8DDD-C842E27F8643}"/>
            </a:ext>
          </a:extLst>
        </xdr:cNvPr>
        <xdr:cNvSpPr txBox="1"/>
      </xdr:nvSpPr>
      <xdr:spPr>
        <a:xfrm>
          <a:off x="6324600" y="3441700"/>
          <a:ext cx="2696634" cy="103169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In</a:t>
          </a:r>
          <a:r>
            <a:rPr lang="en-US" sz="1200" baseline="0"/>
            <a:t> order to obtain the annual total emissions, the average mileage of each vehicle was used. Total emissions x average annual mileage = total tailpipe emissions </a:t>
          </a:r>
          <a:endParaRPr lang="en-US" sz="1200"/>
        </a:p>
      </xdr:txBody>
    </xdr:sp>
    <xdr:clientData/>
  </xdr:oneCellAnchor>
  <xdr:oneCellAnchor>
    <xdr:from>
      <xdr:col>8</xdr:col>
      <xdr:colOff>63500</xdr:colOff>
      <xdr:row>7</xdr:row>
      <xdr:rowOff>127000</xdr:rowOff>
    </xdr:from>
    <xdr:ext cx="2696634" cy="10316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2BAA0FA-87B8-0249-91CC-98BFC252BF39}"/>
            </a:ext>
          </a:extLst>
        </xdr:cNvPr>
        <xdr:cNvSpPr txBox="1"/>
      </xdr:nvSpPr>
      <xdr:spPr>
        <a:xfrm>
          <a:off x="8775700" y="2044700"/>
          <a:ext cx="2696634" cy="103169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To</a:t>
          </a:r>
          <a:r>
            <a:rPr lang="en-US" sz="1200" baseline="0"/>
            <a:t> calculate Total Emissions:</a:t>
          </a:r>
        </a:p>
        <a:p>
          <a:r>
            <a:rPr lang="en-US" sz="1200" baseline="0"/>
            <a:t>emission value per car (e.g ICE) x number of that car type. Then add this value for all car types to get the total emissions in g/km.</a:t>
          </a:r>
          <a:endParaRPr lang="en-US" sz="1200"/>
        </a:p>
      </xdr:txBody>
    </xdr:sp>
    <xdr:clientData/>
  </xdr:oneCellAnchor>
  <xdr:oneCellAnchor>
    <xdr:from>
      <xdr:col>8</xdr:col>
      <xdr:colOff>533400</xdr:colOff>
      <xdr:row>14</xdr:row>
      <xdr:rowOff>101600</xdr:rowOff>
    </xdr:from>
    <xdr:ext cx="2696634" cy="65594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A4A705B-7F7E-2046-95B8-934083D79CBA}"/>
            </a:ext>
          </a:extLst>
        </xdr:cNvPr>
        <xdr:cNvSpPr txBox="1"/>
      </xdr:nvSpPr>
      <xdr:spPr>
        <a:xfrm>
          <a:off x="9245600" y="3441700"/>
          <a:ext cx="2696634" cy="6559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In order</a:t>
          </a:r>
          <a:r>
            <a:rPr lang="en-US" sz="1200" baseline="0"/>
            <a:t> to calculate average emissions per car, this value was divided by the total number of cars. </a:t>
          </a:r>
          <a:endParaRPr lang="en-US" sz="1200"/>
        </a:p>
      </xdr:txBody>
    </xdr:sp>
    <xdr:clientData/>
  </xdr:oneCellAnchor>
  <xdr:twoCellAnchor>
    <xdr:from>
      <xdr:col>7</xdr:col>
      <xdr:colOff>495300</xdr:colOff>
      <xdr:row>12</xdr:row>
      <xdr:rowOff>139700</xdr:rowOff>
    </xdr:from>
    <xdr:to>
      <xdr:col>8</xdr:col>
      <xdr:colOff>25400</xdr:colOff>
      <xdr:row>14</xdr:row>
      <xdr:rowOff>25400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B5F57BC-68CE-0F4E-8939-326580FB3974}"/>
            </a:ext>
          </a:extLst>
        </xdr:cNvPr>
        <xdr:cNvCxnSpPr/>
      </xdr:nvCxnSpPr>
      <xdr:spPr>
        <a:xfrm flipH="1">
          <a:off x="8356600" y="3073400"/>
          <a:ext cx="381000" cy="292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215900</xdr:colOff>
      <xdr:row>12</xdr:row>
      <xdr:rowOff>177800</xdr:rowOff>
    </xdr:from>
    <xdr:to>
      <xdr:col>9</xdr:col>
      <xdr:colOff>520700</xdr:colOff>
      <xdr:row>14</xdr:row>
      <xdr:rowOff>63500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15F5824-B0C3-2449-BC1C-F1E5ABFAA731}"/>
            </a:ext>
          </a:extLst>
        </xdr:cNvPr>
        <xdr:cNvCxnSpPr/>
      </xdr:nvCxnSpPr>
      <xdr:spPr>
        <a:xfrm>
          <a:off x="9740900" y="3111500"/>
          <a:ext cx="304800" cy="292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1472293</xdr:colOff>
      <xdr:row>12</xdr:row>
      <xdr:rowOff>40821</xdr:rowOff>
    </xdr:from>
    <xdr:ext cx="2696634" cy="6559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6C9852C-F3AD-6C4A-9075-EAA842EB31B5}"/>
            </a:ext>
          </a:extLst>
        </xdr:cNvPr>
        <xdr:cNvSpPr txBox="1"/>
      </xdr:nvSpPr>
      <xdr:spPr>
        <a:xfrm>
          <a:off x="5976257" y="3388178"/>
          <a:ext cx="2696634" cy="6559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For</a:t>
          </a:r>
          <a:r>
            <a:rPr lang="en-US" sz="1200" baseline="0"/>
            <a:t> more information on these numbers and why they are used, please see our website.</a:t>
          </a:r>
          <a:endParaRPr lang="en-US" sz="1200"/>
        </a:p>
      </xdr:txBody>
    </xdr:sp>
    <xdr:clientData/>
  </xdr:oneCellAnchor>
  <xdr:twoCellAnchor editAs="oneCell">
    <xdr:from>
      <xdr:col>0</xdr:col>
      <xdr:colOff>0</xdr:colOff>
      <xdr:row>17</xdr:row>
      <xdr:rowOff>0</xdr:rowOff>
    </xdr:from>
    <xdr:to>
      <xdr:col>0</xdr:col>
      <xdr:colOff>1104900</xdr:colOff>
      <xdr:row>22</xdr:row>
      <xdr:rowOff>152399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8620B-7A7C-440B-B68E-473B63D3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2375"/>
          <a:ext cx="1104900" cy="1104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88900</xdr:colOff>
      <xdr:row>2</xdr:row>
      <xdr:rowOff>165100</xdr:rowOff>
    </xdr:from>
    <xdr:ext cx="2696634" cy="103169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87D313-C9C2-5C40-9261-CAE115DE20DE}"/>
            </a:ext>
          </a:extLst>
        </xdr:cNvPr>
        <xdr:cNvSpPr txBox="1"/>
      </xdr:nvSpPr>
      <xdr:spPr>
        <a:xfrm>
          <a:off x="88900" y="800100"/>
          <a:ext cx="2696634" cy="103169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Values for Emissions per</a:t>
          </a:r>
          <a:r>
            <a:rPr lang="en-US" sz="1200" baseline="0"/>
            <a:t> vehicle are used along with numbers of each type of vehicle in order to obtain the emissions for an average vehicle and the total annual tailpipe emissions.</a:t>
          </a:r>
          <a:endParaRPr lang="en-US" sz="1200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2696634" cy="10316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F46CF4-FE2D-7046-B4B8-9539C9202D15}"/>
            </a:ext>
          </a:extLst>
        </xdr:cNvPr>
        <xdr:cNvSpPr txBox="1"/>
      </xdr:nvSpPr>
      <xdr:spPr>
        <a:xfrm>
          <a:off x="8212667" y="2137833"/>
          <a:ext cx="2696634" cy="103169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To</a:t>
          </a:r>
          <a:r>
            <a:rPr lang="en-US" sz="1200" baseline="0"/>
            <a:t> calculate Total Emissions:</a:t>
          </a:r>
        </a:p>
        <a:p>
          <a:r>
            <a:rPr lang="en-US" sz="1200" baseline="0"/>
            <a:t>emission value per car (e.g ICE) x number of that car type. Then add this value for all car types to get the total emissions in g/km.</a:t>
          </a:r>
          <a:endParaRPr lang="en-US" sz="1200"/>
        </a:p>
      </xdr:txBody>
    </xdr:sp>
    <xdr:clientData/>
  </xdr:oneCellAnchor>
  <xdr:oneCellAnchor>
    <xdr:from>
      <xdr:col>4</xdr:col>
      <xdr:colOff>338666</xdr:colOff>
      <xdr:row>14</xdr:row>
      <xdr:rowOff>148167</xdr:rowOff>
    </xdr:from>
    <xdr:ext cx="2696634" cy="10316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241635-809C-8D45-95B7-5B2248F12BDC}"/>
            </a:ext>
          </a:extLst>
        </xdr:cNvPr>
        <xdr:cNvSpPr txBox="1"/>
      </xdr:nvSpPr>
      <xdr:spPr>
        <a:xfrm>
          <a:off x="5376333" y="3556000"/>
          <a:ext cx="2696634" cy="103169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In</a:t>
          </a:r>
          <a:r>
            <a:rPr lang="en-US" sz="1200" baseline="0"/>
            <a:t> order to obtain the annual total emissions, the average mileage of each vehicle was used. Total emissions x average annual mileage = total tailpipe emissions </a:t>
          </a:r>
          <a:endParaRPr lang="en-US" sz="1200"/>
        </a:p>
      </xdr:txBody>
    </xdr:sp>
    <xdr:clientData/>
  </xdr:oneCellAnchor>
  <xdr:oneCellAnchor>
    <xdr:from>
      <xdr:col>8</xdr:col>
      <xdr:colOff>148167</xdr:colOff>
      <xdr:row>15</xdr:row>
      <xdr:rowOff>84667</xdr:rowOff>
    </xdr:from>
    <xdr:ext cx="2696634" cy="65594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E253AF-B66D-524C-BA03-9B6F073AE31D}"/>
            </a:ext>
          </a:extLst>
        </xdr:cNvPr>
        <xdr:cNvSpPr txBox="1"/>
      </xdr:nvSpPr>
      <xdr:spPr>
        <a:xfrm>
          <a:off x="8360834" y="3704167"/>
          <a:ext cx="2696634" cy="6559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In order</a:t>
          </a:r>
          <a:r>
            <a:rPr lang="en-US" sz="1200" baseline="0"/>
            <a:t> to calculate average emissions per car, this value was divided by the total number of cars. </a:t>
          </a:r>
          <a:endParaRPr lang="en-US" sz="1200"/>
        </a:p>
      </xdr:txBody>
    </xdr:sp>
    <xdr:clientData/>
  </xdr:oneCellAnchor>
  <xdr:twoCellAnchor>
    <xdr:from>
      <xdr:col>7</xdr:col>
      <xdr:colOff>533400</xdr:colOff>
      <xdr:row>13</xdr:row>
      <xdr:rowOff>63500</xdr:rowOff>
    </xdr:from>
    <xdr:to>
      <xdr:col>7</xdr:col>
      <xdr:colOff>825500</xdr:colOff>
      <xdr:row>14</xdr:row>
      <xdr:rowOff>50800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41592C0-06A9-E248-BE1B-B16D824087C6}"/>
            </a:ext>
          </a:extLst>
        </xdr:cNvPr>
        <xdr:cNvCxnSpPr/>
      </xdr:nvCxnSpPr>
      <xdr:spPr>
        <a:xfrm flipH="1">
          <a:off x="7886700" y="3200400"/>
          <a:ext cx="292100" cy="190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584200</xdr:colOff>
      <xdr:row>13</xdr:row>
      <xdr:rowOff>63500</xdr:rowOff>
    </xdr:from>
    <xdr:to>
      <xdr:col>9</xdr:col>
      <xdr:colOff>165100</xdr:colOff>
      <xdr:row>15</xdr:row>
      <xdr:rowOff>38100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D0F0D42-CCE5-554F-8FEC-242B8E2CE39B}"/>
            </a:ext>
          </a:extLst>
        </xdr:cNvPr>
        <xdr:cNvCxnSpPr/>
      </xdr:nvCxnSpPr>
      <xdr:spPr>
        <a:xfrm>
          <a:off x="8788400" y="3200400"/>
          <a:ext cx="215900" cy="3810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292100</xdr:colOff>
      <xdr:row>7</xdr:row>
      <xdr:rowOff>139700</xdr:rowOff>
    </xdr:from>
    <xdr:ext cx="2696634" cy="6559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BB8F226-3861-FC49-9044-96B50EE8F7A1}"/>
            </a:ext>
          </a:extLst>
        </xdr:cNvPr>
        <xdr:cNvSpPr txBox="1"/>
      </xdr:nvSpPr>
      <xdr:spPr>
        <a:xfrm>
          <a:off x="5486400" y="2057400"/>
          <a:ext cx="2696634" cy="6559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For</a:t>
          </a:r>
          <a:r>
            <a:rPr lang="en-US" sz="1200" baseline="0"/>
            <a:t> more information on these numbers and why they are used, please see our website.</a:t>
          </a:r>
          <a:endParaRPr lang="en-US" sz="1200"/>
        </a:p>
      </xdr:txBody>
    </xdr:sp>
    <xdr:clientData/>
  </xdr:oneCellAnchor>
  <xdr:twoCellAnchor editAs="oneCell">
    <xdr:from>
      <xdr:col>0</xdr:col>
      <xdr:colOff>0</xdr:colOff>
      <xdr:row>17</xdr:row>
      <xdr:rowOff>0</xdr:rowOff>
    </xdr:from>
    <xdr:to>
      <xdr:col>0</xdr:col>
      <xdr:colOff>1104900</xdr:colOff>
      <xdr:row>22</xdr:row>
      <xdr:rowOff>104774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783F9-106F-4721-9B03-A190A7768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5725"/>
          <a:ext cx="1104900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173182</xdr:rowOff>
    </xdr:from>
    <xdr:to>
      <xdr:col>1</xdr:col>
      <xdr:colOff>240722</xdr:colOff>
      <xdr:row>32</xdr:row>
      <xdr:rowOff>22514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18B73-9C21-466F-ABE8-B3B58067E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6455"/>
          <a:ext cx="1245177" cy="10962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4</xdr:col>
      <xdr:colOff>116498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C3ED6D-7CF4-43D1-BEAE-C36521D7A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277823</xdr:colOff>
      <xdr:row>4</xdr:row>
      <xdr:rowOff>196693</xdr:rowOff>
    </xdr:from>
    <xdr:to>
      <xdr:col>7</xdr:col>
      <xdr:colOff>1554640</xdr:colOff>
      <xdr:row>18</xdr:row>
      <xdr:rowOff>72869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8C90BA-F0BF-4A68-8B16-51074498B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114299</xdr:colOff>
      <xdr:row>5</xdr:row>
      <xdr:rowOff>34636</xdr:rowOff>
    </xdr:from>
    <xdr:to>
      <xdr:col>12</xdr:col>
      <xdr:colOff>567969</xdr:colOff>
      <xdr:row>18</xdr:row>
      <xdr:rowOff>110836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57FC3B-DF0C-4FE3-9D54-8059DD753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491636</xdr:colOff>
      <xdr:row>18</xdr:row>
      <xdr:rowOff>159204</xdr:rowOff>
    </xdr:from>
    <xdr:to>
      <xdr:col>5</xdr:col>
      <xdr:colOff>733092</xdr:colOff>
      <xdr:row>32</xdr:row>
      <xdr:rowOff>35379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7F745F-D1F3-49EA-8A83-2A36AACBB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269166</xdr:colOff>
      <xdr:row>19</xdr:row>
      <xdr:rowOff>21307</xdr:rowOff>
    </xdr:from>
    <xdr:to>
      <xdr:col>9</xdr:col>
      <xdr:colOff>200360</xdr:colOff>
      <xdr:row>32</xdr:row>
      <xdr:rowOff>92378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52F3A6D-197F-44C9-876C-22A1C2657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95249</xdr:colOff>
      <xdr:row>0</xdr:row>
      <xdr:rowOff>38100</xdr:rowOff>
    </xdr:from>
    <xdr:to>
      <xdr:col>11</xdr:col>
      <xdr:colOff>361950</xdr:colOff>
      <xdr:row>4</xdr:row>
      <xdr:rowOff>28575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05679A3-C4CB-4B3D-A617-5DF01EF22A94}"/>
            </a:ext>
          </a:extLst>
        </xdr:cNvPr>
        <xdr:cNvSpPr txBox="1"/>
      </xdr:nvSpPr>
      <xdr:spPr>
        <a:xfrm>
          <a:off x="5400674" y="38100"/>
          <a:ext cx="7524751" cy="809625"/>
        </a:xfrm>
        <a:prstGeom prst="rect">
          <a:avLst/>
        </a:prstGeom>
        <a:solidFill>
          <a:schemeClr val="dk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GB" sz="1200" b="1"/>
            <a:t>Model's boundary conditions:</a:t>
          </a:r>
        </a:p>
        <a:p>
          <a:r>
            <a:rPr lang="en-GB" sz="1100" b="1"/>
            <a:t>For saturation</a:t>
          </a:r>
          <a:r>
            <a:rPr lang="en-GB" sz="1100" b="1" baseline="0"/>
            <a:t> 100%	For saturation 90%	For saturation 75%	For saturation 50%</a:t>
          </a:r>
        </a:p>
        <a:p>
          <a:r>
            <a:rPr lang="en-GB" sz="1100" baseline="0"/>
            <a:t>Takeover time min = 13.1	Takeover time min = 12 years	Takeover time min = 10 years	Takeover time min = 10 years</a:t>
          </a:r>
        </a:p>
        <a:p>
          <a:r>
            <a:rPr lang="en-GB" sz="1100" baseline="0"/>
            <a:t>Fast growth min = 2025	Fast growth min = 2025	Fast growth min = 2025	Fast growth min =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49</xdr:row>
      <xdr:rowOff>114300</xdr:rowOff>
    </xdr:from>
    <xdr:to>
      <xdr:col>1</xdr:col>
      <xdr:colOff>857250</xdr:colOff>
      <xdr:row>54</xdr:row>
      <xdr:rowOff>171450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F4B1F6-295A-4E35-A988-1E0E7FF84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420350"/>
          <a:ext cx="1104900" cy="1104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785811</xdr:colOff>
      <xdr:row>13</xdr:row>
      <xdr:rowOff>33336</xdr:rowOff>
    </xdr:from>
    <xdr:to>
      <xdr:col>10</xdr:col>
      <xdr:colOff>121227</xdr:colOff>
      <xdr:row>37</xdr:row>
      <xdr:rowOff>31749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1104900</xdr:colOff>
      <xdr:row>58</xdr:row>
      <xdr:rowOff>152400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40D86-B9C7-475C-B9A4-ACDC6A55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80750"/>
          <a:ext cx="1104900" cy="1104900"/>
        </a:xfrm>
        <a:prstGeom prst="rect">
          <a:avLst/>
        </a:prstGeom>
      </xdr:spPr>
    </xdr:pic>
    <xdr:clientData/>
  </xdr:twoCellAnchor>
  <xdr:twoCellAnchor>
    <xdr:from>
      <xdr:col>0</xdr:col>
      <xdr:colOff>1094508</xdr:colOff>
      <xdr:row>54</xdr:row>
      <xdr:rowOff>3464</xdr:rowOff>
    </xdr:from>
    <xdr:to>
      <xdr:col>38</xdr:col>
      <xdr:colOff>93517</xdr:colOff>
      <xdr:row>58</xdr:row>
      <xdr:rowOff>20782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7DE217-5FCA-4046-ABCE-3718AC153C02}"/>
            </a:ext>
          </a:extLst>
        </xdr:cNvPr>
        <xdr:cNvSpPr txBox="1"/>
      </xdr:nvSpPr>
      <xdr:spPr>
        <a:xfrm>
          <a:off x="1094508" y="10671464"/>
          <a:ext cx="37549282" cy="77931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/>
            <a:t>NUMBERS</a:t>
          </a:r>
          <a:r>
            <a:rPr lang="en-GB" sz="4000" baseline="0"/>
            <a:t> BEHIND PROJECTIONS</a:t>
          </a:r>
          <a:endParaRPr lang="en-GB" sz="4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354</xdr:row>
      <xdr:rowOff>95956</xdr:rowOff>
    </xdr:from>
    <xdr:to>
      <xdr:col>10</xdr:col>
      <xdr:colOff>141111</xdr:colOff>
      <xdr:row>368</xdr:row>
      <xdr:rowOff>73378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318220</xdr:colOff>
      <xdr:row>1</xdr:row>
      <xdr:rowOff>17460</xdr:rowOff>
    </xdr:from>
    <xdr:to>
      <xdr:col>8</xdr:col>
      <xdr:colOff>264101</xdr:colOff>
      <xdr:row>20</xdr:row>
      <xdr:rowOff>174623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310285</xdr:colOff>
      <xdr:row>21</xdr:row>
      <xdr:rowOff>102465</xdr:rowOff>
    </xdr:from>
    <xdr:to>
      <xdr:col>8</xdr:col>
      <xdr:colOff>248228</xdr:colOff>
      <xdr:row>52</xdr:row>
      <xdr:rowOff>86590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34636</xdr:colOff>
      <xdr:row>52</xdr:row>
      <xdr:rowOff>138545</xdr:rowOff>
    </xdr:from>
    <xdr:to>
      <xdr:col>0</xdr:col>
      <xdr:colOff>1139536</xdr:colOff>
      <xdr:row>58</xdr:row>
      <xdr:rowOff>100445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3585D0-C98B-4D6B-BD45-71D892296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10044545"/>
          <a:ext cx="1104900" cy="1104900"/>
        </a:xfrm>
        <a:prstGeom prst="rect">
          <a:avLst/>
        </a:prstGeom>
      </xdr:spPr>
    </xdr:pic>
    <xdr:clientData/>
  </xdr:twoCellAnchor>
  <xdr:twoCellAnchor>
    <xdr:from>
      <xdr:col>0</xdr:col>
      <xdr:colOff>1194954</xdr:colOff>
      <xdr:row>53</xdr:row>
      <xdr:rowOff>188335</xdr:rowOff>
    </xdr:from>
    <xdr:to>
      <xdr:col>31</xdr:col>
      <xdr:colOff>84425</xdr:colOff>
      <xdr:row>58</xdr:row>
      <xdr:rowOff>15153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0E88A5C-2F16-486D-85E5-B08B18395EFA}"/>
            </a:ext>
          </a:extLst>
        </xdr:cNvPr>
        <xdr:cNvSpPr txBox="1"/>
      </xdr:nvSpPr>
      <xdr:spPr>
        <a:xfrm>
          <a:off x="1194954" y="10284835"/>
          <a:ext cx="35015198" cy="77931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/>
            <a:t>NUMBERS</a:t>
          </a:r>
          <a:r>
            <a:rPr lang="en-GB" sz="4000" baseline="0"/>
            <a:t> BEHIND PROJECTIONS</a:t>
          </a:r>
          <a:endParaRPr lang="en-GB" sz="4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28864</xdr:colOff>
      <xdr:row>0</xdr:row>
      <xdr:rowOff>187613</xdr:rowOff>
    </xdr:from>
    <xdr:to>
      <xdr:col>8</xdr:col>
      <xdr:colOff>66387</xdr:colOff>
      <xdr:row>26</xdr:row>
      <xdr:rowOff>171738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28864</xdr:colOff>
      <xdr:row>26</xdr:row>
      <xdr:rowOff>203488</xdr:rowOff>
    </xdr:from>
    <xdr:to>
      <xdr:col>8</xdr:col>
      <xdr:colOff>66387</xdr:colOff>
      <xdr:row>51</xdr:row>
      <xdr:rowOff>152832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1104900</xdr:colOff>
      <xdr:row>58</xdr:row>
      <xdr:rowOff>73025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182AE1-DC22-4AC2-A404-E370E29E0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60250"/>
          <a:ext cx="1104900" cy="1104900"/>
        </a:xfrm>
        <a:prstGeom prst="rect">
          <a:avLst/>
        </a:prstGeom>
      </xdr:spPr>
    </xdr:pic>
    <xdr:clientData/>
  </xdr:twoCellAnchor>
  <xdr:twoCellAnchor>
    <xdr:from>
      <xdr:col>0</xdr:col>
      <xdr:colOff>1143000</xdr:colOff>
      <xdr:row>53</xdr:row>
      <xdr:rowOff>190499</xdr:rowOff>
    </xdr:from>
    <xdr:to>
      <xdr:col>31</xdr:col>
      <xdr:colOff>69273</xdr:colOff>
      <xdr:row>57</xdr:row>
      <xdr:rowOff>138545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CAB43BA-EDBE-48A6-A98A-0427D7190CA9}"/>
            </a:ext>
          </a:extLst>
        </xdr:cNvPr>
        <xdr:cNvSpPr txBox="1"/>
      </xdr:nvSpPr>
      <xdr:spPr>
        <a:xfrm>
          <a:off x="1143000" y="11204863"/>
          <a:ext cx="33978273" cy="77931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/>
            <a:t>NUMBERS</a:t>
          </a:r>
          <a:r>
            <a:rPr lang="en-GB" sz="4000" baseline="0"/>
            <a:t> BEHIND PROJECTIONS</a:t>
          </a:r>
          <a:endParaRPr lang="en-GB" sz="4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806823</xdr:colOff>
      <xdr:row>123</xdr:row>
      <xdr:rowOff>22412</xdr:rowOff>
    </xdr:from>
    <xdr:to>
      <xdr:col>26</xdr:col>
      <xdr:colOff>1064559</xdr:colOff>
      <xdr:row>125</xdr:row>
      <xdr:rowOff>67235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237198" y="23453912"/>
          <a:ext cx="5334561" cy="42582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</a:t>
          </a:r>
          <a:r>
            <a:rPr lang="en-GB" sz="1100" baseline="0"/>
            <a:t> average increase in the number of cars per region in Great Britain has a similar average over the last 25 years.</a:t>
          </a:r>
        </a:p>
        <a:p>
          <a:r>
            <a:rPr lang="en-GB" sz="1100" baseline="0"/>
            <a:t>This is why it is assumed that the projections for England could be applied to the whole Great Britain</a:t>
          </a:r>
          <a:endParaRPr lang="en-GB" sz="1100"/>
        </a:p>
      </xdr:txBody>
    </xdr:sp>
    <xdr:clientData/>
  </xdr:twoCellAnchor>
  <xdr:twoCellAnchor>
    <xdr:from>
      <xdr:col>9</xdr:col>
      <xdr:colOff>693873</xdr:colOff>
      <xdr:row>59</xdr:row>
      <xdr:rowOff>17319</xdr:rowOff>
    </xdr:from>
    <xdr:to>
      <xdr:col>19</xdr:col>
      <xdr:colOff>796635</xdr:colOff>
      <xdr:row>89</xdr:row>
      <xdr:rowOff>32241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1149927</xdr:colOff>
      <xdr:row>52</xdr:row>
      <xdr:rowOff>38100</xdr:rowOff>
    </xdr:from>
    <xdr:to>
      <xdr:col>31</xdr:col>
      <xdr:colOff>225136</xdr:colOff>
      <xdr:row>56</xdr:row>
      <xdr:rowOff>55418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49927" y="9944100"/>
          <a:ext cx="42013909" cy="77931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/>
            <a:t>NUMBERS</a:t>
          </a:r>
          <a:r>
            <a:rPr lang="en-GB" sz="4000" baseline="0"/>
            <a:t> BEHIND PROJECTIONS</a:t>
          </a:r>
          <a:endParaRPr lang="en-GB" sz="4000"/>
        </a:p>
      </xdr:txBody>
    </xdr:sp>
    <xdr:clientData/>
  </xdr:twoCellAnchor>
  <xdr:oneCellAnchor>
    <xdr:from>
      <xdr:col>10</xdr:col>
      <xdr:colOff>261938</xdr:colOff>
      <xdr:row>30</xdr:row>
      <xdr:rowOff>119924</xdr:rowOff>
    </xdr:from>
    <xdr:ext cx="4857749" cy="296799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81938" y="5834924"/>
          <a:ext cx="4857749" cy="2967995"/>
        </a:xfrm>
        <a:prstGeom prst="rect">
          <a:avLst/>
        </a:prstGeom>
      </xdr:spPr>
    </xdr:pic>
    <xdr:clientData/>
  </xdr:oneCellAnchor>
  <xdr:twoCellAnchor>
    <xdr:from>
      <xdr:col>7</xdr:col>
      <xdr:colOff>588816</xdr:colOff>
      <xdr:row>1</xdr:row>
      <xdr:rowOff>138546</xdr:rowOff>
    </xdr:from>
    <xdr:to>
      <xdr:col>18</xdr:col>
      <xdr:colOff>1108362</xdr:colOff>
      <xdr:row>28</xdr:row>
      <xdr:rowOff>155863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190500</xdr:colOff>
      <xdr:row>30</xdr:row>
      <xdr:rowOff>0</xdr:rowOff>
    </xdr:from>
    <xdr:to>
      <xdr:col>11</xdr:col>
      <xdr:colOff>952500</xdr:colOff>
      <xdr:row>48</xdr:row>
      <xdr:rowOff>155864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7810500" y="5715000"/>
          <a:ext cx="1333500" cy="3584864"/>
        </a:xfrm>
        <a:prstGeom prst="round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50</xdr:row>
      <xdr:rowOff>155863</xdr:rowOff>
    </xdr:from>
    <xdr:to>
      <xdr:col>0</xdr:col>
      <xdr:colOff>1104900</xdr:colOff>
      <xdr:row>56</xdr:row>
      <xdr:rowOff>117763</xdr:rowOff>
    </xdr:to>
    <xdr:pic>
      <xdr:nvPicPr>
        <xdr:cNvPr id="8" name="Pictur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FCB5E0-4A7C-4635-A5C9-657F1EB5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7454"/>
          <a:ext cx="1104900" cy="1104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42</xdr:row>
      <xdr:rowOff>71438</xdr:rowOff>
    </xdr:from>
    <xdr:to>
      <xdr:col>3</xdr:col>
      <xdr:colOff>682769</xdr:colOff>
      <xdr:row>47</xdr:row>
      <xdr:rowOff>134541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8B9C4-FE47-4621-8CDD-26C2BC598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9120188"/>
          <a:ext cx="1111394" cy="10156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1099832</xdr:colOff>
      <xdr:row>50</xdr:row>
      <xdr:rowOff>59475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D4556-8804-4B55-BE80-593E26E6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5915"/>
          <a:ext cx="1104900" cy="1104900"/>
        </a:xfrm>
        <a:prstGeom prst="rect">
          <a:avLst/>
        </a:prstGeom>
      </xdr:spPr>
    </xdr:pic>
    <xdr:clientData/>
  </xdr:twoCellAnchor>
  <xdr:twoCellAnchor>
    <xdr:from>
      <xdr:col>0</xdr:col>
      <xdr:colOff>1143000</xdr:colOff>
      <xdr:row>45</xdr:row>
      <xdr:rowOff>190501</xdr:rowOff>
    </xdr:from>
    <xdr:to>
      <xdr:col>34</xdr:col>
      <xdr:colOff>51954</xdr:colOff>
      <xdr:row>49</xdr:row>
      <xdr:rowOff>138546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27334-8A9D-4AD0-8EBD-011EB79C9535}"/>
            </a:ext>
          </a:extLst>
        </xdr:cNvPr>
        <xdr:cNvSpPr txBox="1"/>
      </xdr:nvSpPr>
      <xdr:spPr>
        <a:xfrm>
          <a:off x="1143000" y="10425546"/>
          <a:ext cx="42013909" cy="77931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000"/>
            <a:t>NUMBERS</a:t>
          </a:r>
          <a:r>
            <a:rPr lang="en-GB" sz="4000" baseline="0"/>
            <a:t> BEHIND PROJECTIONS</a:t>
          </a:r>
          <a:endParaRPr lang="en-GB" sz="4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gov.uk/dataset/national-trip-end-model-ntem/resource/e8e77184-8550-43ae-9a6c-a1c77b149685" TargetMode="External"/><Relationship Id="rId2" Type="http://schemas.openxmlformats.org/officeDocument/2006/relationships/hyperlink" Target="http://www.dft.gov.uk/statistics/series/traffic/" TargetMode="External"/><Relationship Id="rId1" Type="http://schemas.openxmlformats.org/officeDocument/2006/relationships/hyperlink" Target="http://www.dft.gov.uk/statistics/series/vehicle-licensing/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fes.nationalgrid.com/media/1253/final-fes-2017-updated-interactive-pdf-44-amended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3"/>
  <sheetViews>
    <sheetView tabSelected="1" zoomScale="55" zoomScaleNormal="55" workbookViewId="0">
      <selection activeCell="D41" sqref="D41"/>
    </sheetView>
  </sheetViews>
  <sheetFormatPr defaultColWidth="9" defaultRowHeight="15.6"/>
  <cols>
    <col min="1" max="1" width="9" style="179"/>
    <col min="2" max="2" width="16.8984375" style="179" bestFit="1" customWidth="1"/>
    <col min="3" max="3" width="26.69921875" style="179" bestFit="1" customWidth="1"/>
    <col min="4" max="4" width="42.09765625" style="179" bestFit="1" customWidth="1"/>
    <col min="5" max="5" width="20" style="179" bestFit="1" customWidth="1"/>
    <col min="6" max="16384" width="9" style="179"/>
  </cols>
  <sheetData>
    <row r="3" spans="2:9">
      <c r="D3" s="283"/>
    </row>
    <row r="4" spans="2:9">
      <c r="I4" s="281"/>
    </row>
    <row r="5" spans="2:9">
      <c r="D5" s="284"/>
      <c r="E5" s="341"/>
      <c r="F5" s="341"/>
      <c r="G5" s="341"/>
      <c r="I5" s="282"/>
    </row>
    <row r="6" spans="2:9">
      <c r="D6" s="284"/>
      <c r="E6" s="341"/>
      <c r="F6" s="341"/>
      <c r="G6" s="341"/>
      <c r="I6" s="282"/>
    </row>
    <row r="7" spans="2:9">
      <c r="D7" s="284"/>
      <c r="E7" s="341"/>
      <c r="F7" s="341"/>
      <c r="G7" s="341"/>
    </row>
    <row r="9" spans="2:9">
      <c r="B9" s="285" t="s">
        <v>0</v>
      </c>
      <c r="C9" s="491" t="s">
        <v>1</v>
      </c>
      <c r="D9" s="491"/>
      <c r="E9" s="285" t="s">
        <v>2</v>
      </c>
    </row>
    <row r="10" spans="2:9">
      <c r="B10" s="486" t="s">
        <v>3</v>
      </c>
      <c r="C10" s="489" t="s">
        <v>4</v>
      </c>
      <c r="D10" s="489"/>
      <c r="E10" s="487" t="s">
        <v>5</v>
      </c>
    </row>
    <row r="11" spans="2:9">
      <c r="B11" s="486"/>
      <c r="C11" s="489"/>
      <c r="D11" s="489"/>
      <c r="E11" s="487"/>
    </row>
    <row r="12" spans="2:9">
      <c r="B12" s="486"/>
      <c r="C12" s="489"/>
      <c r="D12" s="489"/>
      <c r="E12" s="487"/>
    </row>
    <row r="13" spans="2:9">
      <c r="B13" s="488"/>
      <c r="C13" s="488"/>
      <c r="D13" s="488"/>
      <c r="E13" s="488"/>
    </row>
    <row r="14" spans="2:9">
      <c r="B14" s="486" t="s">
        <v>6</v>
      </c>
      <c r="C14" s="489" t="s">
        <v>7</v>
      </c>
      <c r="D14" s="339" t="s">
        <v>8</v>
      </c>
      <c r="E14" s="342" t="s">
        <v>9</v>
      </c>
    </row>
    <row r="15" spans="2:9">
      <c r="B15" s="486"/>
      <c r="C15" s="489"/>
      <c r="D15" s="339" t="s">
        <v>10</v>
      </c>
      <c r="E15" s="342" t="s">
        <v>11</v>
      </c>
    </row>
    <row r="16" spans="2:9">
      <c r="B16" s="486"/>
      <c r="C16" s="489"/>
      <c r="D16" s="339" t="s">
        <v>12</v>
      </c>
      <c r="E16" s="342" t="s">
        <v>13</v>
      </c>
    </row>
    <row r="17" spans="2:5">
      <c r="B17" s="486"/>
      <c r="C17" s="489"/>
      <c r="D17" s="339" t="s">
        <v>14</v>
      </c>
      <c r="E17" s="342" t="s">
        <v>15</v>
      </c>
    </row>
    <row r="18" spans="2:5">
      <c r="B18" s="486"/>
      <c r="C18" s="489" t="s">
        <v>16</v>
      </c>
      <c r="D18" s="489"/>
      <c r="E18" s="490" t="s">
        <v>17</v>
      </c>
    </row>
    <row r="19" spans="2:5">
      <c r="B19" s="486"/>
      <c r="C19" s="489"/>
      <c r="D19" s="489"/>
      <c r="E19" s="487"/>
    </row>
    <row r="20" spans="2:5">
      <c r="B20" s="486"/>
      <c r="C20" s="489"/>
      <c r="D20" s="489"/>
      <c r="E20" s="487"/>
    </row>
    <row r="21" spans="2:5">
      <c r="B21" s="486"/>
      <c r="C21" s="489" t="s">
        <v>18</v>
      </c>
      <c r="D21" s="489"/>
      <c r="E21" s="487" t="s">
        <v>18</v>
      </c>
    </row>
    <row r="22" spans="2:5">
      <c r="B22" s="486"/>
      <c r="C22" s="489"/>
      <c r="D22" s="489"/>
      <c r="E22" s="487"/>
    </row>
    <row r="23" spans="2:5">
      <c r="B23" s="486"/>
      <c r="C23" s="489"/>
      <c r="D23" s="489"/>
      <c r="E23" s="487"/>
    </row>
    <row r="24" spans="2:5">
      <c r="B24" s="488"/>
      <c r="C24" s="488"/>
      <c r="D24" s="488"/>
      <c r="E24" s="488"/>
    </row>
    <row r="25" spans="2:5">
      <c r="B25" s="486" t="s">
        <v>19</v>
      </c>
      <c r="C25" s="489" t="s">
        <v>20</v>
      </c>
      <c r="D25" s="339" t="s">
        <v>21</v>
      </c>
      <c r="E25" s="342" t="s">
        <v>22</v>
      </c>
    </row>
    <row r="26" spans="2:5">
      <c r="B26" s="486"/>
      <c r="C26" s="489"/>
      <c r="D26" s="339" t="s">
        <v>23</v>
      </c>
      <c r="E26" s="340" t="s">
        <v>24</v>
      </c>
    </row>
    <row r="27" spans="2:5">
      <c r="B27" s="486"/>
      <c r="C27" s="489"/>
      <c r="D27" s="339" t="s">
        <v>25</v>
      </c>
      <c r="E27" s="342" t="s">
        <v>26</v>
      </c>
    </row>
    <row r="28" spans="2:5">
      <c r="B28" s="486"/>
      <c r="C28" s="489" t="s">
        <v>27</v>
      </c>
      <c r="D28" s="489" t="s">
        <v>28</v>
      </c>
      <c r="E28" s="490" t="s">
        <v>28</v>
      </c>
    </row>
    <row r="29" spans="2:5">
      <c r="B29" s="486"/>
      <c r="C29" s="489"/>
      <c r="D29" s="489"/>
      <c r="E29" s="487"/>
    </row>
    <row r="30" spans="2:5">
      <c r="B30" s="486"/>
      <c r="C30" s="489"/>
      <c r="D30" s="489"/>
      <c r="E30" s="487"/>
    </row>
    <row r="31" spans="2:5">
      <c r="B31" s="486"/>
      <c r="C31" s="489" t="s">
        <v>29</v>
      </c>
      <c r="D31" s="339" t="s">
        <v>300</v>
      </c>
      <c r="E31" s="485" t="s">
        <v>301</v>
      </c>
    </row>
    <row r="32" spans="2:5">
      <c r="B32" s="486"/>
      <c r="C32" s="489"/>
      <c r="D32" s="339" t="s">
        <v>30</v>
      </c>
      <c r="E32" s="342" t="s">
        <v>31</v>
      </c>
    </row>
    <row r="33" spans="2:5">
      <c r="B33" s="486"/>
      <c r="C33" s="489"/>
      <c r="D33" s="339" t="s">
        <v>32</v>
      </c>
      <c r="E33" s="342" t="s">
        <v>33</v>
      </c>
    </row>
  </sheetData>
  <mergeCells count="18">
    <mergeCell ref="C9:D9"/>
    <mergeCell ref="C25:C27"/>
    <mergeCell ref="C28:C30"/>
    <mergeCell ref="D28:D30"/>
    <mergeCell ref="C31:C33"/>
    <mergeCell ref="B25:B33"/>
    <mergeCell ref="E10:E12"/>
    <mergeCell ref="B13:E13"/>
    <mergeCell ref="B24:E24"/>
    <mergeCell ref="B14:B23"/>
    <mergeCell ref="C14:C17"/>
    <mergeCell ref="C18:D20"/>
    <mergeCell ref="C21:D23"/>
    <mergeCell ref="B10:B12"/>
    <mergeCell ref="C10:D12"/>
    <mergeCell ref="E18:E20"/>
    <mergeCell ref="E21:E23"/>
    <mergeCell ref="E28:E30"/>
  </mergeCells>
  <hyperlinks>
    <hyperlink ref="E10:E12" location="GUI!A1" display="GUI"/>
    <hyperlink ref="E14" location="'PRs Analysis'!A1" display="PRs Analysis"/>
    <hyperlink ref="E15" location="'Business as Usual PR'!A1" display="Business as Usual PR"/>
    <hyperlink ref="E16" location="'Intermediate Limit PR'!A1" display="Intermediate Limit PR"/>
    <hyperlink ref="E17" location="'Upper Limit  PR'!A1" display="Upper Limit  PR"/>
    <hyperlink ref="E18:E20" location="'Nº Cars Projection'!A1" display="Nº Cars Projections"/>
    <hyperlink ref="E21:E23" location="Scenarios!A1" display="Scenarios"/>
    <hyperlink ref="E25" location="'Demand '!A1" display="Demand"/>
    <hyperlink ref="E26" location="Grid!A1" display="Grid"/>
    <hyperlink ref="E27" location="'Charging '!A1" display="Charging"/>
    <hyperlink ref="E28:E30" location="'Tax Revenue Lost'!A1" display="Tax Revenue Lost"/>
    <hyperlink ref="E32" location="'CO2'!A1" display="CO2"/>
    <hyperlink ref="E33" location="'NOx '!A1" display="NOx"/>
    <hyperlink ref="E31" location="'Lithium and REE'!A1" display="Lithium &amp; REE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40" zoomScaleNormal="40" workbookViewId="0">
      <selection activeCell="AD8" sqref="AD8:AD42"/>
    </sheetView>
  </sheetViews>
  <sheetFormatPr defaultColWidth="11" defaultRowHeight="15.6"/>
  <cols>
    <col min="1" max="1" width="23.69921875" bestFit="1" customWidth="1"/>
    <col min="2" max="2" width="9.59765625" bestFit="1" customWidth="1"/>
    <col min="3" max="3" width="12.8984375" bestFit="1" customWidth="1"/>
    <col min="4" max="4" width="15.59765625" bestFit="1" customWidth="1"/>
    <col min="6" max="6" width="12.59765625" bestFit="1" customWidth="1"/>
    <col min="7" max="7" width="15.59765625" bestFit="1" customWidth="1"/>
    <col min="10" max="10" width="15.59765625" bestFit="1" customWidth="1"/>
    <col min="14" max="14" width="15.59765625" bestFit="1" customWidth="1"/>
    <col min="17" max="17" width="15.59765625" bestFit="1" customWidth="1"/>
    <col min="20" max="20" width="15.59765625" bestFit="1" customWidth="1"/>
    <col min="24" max="24" width="15.59765625" bestFit="1" customWidth="1"/>
    <col min="27" max="27" width="15.59765625" bestFit="1" customWidth="1"/>
    <col min="30" max="30" width="15.59765625" bestFit="1" customWidth="1"/>
  </cols>
  <sheetData>
    <row r="1" spans="1:30" ht="16.2" thickBot="1"/>
    <row r="2" spans="1:30" ht="16.2" thickBot="1">
      <c r="A2" s="546" t="s">
        <v>224</v>
      </c>
      <c r="B2" s="547"/>
    </row>
    <row r="3" spans="1:30">
      <c r="A3" s="412" t="s">
        <v>196</v>
      </c>
      <c r="B3" s="411">
        <v>2127.5101599970199</v>
      </c>
    </row>
    <row r="4" spans="1:30" ht="16.2" thickBot="1">
      <c r="A4" s="413" t="s">
        <v>225</v>
      </c>
      <c r="B4" s="414">
        <f>B3/1000000000</f>
        <v>2.1275101599970197E-6</v>
      </c>
      <c r="C4" s="179"/>
      <c r="F4" s="181"/>
    </row>
    <row r="5" spans="1:30" ht="29.4" thickBot="1">
      <c r="C5" s="551"/>
      <c r="D5" s="551"/>
      <c r="E5" s="551"/>
      <c r="F5" s="551"/>
      <c r="G5" s="551"/>
      <c r="H5" s="551"/>
      <c r="I5" s="551"/>
      <c r="J5" s="551"/>
      <c r="K5" s="350"/>
      <c r="L5" s="325"/>
      <c r="M5" s="551"/>
      <c r="N5" s="551"/>
      <c r="O5" s="551"/>
      <c r="P5" s="551"/>
      <c r="Q5" s="551"/>
      <c r="R5" s="551"/>
      <c r="S5" s="551"/>
      <c r="T5" s="551"/>
      <c r="U5" s="350"/>
      <c r="V5" s="350"/>
      <c r="W5" s="548"/>
      <c r="X5" s="548"/>
      <c r="Y5" s="548"/>
      <c r="Z5" s="548"/>
      <c r="AA5" s="548"/>
      <c r="AB5" s="548"/>
      <c r="AC5" s="548"/>
      <c r="AD5" s="548"/>
    </row>
    <row r="6" spans="1:30" ht="33.75" customHeight="1" thickBot="1">
      <c r="C6" s="549" t="s">
        <v>199</v>
      </c>
      <c r="D6" s="550"/>
      <c r="E6" s="31"/>
      <c r="F6" s="549" t="s">
        <v>181</v>
      </c>
      <c r="G6" s="550"/>
      <c r="H6" s="31"/>
      <c r="I6" s="549" t="s">
        <v>182</v>
      </c>
      <c r="J6" s="550"/>
      <c r="M6" s="549" t="s">
        <v>184</v>
      </c>
      <c r="N6" s="550"/>
      <c r="O6" s="31"/>
      <c r="P6" s="549" t="s">
        <v>185</v>
      </c>
      <c r="Q6" s="550"/>
      <c r="R6" s="31"/>
      <c r="S6" s="549" t="s">
        <v>186</v>
      </c>
      <c r="T6" s="550"/>
      <c r="W6" s="549" t="s">
        <v>188</v>
      </c>
      <c r="X6" s="550"/>
      <c r="Y6" s="31"/>
      <c r="Z6" s="549" t="s">
        <v>189</v>
      </c>
      <c r="AA6" s="550"/>
      <c r="AB6" s="31"/>
      <c r="AC6" s="549" t="s">
        <v>190</v>
      </c>
      <c r="AD6" s="550"/>
    </row>
    <row r="7" spans="1:30" ht="31.2">
      <c r="A7" s="271" t="s">
        <v>200</v>
      </c>
      <c r="C7" s="379" t="s">
        <v>201</v>
      </c>
      <c r="D7" s="380" t="s">
        <v>226</v>
      </c>
      <c r="E7" s="30"/>
      <c r="F7" s="379" t="s">
        <v>201</v>
      </c>
      <c r="G7" s="380" t="s">
        <v>226</v>
      </c>
      <c r="H7" s="28"/>
      <c r="I7" s="379" t="s">
        <v>201</v>
      </c>
      <c r="J7" s="380" t="s">
        <v>226</v>
      </c>
      <c r="M7" s="379" t="s">
        <v>201</v>
      </c>
      <c r="N7" s="380" t="s">
        <v>226</v>
      </c>
      <c r="O7" s="30"/>
      <c r="P7" s="379" t="s">
        <v>201</v>
      </c>
      <c r="Q7" s="380" t="s">
        <v>226</v>
      </c>
      <c r="R7" s="28"/>
      <c r="S7" s="379" t="s">
        <v>201</v>
      </c>
      <c r="T7" s="380" t="s">
        <v>226</v>
      </c>
      <c r="W7" s="379" t="s">
        <v>201</v>
      </c>
      <c r="X7" s="380" t="s">
        <v>226</v>
      </c>
      <c r="Y7" s="30"/>
      <c r="Z7" s="379" t="s">
        <v>201</v>
      </c>
      <c r="AA7" s="380" t="s">
        <v>226</v>
      </c>
      <c r="AB7" s="28"/>
      <c r="AC7" s="379" t="s">
        <v>201</v>
      </c>
      <c r="AD7" s="380" t="s">
        <v>226</v>
      </c>
    </row>
    <row r="8" spans="1:30">
      <c r="A8" s="359">
        <v>2016</v>
      </c>
      <c r="C8" s="404">
        <f>Scenarios!H6</f>
        <v>33859.664237524528</v>
      </c>
      <c r="D8" s="415">
        <f t="shared" ref="D8:D42" si="0">($B$3*C8)/1000000000</f>
        <v>7.2036779679421181E-2</v>
      </c>
      <c r="F8" s="404">
        <f>Scenarios!M6</f>
        <v>33859.664237524528</v>
      </c>
      <c r="G8" s="415">
        <f t="shared" ref="G8:G42" si="1">($B$4*F8)</f>
        <v>7.2036779679421181E-2</v>
      </c>
      <c r="I8" s="404">
        <f>Scenarios!R6</f>
        <v>33859.664237524528</v>
      </c>
      <c r="J8" s="415">
        <f t="shared" ref="J8:J42" si="2">($B$4*I8)</f>
        <v>7.2036779679421181E-2</v>
      </c>
      <c r="M8" s="404">
        <f>Scenarios!AD6</f>
        <v>33859.664237524528</v>
      </c>
      <c r="N8" s="415">
        <f t="shared" ref="N8:N42" si="3">M8*$B$4</f>
        <v>7.2036779679421181E-2</v>
      </c>
      <c r="P8" s="404">
        <f>Scenarios!AI6</f>
        <v>33859.664237524528</v>
      </c>
      <c r="Q8" s="415">
        <f t="shared" ref="Q8:Q42" si="4">P8*$B$4</f>
        <v>7.2036779679421181E-2</v>
      </c>
      <c r="S8" s="404">
        <f>Scenarios!AN6</f>
        <v>33859.664237524528</v>
      </c>
      <c r="T8" s="415">
        <f t="shared" ref="T8:T42" si="5">$B$4*S8</f>
        <v>7.2036779679421181E-2</v>
      </c>
      <c r="W8" s="404">
        <f>Scenarios!AY6</f>
        <v>33859.664237524528</v>
      </c>
      <c r="X8" s="415">
        <f t="shared" ref="X8:X42" si="6">$B$4*W8</f>
        <v>7.2036779679421181E-2</v>
      </c>
      <c r="Z8" s="404">
        <f>Scenarios!BD6</f>
        <v>33859.664237524528</v>
      </c>
      <c r="AA8" s="415">
        <f t="shared" ref="AA8:AA42" si="7">$B$4*Z8</f>
        <v>7.2036779679421181E-2</v>
      </c>
      <c r="AC8" s="404">
        <f>Scenarios!BI6</f>
        <v>33859.664237524528</v>
      </c>
      <c r="AD8" s="415">
        <f t="shared" ref="AD8:AD42" si="8">$B$4*AC8</f>
        <v>7.2036779679421181E-2</v>
      </c>
    </row>
    <row r="9" spans="1:30">
      <c r="A9" s="360">
        <v>2017</v>
      </c>
      <c r="C9" s="403">
        <f>Scenarios!H7</f>
        <v>42921.825458555708</v>
      </c>
      <c r="D9" s="416">
        <f t="shared" si="0"/>
        <v>9.131661974869601E-2</v>
      </c>
      <c r="F9" s="403">
        <f>Scenarios!M7</f>
        <v>42921.825458555708</v>
      </c>
      <c r="G9" s="416">
        <f t="shared" si="1"/>
        <v>9.131661974869601E-2</v>
      </c>
      <c r="I9" s="403">
        <f>Scenarios!R7</f>
        <v>42921.825458555708</v>
      </c>
      <c r="J9" s="416">
        <f t="shared" si="2"/>
        <v>9.131661974869601E-2</v>
      </c>
      <c r="M9" s="403">
        <f>Scenarios!AD7</f>
        <v>42564.955269477316</v>
      </c>
      <c r="N9" s="416">
        <f t="shared" si="3"/>
        <v>9.0557374795631668E-2</v>
      </c>
      <c r="P9" s="403">
        <f>Scenarios!AI7</f>
        <v>42564.955269477316</v>
      </c>
      <c r="Q9" s="416">
        <f t="shared" si="4"/>
        <v>9.0557374795631668E-2</v>
      </c>
      <c r="S9" s="403">
        <f>Scenarios!AN7</f>
        <v>42564.955269477316</v>
      </c>
      <c r="T9" s="416">
        <f t="shared" si="5"/>
        <v>9.0557374795631668E-2</v>
      </c>
      <c r="W9" s="403">
        <f>Scenarios!AY7</f>
        <v>42316.978030640552</v>
      </c>
      <c r="X9" s="416">
        <f t="shared" si="6"/>
        <v>9.0029800700558452E-2</v>
      </c>
      <c r="Z9" s="403">
        <f>Scenarios!BD7</f>
        <v>42316.978030640552</v>
      </c>
      <c r="AA9" s="416">
        <f t="shared" si="7"/>
        <v>9.0029800700558452E-2</v>
      </c>
      <c r="AC9" s="403">
        <f>Scenarios!BI7</f>
        <v>42316.978030640552</v>
      </c>
      <c r="AD9" s="416">
        <f t="shared" si="8"/>
        <v>9.0029800700558452E-2</v>
      </c>
    </row>
    <row r="10" spans="1:30">
      <c r="A10" s="360">
        <v>2018</v>
      </c>
      <c r="C10" s="403">
        <f>Scenarios!H8</f>
        <v>52338.715360765738</v>
      </c>
      <c r="D10" s="416">
        <f t="shared" si="0"/>
        <v>0.11135114869122119</v>
      </c>
      <c r="F10" s="403">
        <f>Scenarios!M8</f>
        <v>52206.18511696683</v>
      </c>
      <c r="G10" s="416">
        <f t="shared" si="1"/>
        <v>0.11106918925103212</v>
      </c>
      <c r="I10" s="403">
        <f>Scenarios!R8</f>
        <v>52206.18511696683</v>
      </c>
      <c r="J10" s="416">
        <f t="shared" si="2"/>
        <v>0.11106918925103212</v>
      </c>
      <c r="M10" s="403">
        <f>Scenarios!AD8</f>
        <v>51479.459130964729</v>
      </c>
      <c r="N10" s="416">
        <f t="shared" si="3"/>
        <v>0.1095230723322788</v>
      </c>
      <c r="P10" s="403">
        <f>Scenarios!AI8</f>
        <v>51349.104665398743</v>
      </c>
      <c r="Q10" s="416">
        <f t="shared" si="4"/>
        <v>0.10924574188238619</v>
      </c>
      <c r="S10" s="403">
        <f>Scenarios!AN8</f>
        <v>51349.104665398743</v>
      </c>
      <c r="T10" s="416">
        <f t="shared" si="5"/>
        <v>0.10924574188238619</v>
      </c>
      <c r="W10" s="403">
        <f>Scenarios!AY8</f>
        <v>50882.387719935425</v>
      </c>
      <c r="X10" s="416">
        <f t="shared" si="6"/>
        <v>0.1082527968390702</v>
      </c>
      <c r="Z10" s="403">
        <f>Scenarios!BD8</f>
        <v>50753.545137477842</v>
      </c>
      <c r="AA10" s="416">
        <f t="shared" si="7"/>
        <v>0.10797868293585144</v>
      </c>
      <c r="AC10" s="403">
        <f>Scenarios!BI8</f>
        <v>50753.545137477842</v>
      </c>
      <c r="AD10" s="416">
        <f t="shared" si="8"/>
        <v>0.10797868293585144</v>
      </c>
    </row>
    <row r="11" spans="1:30">
      <c r="A11" s="360">
        <v>2019</v>
      </c>
      <c r="C11" s="403">
        <f>Scenarios!H9</f>
        <v>63263.530730475759</v>
      </c>
      <c r="D11" s="416">
        <f t="shared" si="0"/>
        <v>0.13459380438637086</v>
      </c>
      <c r="F11" s="403">
        <f>Scenarios!M9</f>
        <v>61712.74321275788</v>
      </c>
      <c r="G11" s="416">
        <f t="shared" si="1"/>
        <v>0.1312944881864295</v>
      </c>
      <c r="I11" s="403">
        <f>Scenarios!R9</f>
        <v>61712.74321275788</v>
      </c>
      <c r="J11" s="416">
        <f t="shared" si="2"/>
        <v>0.1312944881864295</v>
      </c>
      <c r="M11" s="403">
        <f>Scenarios!AD9</f>
        <v>61725.189272452124</v>
      </c>
      <c r="N11" s="416">
        <f t="shared" si="3"/>
        <v>0.13132096730488094</v>
      </c>
      <c r="P11" s="403">
        <f>Scenarios!AI9</f>
        <v>60212.111327746454</v>
      </c>
      <c r="Q11" s="416">
        <f t="shared" si="4"/>
        <v>0.12810187860465222</v>
      </c>
      <c r="S11" s="403">
        <f>Scenarios!AN9</f>
        <v>60212.111327746454</v>
      </c>
      <c r="T11" s="416">
        <f t="shared" si="5"/>
        <v>0.12810187860465222</v>
      </c>
      <c r="W11" s="403">
        <f>Scenarios!AY9</f>
        <v>60656.240209230287</v>
      </c>
      <c r="X11" s="416">
        <f t="shared" si="6"/>
        <v>0.12904676731235717</v>
      </c>
      <c r="Z11" s="403">
        <f>Scenarios!BD9</f>
        <v>59169.365558036377</v>
      </c>
      <c r="AA11" s="416">
        <f t="shared" si="7"/>
        <v>0.12588342638530012</v>
      </c>
      <c r="AC11" s="403">
        <f>Scenarios!BI9</f>
        <v>59169.365558036377</v>
      </c>
      <c r="AD11" s="416">
        <f t="shared" si="8"/>
        <v>0.12588342638530012</v>
      </c>
    </row>
    <row r="12" spans="1:30">
      <c r="A12" s="360">
        <v>2020</v>
      </c>
      <c r="C12" s="403">
        <f>Scenarios!H10</f>
        <v>75744.608250185789</v>
      </c>
      <c r="D12" s="416">
        <f t="shared" si="0"/>
        <v>0.16114742361726436</v>
      </c>
      <c r="F12" s="403">
        <f>Scenarios!M10</f>
        <v>71441.499745928857</v>
      </c>
      <c r="G12" s="416">
        <f t="shared" si="1"/>
        <v>0.15199251655488816</v>
      </c>
      <c r="I12" s="403">
        <f>Scenarios!R10</f>
        <v>71441.499745928857</v>
      </c>
      <c r="J12" s="416">
        <f t="shared" si="2"/>
        <v>0.15199251655488816</v>
      </c>
      <c r="M12" s="403">
        <f>Scenarios!AD10</f>
        <v>73319.302400809785</v>
      </c>
      <c r="N12" s="416">
        <f t="shared" si="3"/>
        <v>0.15598756078161669</v>
      </c>
      <c r="P12" s="403">
        <f>Scenarios!AI10</f>
        <v>69153.977356880525</v>
      </c>
      <c r="Q12" s="416">
        <f t="shared" si="4"/>
        <v>0.14712578943096716</v>
      </c>
      <c r="S12" s="403">
        <f>Scenarios!AN10</f>
        <v>69153.977356880525</v>
      </c>
      <c r="T12" s="416">
        <f t="shared" si="5"/>
        <v>0.14712578943096716</v>
      </c>
      <c r="W12" s="403">
        <f>Scenarios!AY10</f>
        <v>71634.02229852516</v>
      </c>
      <c r="X12" s="416">
        <f t="shared" si="6"/>
        <v>0.15240211024156533</v>
      </c>
      <c r="Z12" s="403">
        <f>Scenarios!BD10</f>
        <v>67564.439292316165</v>
      </c>
      <c r="AA12" s="416">
        <f t="shared" si="7"/>
        <v>0.14374403104890449</v>
      </c>
      <c r="AC12" s="403">
        <f>Scenarios!BI10</f>
        <v>67564.439292316165</v>
      </c>
      <c r="AD12" s="416">
        <f t="shared" si="8"/>
        <v>0.14374403104890449</v>
      </c>
    </row>
    <row r="13" spans="1:30">
      <c r="A13" s="360">
        <v>2021</v>
      </c>
      <c r="C13" s="403">
        <f>Scenarios!H11</f>
        <v>89830.284602395812</v>
      </c>
      <c r="D13" s="416">
        <f t="shared" si="0"/>
        <v>0.19111484316702096</v>
      </c>
      <c r="F13" s="403">
        <f>Scenarios!M11</f>
        <v>81392.45471647974</v>
      </c>
      <c r="G13" s="416">
        <f t="shared" si="1"/>
        <v>0.17316327435640799</v>
      </c>
      <c r="I13" s="403">
        <f>Scenarios!R11</f>
        <v>81392.45471647974</v>
      </c>
      <c r="J13" s="416">
        <f t="shared" si="2"/>
        <v>0.17316327435640799</v>
      </c>
      <c r="M13" s="403">
        <f>Scenarios!AD11</f>
        <v>86479.850698259645</v>
      </c>
      <c r="N13" s="416">
        <f t="shared" si="3"/>
        <v>0.18398676099557276</v>
      </c>
      <c r="P13" s="403">
        <f>Scenarios!AI11</f>
        <v>78356.729726516962</v>
      </c>
      <c r="Q13" s="416">
        <f t="shared" si="4"/>
        <v>0.16670473859730534</v>
      </c>
      <c r="S13" s="403">
        <f>Scenarios!AN11</f>
        <v>78356.729726516962</v>
      </c>
      <c r="T13" s="416">
        <f t="shared" si="5"/>
        <v>0.16670473859730534</v>
      </c>
      <c r="W13" s="403">
        <f>Scenarios!AY11</f>
        <v>83968.689414029082</v>
      </c>
      <c r="X13" s="416">
        <f t="shared" si="6"/>
        <v>0.17864423984998107</v>
      </c>
      <c r="Z13" s="403">
        <f>Scenarios!BD11</f>
        <v>76081.443813562597</v>
      </c>
      <c r="AA13" s="416">
        <f t="shared" si="7"/>
        <v>0.16186404470059682</v>
      </c>
      <c r="AC13" s="403">
        <f>Scenarios!BI11</f>
        <v>76081.443813562597</v>
      </c>
      <c r="AD13" s="416">
        <f t="shared" si="8"/>
        <v>0.16186404470059682</v>
      </c>
    </row>
    <row r="14" spans="1:30">
      <c r="A14" s="360">
        <v>2022</v>
      </c>
      <c r="C14" s="403">
        <f>Scenarios!H12</f>
        <v>105568.89646960584</v>
      </c>
      <c r="D14" s="416">
        <f t="shared" si="0"/>
        <v>0.22459889981875994</v>
      </c>
      <c r="F14" s="403">
        <f>Scenarios!M12</f>
        <v>91565.608124410574</v>
      </c>
      <c r="G14" s="416">
        <f t="shared" si="1"/>
        <v>0.19480676159098914</v>
      </c>
      <c r="I14" s="403">
        <f>Scenarios!R12</f>
        <v>92050.611047847065</v>
      </c>
      <c r="J14" s="416">
        <f t="shared" si="2"/>
        <v>0.19583861023822854</v>
      </c>
      <c r="M14" s="403">
        <f>Scenarios!AD12</f>
        <v>101087.76864922397</v>
      </c>
      <c r="N14" s="416">
        <f t="shared" si="3"/>
        <v>0.21506525485265221</v>
      </c>
      <c r="P14" s="403">
        <f>Scenarios!AI12</f>
        <v>87678.883836498615</v>
      </c>
      <c r="Q14" s="416">
        <f t="shared" si="4"/>
        <v>0.18653771617934928</v>
      </c>
      <c r="S14" s="403">
        <f>Scenarios!AN12</f>
        <v>88143.299634694078</v>
      </c>
      <c r="T14" s="416">
        <f t="shared" si="5"/>
        <v>0.18752576550847325</v>
      </c>
      <c r="W14" s="403">
        <f>Scenarios!AY12</f>
        <v>97548.95652953301</v>
      </c>
      <c r="X14" s="416">
        <f t="shared" si="6"/>
        <v>0.2075363961136891</v>
      </c>
      <c r="Z14" s="403">
        <f>Scenarios!BD12</f>
        <v>84609.480872048487</v>
      </c>
      <c r="AA14" s="416">
        <f t="shared" si="7"/>
        <v>0.18000753018735666</v>
      </c>
      <c r="AC14" s="403">
        <f>Scenarios!BI12</f>
        <v>85057.638716614238</v>
      </c>
      <c r="AD14" s="416">
        <f t="shared" si="8"/>
        <v>0.18096099055495266</v>
      </c>
    </row>
    <row r="15" spans="1:30">
      <c r="A15" s="360">
        <v>2023</v>
      </c>
      <c r="C15" s="403">
        <f>Scenarios!H13</f>
        <v>123008.78053431585</v>
      </c>
      <c r="D15" s="416">
        <f t="shared" si="0"/>
        <v>0.26170243035560065</v>
      </c>
      <c r="F15" s="403">
        <f>Scenarios!M13</f>
        <v>101960.95996972131</v>
      </c>
      <c r="G15" s="416">
        <f t="shared" si="1"/>
        <v>0.21692297825863152</v>
      </c>
      <c r="I15" s="403">
        <f>Scenarios!R13</f>
        <v>130154.97782356928</v>
      </c>
      <c r="J15" s="416">
        <f t="shared" si="2"/>
        <v>0.27690603769383043</v>
      </c>
      <c r="M15" s="403">
        <f>Scenarios!AD13</f>
        <v>117169.03084018831</v>
      </c>
      <c r="N15" s="416">
        <f t="shared" si="3"/>
        <v>0.24927830354950475</v>
      </c>
      <c r="P15" s="403">
        <f>Scenarios!AI13</f>
        <v>97120.43978726145</v>
      </c>
      <c r="Q15" s="416">
        <f t="shared" si="4"/>
        <v>0.20662472239077753</v>
      </c>
      <c r="S15" s="403">
        <f>Scenarios!AN13</f>
        <v>123975.96776727229</v>
      </c>
      <c r="T15" s="416">
        <f t="shared" si="5"/>
        <v>0.2637601310203348</v>
      </c>
      <c r="W15" s="403">
        <f>Scenarios!AY13</f>
        <v>112377.22364503694</v>
      </c>
      <c r="X15" s="416">
        <f t="shared" si="6"/>
        <v>0.23908368505707339</v>
      </c>
      <c r="Z15" s="403">
        <f>Scenarios!BD13</f>
        <v>93148.550467773792</v>
      </c>
      <c r="AA15" s="416">
        <f t="shared" si="7"/>
        <v>0.19817448750918387</v>
      </c>
      <c r="AC15" s="403">
        <f>Scenarios!BI13</f>
        <v>118905.7804480365</v>
      </c>
      <c r="AD15" s="416">
        <f t="shared" si="8"/>
        <v>0.25297325598557263</v>
      </c>
    </row>
    <row r="16" spans="1:30">
      <c r="A16" s="360">
        <v>2024</v>
      </c>
      <c r="C16" s="403">
        <f>Scenarios!H14</f>
        <v>142198.27347902587</v>
      </c>
      <c r="D16" s="416">
        <f t="shared" si="0"/>
        <v>0.30252827156066231</v>
      </c>
      <c r="F16" s="403">
        <f>Scenarios!M14</f>
        <v>112578.51025241199</v>
      </c>
      <c r="G16" s="416">
        <f t="shared" si="1"/>
        <v>0.23951192435933516</v>
      </c>
      <c r="I16" s="403">
        <f>Scenarios!R14</f>
        <v>183925.86759650573</v>
      </c>
      <c r="J16" s="416">
        <f t="shared" si="2"/>
        <v>0.39130415199783258</v>
      </c>
      <c r="M16" s="403">
        <f>Scenarios!AD14</f>
        <v>134749.61175115261</v>
      </c>
      <c r="N16" s="416">
        <f t="shared" si="3"/>
        <v>0.28668116805623095</v>
      </c>
      <c r="P16" s="403">
        <f>Scenarios!AI14</f>
        <v>106681.39757880548</v>
      </c>
      <c r="Q16" s="416">
        <f t="shared" si="4"/>
        <v>0.22696575723159013</v>
      </c>
      <c r="S16" s="403">
        <f>Scenarios!AN14</f>
        <v>174291.42171180202</v>
      </c>
      <c r="T16" s="416">
        <f t="shared" si="5"/>
        <v>0.37080677049218391</v>
      </c>
      <c r="W16" s="403">
        <f>Scenarios!AY14</f>
        <v>128455.89076054085</v>
      </c>
      <c r="X16" s="416">
        <f t="shared" si="6"/>
        <v>0.27329121270451795</v>
      </c>
      <c r="Z16" s="403">
        <f>Scenarios!BD14</f>
        <v>101698.65260073853</v>
      </c>
      <c r="AA16" s="416">
        <f t="shared" si="7"/>
        <v>0.21636491666607854</v>
      </c>
      <c r="AC16" s="403">
        <f>Scenarios!BI14</f>
        <v>166150.82995012109</v>
      </c>
      <c r="AD16" s="416">
        <f t="shared" si="8"/>
        <v>0.35348757881081971</v>
      </c>
    </row>
    <row r="17" spans="1:30">
      <c r="A17" s="360">
        <v>2025</v>
      </c>
      <c r="C17" s="403">
        <f>Scenarios!H15</f>
        <v>163185.71198623592</v>
      </c>
      <c r="D17" s="416">
        <f t="shared" si="0"/>
        <v>0.34717926021706436</v>
      </c>
      <c r="F17" s="403">
        <f>Scenarios!M15</f>
        <v>123418.25897248258</v>
      </c>
      <c r="G17" s="416">
        <f t="shared" si="1"/>
        <v>0.26257359989310003</v>
      </c>
      <c r="I17" s="403">
        <f>Scenarios!R15</f>
        <v>259716.39940422747</v>
      </c>
      <c r="J17" s="416">
        <f t="shared" si="2"/>
        <v>0.55254927845033786</v>
      </c>
      <c r="M17" s="403">
        <f>Scenarios!AD15</f>
        <v>153855.49444219505</v>
      </c>
      <c r="N17" s="416">
        <f t="shared" si="3"/>
        <v>0.32732912759713495</v>
      </c>
      <c r="P17" s="403">
        <f>Scenarios!AI15</f>
        <v>116361.76370029135</v>
      </c>
      <c r="Q17" s="416">
        <f t="shared" si="4"/>
        <v>0.24756083450754227</v>
      </c>
      <c r="S17" s="403">
        <f>Scenarios!AN15</f>
        <v>244866.99576035433</v>
      </c>
      <c r="T17" s="416">
        <f t="shared" si="5"/>
        <v>0.52095702132810096</v>
      </c>
      <c r="W17" s="403">
        <f>Scenarios!AY15</f>
        <v>145787.35787604479</v>
      </c>
      <c r="X17" s="416">
        <f t="shared" si="6"/>
        <v>0.31016408508040683</v>
      </c>
      <c r="Z17" s="403">
        <f>Scenarios!BD15</f>
        <v>110259.78727094269</v>
      </c>
      <c r="AA17" s="416">
        <f t="shared" si="7"/>
        <v>0.23457881765804064</v>
      </c>
      <c r="AC17" s="403">
        <f>Scenarios!BI15</f>
        <v>232026.2430170083</v>
      </c>
      <c r="AD17" s="416">
        <f t="shared" si="8"/>
        <v>0.49363818940462267</v>
      </c>
    </row>
    <row r="18" spans="1:30">
      <c r="A18" s="360">
        <v>2026</v>
      </c>
      <c r="C18" s="403">
        <f>Scenarios!H16</f>
        <v>186019.43273844593</v>
      </c>
      <c r="D18" s="416">
        <f t="shared" si="0"/>
        <v>0.39575823310792596</v>
      </c>
      <c r="F18" s="403">
        <f>Scenarios!M16</f>
        <v>134480.20612993313</v>
      </c>
      <c r="G18" s="416">
        <f t="shared" si="1"/>
        <v>0.28610800485992621</v>
      </c>
      <c r="I18" s="403">
        <f>Scenarios!R16</f>
        <v>366376.80757035385</v>
      </c>
      <c r="J18" s="416">
        <f t="shared" si="2"/>
        <v>0.77947038049320083</v>
      </c>
      <c r="M18" s="403">
        <f>Scenarios!AD16</f>
        <v>174618.51609864205</v>
      </c>
      <c r="N18" s="416">
        <f t="shared" si="3"/>
        <v>0.37150266712346414</v>
      </c>
      <c r="P18" s="403">
        <f>Scenarios!AI16</f>
        <v>126238.069288527</v>
      </c>
      <c r="Q18" s="416">
        <f t="shared" si="4"/>
        <v>0.26857277498974891</v>
      </c>
      <c r="S18" s="403">
        <f>Scenarios!AN16</f>
        <v>343921.99529415352</v>
      </c>
      <c r="T18" s="416">
        <f t="shared" si="5"/>
        <v>0.73169753923475878</v>
      </c>
      <c r="W18" s="403">
        <f>Scenarios!AY16</f>
        <v>164480.69210705263</v>
      </c>
      <c r="X18" s="416">
        <f t="shared" si="6"/>
        <v>0.3499343435810961</v>
      </c>
      <c r="Z18" s="403">
        <f>Scenarios!BD16</f>
        <v>118909.06801146767</v>
      </c>
      <c r="AA18" s="416">
        <f t="shared" si="7"/>
        <v>0.25298025031017407</v>
      </c>
      <c r="AC18" s="403">
        <f>Scenarios!BI16</f>
        <v>323954.92231113277</v>
      </c>
      <c r="AD18" s="416">
        <f t="shared" si="8"/>
        <v>0.68921738859798021</v>
      </c>
    </row>
    <row r="19" spans="1:30">
      <c r="A19" s="360">
        <v>2027</v>
      </c>
      <c r="C19" s="403">
        <f>Scenarios!H17</f>
        <v>210747.77241815592</v>
      </c>
      <c r="D19" s="416">
        <f t="shared" si="0"/>
        <v>0.44836802701636641</v>
      </c>
      <c r="F19" s="403">
        <f>Scenarios!M17</f>
        <v>145764.35172476358</v>
      </c>
      <c r="G19" s="416">
        <f t="shared" si="1"/>
        <v>0.3101151392598136</v>
      </c>
      <c r="I19" s="403">
        <f>Scenarios!R17</f>
        <v>516162.20600965025</v>
      </c>
      <c r="J19" s="416">
        <f t="shared" si="2"/>
        <v>1.0981403374920056</v>
      </c>
      <c r="M19" s="403">
        <f>Scenarios!AD17</f>
        <v>196984.19564181133</v>
      </c>
      <c r="N19" s="416">
        <f t="shared" si="3"/>
        <v>0.41908587758679422</v>
      </c>
      <c r="P19" s="403">
        <f>Scenarios!AI17</f>
        <v>136244.731074932</v>
      </c>
      <c r="Q19" s="416">
        <f t="shared" si="4"/>
        <v>0.28986204960797951</v>
      </c>
      <c r="S19" s="403">
        <f>Scenarios!AN17</f>
        <v>482452.53463354986</v>
      </c>
      <c r="T19" s="416">
        <f t="shared" si="5"/>
        <v>1.0264226691491913</v>
      </c>
      <c r="W19" s="403">
        <f>Scenarios!AY17</f>
        <v>184457.22633806046</v>
      </c>
      <c r="X19" s="416">
        <f t="shared" si="6"/>
        <v>0.3924346231190935</v>
      </c>
      <c r="Z19" s="403">
        <f>Scenarios!BD17</f>
        <v>127580.41382647149</v>
      </c>
      <c r="AA19" s="416">
        <f t="shared" si="7"/>
        <v>0.27142862663244233</v>
      </c>
      <c r="AC19" s="403">
        <f>Scenarios!BI17</f>
        <v>451771.55501394195</v>
      </c>
      <c r="AD19" s="416">
        <f t="shared" si="8"/>
        <v>0.96114857328981407</v>
      </c>
    </row>
    <row r="20" spans="1:30">
      <c r="A20" s="360">
        <v>2028</v>
      </c>
      <c r="C20" s="403">
        <f>Scenarios!H18</f>
        <v>237419.06770786599</v>
      </c>
      <c r="D20" s="416">
        <f t="shared" si="0"/>
        <v>0.50511147872550533</v>
      </c>
      <c r="F20" s="403">
        <f>Scenarios!M18</f>
        <v>157270.69575697396</v>
      </c>
      <c r="G20" s="416">
        <f t="shared" si="1"/>
        <v>0.3345950030927623</v>
      </c>
      <c r="I20" s="403">
        <f>Scenarios!R18</f>
        <v>725900.75783864828</v>
      </c>
      <c r="J20" s="416">
        <f t="shared" si="2"/>
        <v>1.5443612374512605</v>
      </c>
      <c r="M20" s="403">
        <f>Scenarios!AD18</f>
        <v>220980.88606498064</v>
      </c>
      <c r="N20" s="416">
        <f t="shared" si="3"/>
        <v>0.47013908026839013</v>
      </c>
      <c r="P20" s="403">
        <f>Scenarios!AI18</f>
        <v>146381.7461502089</v>
      </c>
      <c r="Q20" s="416">
        <f t="shared" si="4"/>
        <v>0.31142865217267407</v>
      </c>
      <c r="S20" s="403">
        <f>Scenarios!AN18</f>
        <v>675641.57424711704</v>
      </c>
      <c r="T20" s="416">
        <f t="shared" si="5"/>
        <v>1.4374343137271222</v>
      </c>
      <c r="W20" s="403">
        <f>Scenarios!AY18</f>
        <v>205721.76056906834</v>
      </c>
      <c r="X20" s="416">
        <f t="shared" si="6"/>
        <v>0.43767513574316719</v>
      </c>
      <c r="Z20" s="403">
        <f>Scenarios!BD18</f>
        <v>136273.82471595419</v>
      </c>
      <c r="AA20" s="416">
        <f t="shared" si="7"/>
        <v>0.2899239466248455</v>
      </c>
      <c r="AC20" s="403">
        <f>Scenarios!BI18</f>
        <v>628987.31488886254</v>
      </c>
      <c r="AD20" s="416">
        <f t="shared" si="8"/>
        <v>1.3381769029352997</v>
      </c>
    </row>
    <row r="21" spans="1:30">
      <c r="A21" s="360">
        <v>2029</v>
      </c>
      <c r="C21" s="403">
        <f>Scenarios!H19</f>
        <v>266081.65529007599</v>
      </c>
      <c r="D21" s="416">
        <f t="shared" si="0"/>
        <v>0.56609142501846144</v>
      </c>
      <c r="F21" s="403">
        <f>Scenarios!M19</f>
        <v>168999.23822656425</v>
      </c>
      <c r="G21" s="416">
        <f t="shared" si="1"/>
        <v>0.35954759635877215</v>
      </c>
      <c r="I21" s="403">
        <f>Scenarios!R19</f>
        <v>1018429.4999016544</v>
      </c>
      <c r="J21" s="416">
        <f t="shared" si="2"/>
        <v>2.1667191082814536</v>
      </c>
      <c r="M21" s="403">
        <f>Scenarios!AD19</f>
        <v>246636.94420814991</v>
      </c>
      <c r="N21" s="416">
        <f t="shared" si="3"/>
        <v>0.52472260463345699</v>
      </c>
      <c r="P21" s="403">
        <f>Scenarios!AI19</f>
        <v>156649.1145143577</v>
      </c>
      <c r="Q21" s="416">
        <f t="shared" si="4"/>
        <v>0.33327258268383259</v>
      </c>
      <c r="S21" s="403">
        <f>Scenarios!AN19</f>
        <v>944004.72469004022</v>
      </c>
      <c r="T21" s="416">
        <f t="shared" si="5"/>
        <v>2.0083796428632499</v>
      </c>
      <c r="W21" s="403">
        <f>Scenarios!AY19</f>
        <v>228279.09480007616</v>
      </c>
      <c r="X21" s="416">
        <f t="shared" si="6"/>
        <v>0.48566609350208484</v>
      </c>
      <c r="Z21" s="403">
        <f>Scenarios!BD19</f>
        <v>144989.30067991573</v>
      </c>
      <c r="AA21" s="416">
        <f t="shared" si="7"/>
        <v>0.30846621028738352</v>
      </c>
      <c r="AC21" s="403">
        <f>Scenarios!BI19</f>
        <v>873739.92055857053</v>
      </c>
      <c r="AD21" s="416">
        <f t="shared" si="8"/>
        <v>1.8588905581833477</v>
      </c>
    </row>
    <row r="22" spans="1:30">
      <c r="A22" s="360">
        <v>2030</v>
      </c>
      <c r="C22" s="403">
        <f>Scenarios!H20</f>
        <v>296783.87184728601</v>
      </c>
      <c r="D22" s="416">
        <f t="shared" si="0"/>
        <v>0.63141070267835453</v>
      </c>
      <c r="F22" s="403">
        <f>Scenarios!M20</f>
        <v>180949.97913353448</v>
      </c>
      <c r="G22" s="416">
        <f t="shared" si="1"/>
        <v>0.38497291905784331</v>
      </c>
      <c r="I22" s="403">
        <f>Scenarios!R20</f>
        <v>1424228.8356624753</v>
      </c>
      <c r="J22" s="416">
        <f t="shared" si="2"/>
        <v>3.0300613180326419</v>
      </c>
      <c r="M22" s="403">
        <f>Scenarios!AD20</f>
        <v>273980.73718627705</v>
      </c>
      <c r="N22" s="416">
        <f t="shared" si="3"/>
        <v>0.58289680200727767</v>
      </c>
      <c r="P22" s="403">
        <f>Scenarios!AI20</f>
        <v>167046.84243204977</v>
      </c>
      <c r="Q22" s="416">
        <f t="shared" si="4"/>
        <v>0.35539385446960714</v>
      </c>
      <c r="S22" s="403">
        <f>Scenarios!AN20</f>
        <v>1314799.4326239747</v>
      </c>
      <c r="T22" s="416">
        <f t="shared" si="5"/>
        <v>2.7972491512658233</v>
      </c>
      <c r="W22" s="403">
        <f>Scenarios!AY20</f>
        <v>252134.02903108401</v>
      </c>
      <c r="X22" s="416">
        <f t="shared" si="6"/>
        <v>0.53641770844461478</v>
      </c>
      <c r="Z22" s="403">
        <f>Scenarios!BD20</f>
        <v>153726.84171835615</v>
      </c>
      <c r="AA22" s="416">
        <f t="shared" si="7"/>
        <v>0.32705541762005641</v>
      </c>
      <c r="AC22" s="403">
        <f>Scenarios!BI20</f>
        <v>1209959.8012610581</v>
      </c>
      <c r="AD22" s="416">
        <f t="shared" si="8"/>
        <v>2.5742017703708759</v>
      </c>
    </row>
    <row r="23" spans="1:30">
      <c r="A23" s="360">
        <v>2031</v>
      </c>
      <c r="C23" s="403">
        <f>Scenarios!H21</f>
        <v>329574.05406199599</v>
      </c>
      <c r="D23" s="416">
        <f t="shared" si="0"/>
        <v>0.70117214848830356</v>
      </c>
      <c r="F23" s="403">
        <f>Scenarios!M21</f>
        <v>237963.6092216151</v>
      </c>
      <c r="G23" s="416">
        <f t="shared" si="1"/>
        <v>0.50626999632854663</v>
      </c>
      <c r="I23" s="403">
        <f>Scenarios!R21</f>
        <v>1983030.0768467926</v>
      </c>
      <c r="J23" s="416">
        <f t="shared" si="2"/>
        <v>4.2189166360712216</v>
      </c>
      <c r="M23" s="403">
        <f>Scenarios!AD21</f>
        <v>302368.14159186638</v>
      </c>
      <c r="N23" s="416">
        <f t="shared" si="3"/>
        <v>0.64329129329611312</v>
      </c>
      <c r="P23" s="403">
        <f>Scenarios!AI21</f>
        <v>218320.02064488336</v>
      </c>
      <c r="Q23" s="416">
        <f t="shared" si="4"/>
        <v>0.46447806205274844</v>
      </c>
      <c r="S23" s="403">
        <f>Scenarios!AN21</f>
        <v>1819333.5053740281</v>
      </c>
      <c r="T23" s="416">
        <f t="shared" si="5"/>
        <v>3.8706505171062373</v>
      </c>
      <c r="W23" s="403">
        <f>Scenarios!AY21</f>
        <v>269787.34441092698</v>
      </c>
      <c r="X23" s="416">
        <f t="shared" si="6"/>
        <v>0.57397531627286236</v>
      </c>
      <c r="Z23" s="403">
        <f>Scenarios!BD21</f>
        <v>194795.58359367258</v>
      </c>
      <c r="AA23" s="416">
        <f t="shared" si="7"/>
        <v>0.41442958321808715</v>
      </c>
      <c r="AC23" s="403">
        <f>Scenarios!BI21</f>
        <v>1623296.5299472716</v>
      </c>
      <c r="AD23" s="416">
        <f t="shared" si="8"/>
        <v>3.4535798601507266</v>
      </c>
    </row>
    <row r="24" spans="1:30">
      <c r="A24" s="360">
        <v>2032</v>
      </c>
      <c r="C24" s="403">
        <f>Scenarios!H22</f>
        <v>364500.53861670598</v>
      </c>
      <c r="D24" s="416">
        <f t="shared" si="0"/>
        <v>0.77547859923142803</v>
      </c>
      <c r="F24" s="403">
        <f>Scenarios!M22</f>
        <v>329386.98359402362</v>
      </c>
      <c r="G24" s="416">
        <f t="shared" si="1"/>
        <v>0.70077415416705691</v>
      </c>
      <c r="I24" s="403">
        <f>Scenarios!R22</f>
        <v>2744891.5299501969</v>
      </c>
      <c r="J24" s="416">
        <f t="shared" si="2"/>
        <v>5.8397846180588076</v>
      </c>
      <c r="M24" s="403">
        <f>Scenarios!AD22</f>
        <v>332373.52441905777</v>
      </c>
      <c r="N24" s="416">
        <f t="shared" si="3"/>
        <v>0.7071280501155629</v>
      </c>
      <c r="P24" s="403">
        <f>Scenarios!AI22</f>
        <v>300354.87204048334</v>
      </c>
      <c r="Q24" s="416">
        <f t="shared" si="4"/>
        <v>0.63900804187073312</v>
      </c>
      <c r="S24" s="403">
        <f>Scenarios!AN22</f>
        <v>2502957.267004028</v>
      </c>
      <c r="T24" s="416">
        <f t="shared" si="5"/>
        <v>5.3250670155894424</v>
      </c>
      <c r="W24" s="403">
        <f>Scenarios!AY22</f>
        <v>287336.65979076998</v>
      </c>
      <c r="X24" s="416">
        <f t="shared" si="6"/>
        <v>0.61131166304447027</v>
      </c>
      <c r="Z24" s="403">
        <f>Scenarios!BD22</f>
        <v>259656.55909219023</v>
      </c>
      <c r="AA24" s="416">
        <f t="shared" si="7"/>
        <v>0.55242196757850126</v>
      </c>
      <c r="AC24" s="403">
        <f>Scenarios!BI22</f>
        <v>2163804.6591015854</v>
      </c>
      <c r="AD24" s="416">
        <f t="shared" si="8"/>
        <v>4.6035163964875103</v>
      </c>
    </row>
    <row r="25" spans="1:30">
      <c r="A25" s="360">
        <v>2033</v>
      </c>
      <c r="C25" s="403">
        <f>Scenarios!H23</f>
        <v>401611.66219391604</v>
      </c>
      <c r="D25" s="416">
        <f t="shared" si="0"/>
        <v>0.85443289169084735</v>
      </c>
      <c r="F25" s="403">
        <f>Scenarios!M23</f>
        <v>452377.64025000611</v>
      </c>
      <c r="G25" s="416">
        <f t="shared" si="1"/>
        <v>0.9624380257873647</v>
      </c>
      <c r="I25" s="403">
        <f>Scenarios!R23</f>
        <v>3769813.6687500509</v>
      </c>
      <c r="J25" s="416">
        <f t="shared" si="2"/>
        <v>8.0203168815613726</v>
      </c>
      <c r="M25" s="403">
        <f>Scenarios!AD23</f>
        <v>364016.20736624917</v>
      </c>
      <c r="N25" s="416">
        <f t="shared" si="3"/>
        <v>0.77444817957527712</v>
      </c>
      <c r="P25" s="403">
        <f>Scenarios!AI23</f>
        <v>410029.90800000553</v>
      </c>
      <c r="Q25" s="416">
        <f t="shared" si="4"/>
        <v>0.87234279517265501</v>
      </c>
      <c r="S25" s="403">
        <f>Scenarios!AN23</f>
        <v>3416915.900000046</v>
      </c>
      <c r="T25" s="416">
        <f t="shared" si="5"/>
        <v>7.2695232931054585</v>
      </c>
      <c r="W25" s="403">
        <f>Scenarios!AY23</f>
        <v>304685.97517061298</v>
      </c>
      <c r="X25" s="416">
        <f t="shared" si="6"/>
        <v>0.64822250778407875</v>
      </c>
      <c r="Z25" s="403">
        <f>Scenarios!BD23</f>
        <v>343200.0000000046</v>
      </c>
      <c r="AA25" s="416">
        <f t="shared" si="7"/>
        <v>0.73016148691098692</v>
      </c>
      <c r="AC25" s="403">
        <f>Scenarios!BI23</f>
        <v>2860000.0000000386</v>
      </c>
      <c r="AD25" s="416">
        <f t="shared" si="8"/>
        <v>6.0846790575915586</v>
      </c>
    </row>
    <row r="26" spans="1:30">
      <c r="A26" s="360">
        <v>2034</v>
      </c>
      <c r="C26" s="403">
        <f>Scenarios!H24</f>
        <v>440955.76147612609</v>
      </c>
      <c r="D26" s="416">
        <f t="shared" si="0"/>
        <v>0.93813786264968069</v>
      </c>
      <c r="F26" s="403">
        <f>Scenarios!M24</f>
        <v>614934.69709380111</v>
      </c>
      <c r="G26" s="416">
        <f t="shared" si="1"/>
        <v>1.3082798158017517</v>
      </c>
      <c r="I26" s="403">
        <f>Scenarios!R24</f>
        <v>5124455.8091150094</v>
      </c>
      <c r="J26" s="416">
        <f t="shared" si="2"/>
        <v>10.90233179834793</v>
      </c>
      <c r="M26" s="403">
        <f>Scenarios!AD24</f>
        <v>397315.51427344058</v>
      </c>
      <c r="N26" s="416">
        <f t="shared" si="3"/>
        <v>0.84529279334118568</v>
      </c>
      <c r="P26" s="403">
        <f>Scenarios!AI24</f>
        <v>554076.20619927871</v>
      </c>
      <c r="Q26" s="416">
        <f t="shared" si="4"/>
        <v>1.1788027581015692</v>
      </c>
      <c r="S26" s="403">
        <f>Scenarios!AN24</f>
        <v>4617301.718327323</v>
      </c>
      <c r="T26" s="416">
        <f t="shared" si="5"/>
        <v>9.8233563175130776</v>
      </c>
      <c r="W26" s="403">
        <f>Scenarios!AY24</f>
        <v>321739.29055045597</v>
      </c>
      <c r="X26" s="416">
        <f t="shared" si="6"/>
        <v>0.68450360951632816</v>
      </c>
      <c r="Z26" s="403">
        <f>Scenarios!BD24</f>
        <v>448681.41084155196</v>
      </c>
      <c r="AA26" s="416">
        <f t="shared" si="7"/>
        <v>0.95457426016719871</v>
      </c>
      <c r="AC26" s="403">
        <f>Scenarios!BI24</f>
        <v>3739011.7570129326</v>
      </c>
      <c r="AD26" s="416">
        <f t="shared" si="8"/>
        <v>7.9547855013933217</v>
      </c>
    </row>
    <row r="27" spans="1:30">
      <c r="A27" s="360">
        <v>2035</v>
      </c>
      <c r="C27" s="403">
        <f>Scenarios!H25</f>
        <v>482581.17314583616</v>
      </c>
      <c r="D27" s="416">
        <f t="shared" si="0"/>
        <v>1.0266963488910474</v>
      </c>
      <c r="F27" s="403">
        <f>Scenarios!M25</f>
        <v>824904.11273606936</v>
      </c>
      <c r="G27" s="416">
        <f t="shared" si="1"/>
        <v>1.7549918808693146</v>
      </c>
      <c r="I27" s="403">
        <f>Scenarios!R25</f>
        <v>6874200.9394672448</v>
      </c>
      <c r="J27" s="416">
        <f t="shared" si="2"/>
        <v>14.624932340577621</v>
      </c>
      <c r="M27" s="403">
        <f>Scenarios!AD25</f>
        <v>432290.79039052426</v>
      </c>
      <c r="N27" s="416">
        <f t="shared" si="3"/>
        <v>0.91970304862898233</v>
      </c>
      <c r="P27" s="403">
        <f>Scenarios!AI25</f>
        <v>738939.83175200538</v>
      </c>
      <c r="Q27" s="416">
        <f t="shared" si="4"/>
        <v>1.5721019996788799</v>
      </c>
      <c r="S27" s="403">
        <f>Scenarios!AN25</f>
        <v>6157831.9312667111</v>
      </c>
      <c r="T27" s="416">
        <f t="shared" si="5"/>
        <v>13.100849997323998</v>
      </c>
      <c r="W27" s="403">
        <f>Scenarios!AY25</f>
        <v>338400.60593029897</v>
      </c>
      <c r="X27" s="416">
        <f t="shared" si="6"/>
        <v>0.71995072726585874</v>
      </c>
      <c r="Z27" s="403">
        <f>Scenarios!BD25</f>
        <v>578447.86974298919</v>
      </c>
      <c r="AA27" s="416">
        <f t="shared" si="7"/>
        <v>1.2306537199068421</v>
      </c>
      <c r="AC27" s="403">
        <f>Scenarios!BI25</f>
        <v>4820398.91452491</v>
      </c>
      <c r="AD27" s="416">
        <f t="shared" si="8"/>
        <v>10.255447665890351</v>
      </c>
    </row>
    <row r="28" spans="1:30">
      <c r="A28" s="360">
        <v>2036</v>
      </c>
      <c r="C28" s="403">
        <f>Scenarios!H26</f>
        <v>526536.23388554621</v>
      </c>
      <c r="D28" s="416">
        <f t="shared" si="0"/>
        <v>1.1202111871980667</v>
      </c>
      <c r="F28" s="403">
        <f>Scenarios!M26</f>
        <v>1088316.4001610281</v>
      </c>
      <c r="G28" s="416">
        <f t="shared" si="1"/>
        <v>2.3154041986339693</v>
      </c>
      <c r="I28" s="403">
        <f>Scenarios!R26</f>
        <v>9069303.3346752357</v>
      </c>
      <c r="J28" s="416">
        <f t="shared" si="2"/>
        <v>19.295034988616415</v>
      </c>
      <c r="M28" s="403">
        <f>Scenarios!AD26</f>
        <v>469237.9577199358</v>
      </c>
      <c r="N28" s="416">
        <f t="shared" si="3"/>
        <v>0.99830852250541535</v>
      </c>
      <c r="P28" s="403">
        <f>Scenarios!AI26</f>
        <v>969884.56273206871</v>
      </c>
      <c r="Q28" s="416">
        <f t="shared" si="4"/>
        <v>2.0634392612367431</v>
      </c>
      <c r="S28" s="403">
        <f>Scenarios!AN26</f>
        <v>8082371.3561005732</v>
      </c>
      <c r="T28" s="416">
        <f t="shared" si="5"/>
        <v>17.19532717697286</v>
      </c>
      <c r="W28" s="403">
        <f>Scenarios!AY26</f>
        <v>354573.92131014203</v>
      </c>
      <c r="X28" s="416">
        <f t="shared" si="6"/>
        <v>0.75435962005731094</v>
      </c>
      <c r="Z28" s="403">
        <f>Scenarios!BD26</f>
        <v>732881.40264078102</v>
      </c>
      <c r="AA28" s="416">
        <f t="shared" si="7"/>
        <v>1.5592126301911282</v>
      </c>
      <c r="AC28" s="403">
        <f>Scenarios!BI26</f>
        <v>6107345.0220065089</v>
      </c>
      <c r="AD28" s="416">
        <f t="shared" si="8"/>
        <v>12.99343858492607</v>
      </c>
    </row>
    <row r="29" spans="1:30">
      <c r="A29" s="360">
        <v>2037</v>
      </c>
      <c r="C29" s="403">
        <f>Scenarios!H27</f>
        <v>572869.28037775622</v>
      </c>
      <c r="D29" s="416">
        <f t="shared" si="0"/>
        <v>1.2187852143538578</v>
      </c>
      <c r="F29" s="403">
        <f>Scenarios!M27</f>
        <v>1407116.0819619084</v>
      </c>
      <c r="G29" s="416">
        <f t="shared" si="1"/>
        <v>2.9936537606691593</v>
      </c>
      <c r="I29" s="403">
        <f>Scenarios!R27</f>
        <v>11725967.34968257</v>
      </c>
      <c r="J29" s="416">
        <f t="shared" si="2"/>
        <v>24.947114672242993</v>
      </c>
      <c r="M29" s="403">
        <f>Scenarios!AD27</f>
        <v>507942.23423252802</v>
      </c>
      <c r="N29" s="416">
        <f t="shared" si="3"/>
        <v>1.0806522640212894</v>
      </c>
      <c r="P29" s="403">
        <f>Scenarios!AI27</f>
        <v>1247638.3548179604</v>
      </c>
      <c r="Q29" s="416">
        <f t="shared" si="4"/>
        <v>2.6543632758771776</v>
      </c>
      <c r="S29" s="403">
        <f>Scenarios!AN27</f>
        <v>10396986.29014967</v>
      </c>
      <c r="T29" s="416">
        <f t="shared" si="5"/>
        <v>22.119693965643144</v>
      </c>
      <c r="W29" s="403">
        <f>Scenarios!AY27</f>
        <v>370163.23668998503</v>
      </c>
      <c r="X29" s="416">
        <f t="shared" si="6"/>
        <v>0.78752604691532468</v>
      </c>
      <c r="Z29" s="403">
        <f>Scenarios!BD27</f>
        <v>909217.27021928586</v>
      </c>
      <c r="AA29" s="416">
        <f t="shared" si="7"/>
        <v>1.9343689800362864</v>
      </c>
      <c r="AC29" s="403">
        <f>Scenarios!BI27</f>
        <v>7576810.5851607146</v>
      </c>
      <c r="AD29" s="416">
        <f t="shared" si="8"/>
        <v>16.119741500302386</v>
      </c>
    </row>
    <row r="30" spans="1:30">
      <c r="A30" s="360">
        <v>2038</v>
      </c>
      <c r="C30" s="403">
        <f>Scenarios!H28</f>
        <v>621628.64930496633</v>
      </c>
      <c r="D30" s="416">
        <f t="shared" si="0"/>
        <v>1.3225212671415403</v>
      </c>
      <c r="F30" s="403">
        <f>Scenarios!M28</f>
        <v>1776863.6987153452</v>
      </c>
      <c r="G30" s="416">
        <f t="shared" si="1"/>
        <v>3.7802955719467803</v>
      </c>
      <c r="I30" s="403">
        <f>Scenarios!R28</f>
        <v>14807197.489294546</v>
      </c>
      <c r="J30" s="416">
        <f t="shared" si="2"/>
        <v>31.502463099556508</v>
      </c>
      <c r="M30" s="403">
        <f>Scenarios!AD28</f>
        <v>548425.40034512023</v>
      </c>
      <c r="N30" s="416">
        <f t="shared" si="3"/>
        <v>1.1667806112346764</v>
      </c>
      <c r="P30" s="403">
        <f>Scenarios!AI28</f>
        <v>1567619.4886066185</v>
      </c>
      <c r="Q30" s="416">
        <f t="shared" si="4"/>
        <v>3.335126389019913</v>
      </c>
      <c r="S30" s="403">
        <f>Scenarios!AN28</f>
        <v>13063495.73838849</v>
      </c>
      <c r="T30" s="416">
        <f t="shared" si="5"/>
        <v>27.792719908499279</v>
      </c>
      <c r="W30" s="403">
        <f>Scenarios!AY28</f>
        <v>385072.55206982803</v>
      </c>
      <c r="X30" s="416">
        <f t="shared" si="6"/>
        <v>0.81924576686454054</v>
      </c>
      <c r="Z30" s="403">
        <f>Scenarios!BD28</f>
        <v>1100691.6105130769</v>
      </c>
      <c r="AA30" s="416">
        <f t="shared" si="7"/>
        <v>2.3417325843900536</v>
      </c>
      <c r="AC30" s="403">
        <f>Scenarios!BI28</f>
        <v>9172430.0876089744</v>
      </c>
      <c r="AD30" s="416">
        <f t="shared" si="8"/>
        <v>19.514438203250446</v>
      </c>
    </row>
    <row r="31" spans="1:30">
      <c r="A31" s="360">
        <v>2039</v>
      </c>
      <c r="C31" s="403">
        <f>Scenarios!H29</f>
        <v>672862.67734967649</v>
      </c>
      <c r="D31" s="416">
        <f t="shared" si="0"/>
        <v>1.4315221823442332</v>
      </c>
      <c r="F31" s="403">
        <f>Scenarios!M29</f>
        <v>2185489.8664942221</v>
      </c>
      <c r="G31" s="416">
        <f t="shared" si="1"/>
        <v>4.6496518955369872</v>
      </c>
      <c r="I31" s="403">
        <f>Scenarios!R29</f>
        <v>18212415.554118518</v>
      </c>
      <c r="J31" s="416">
        <f t="shared" si="2"/>
        <v>38.747099129474897</v>
      </c>
      <c r="M31" s="403">
        <f>Scenarios!AD29</f>
        <v>590709.23281771259</v>
      </c>
      <c r="N31" s="416">
        <f t="shared" si="3"/>
        <v>1.2567398944237285</v>
      </c>
      <c r="P31" s="403">
        <f>Scenarios!AI29</f>
        <v>1918651.5849753094</v>
      </c>
      <c r="Q31" s="416">
        <f t="shared" si="4"/>
        <v>4.081950740529356</v>
      </c>
      <c r="S31" s="403">
        <f>Scenarios!AN29</f>
        <v>15988763.208127579</v>
      </c>
      <c r="T31" s="416">
        <f t="shared" si="5"/>
        <v>34.01625617107797</v>
      </c>
      <c r="W31" s="403">
        <f>Scenarios!AY29</f>
        <v>399205.86744967109</v>
      </c>
      <c r="X31" s="416">
        <f t="shared" si="6"/>
        <v>0.84931453892959874</v>
      </c>
      <c r="Z31" s="403">
        <f>Scenarios!BD29</f>
        <v>1296639.5779192364</v>
      </c>
      <c r="AA31" s="416">
        <f t="shared" si="7"/>
        <v>2.7586138758774226</v>
      </c>
      <c r="AC31" s="403">
        <f>Scenarios!BI29</f>
        <v>10805329.815993637</v>
      </c>
      <c r="AD31" s="416">
        <f t="shared" si="8"/>
        <v>22.98844896564519</v>
      </c>
    </row>
    <row r="32" spans="1:30">
      <c r="A32" s="360">
        <v>2040</v>
      </c>
      <c r="C32" s="403">
        <f>Scenarios!H30</f>
        <v>726619.70119438658</v>
      </c>
      <c r="D32" s="416">
        <f t="shared" si="0"/>
        <v>1.5458907967450561</v>
      </c>
      <c r="F32" s="403">
        <f>Scenarios!M30</f>
        <v>2614208.9974382389</v>
      </c>
      <c r="G32" s="416">
        <f t="shared" si="1"/>
        <v>5.5617562024054763</v>
      </c>
      <c r="I32" s="403">
        <f>Scenarios!R30</f>
        <v>21785074.978651993</v>
      </c>
      <c r="J32" s="416">
        <f t="shared" si="2"/>
        <v>46.347968353378974</v>
      </c>
      <c r="M32" s="403">
        <f>Scenarios!AD30</f>
        <v>634815.53701153805</v>
      </c>
      <c r="N32" s="416">
        <f t="shared" si="3"/>
        <v>1.3505765047160112</v>
      </c>
      <c r="P32" s="403">
        <f>Scenarios!AI30</f>
        <v>2283918.9273856296</v>
      </c>
      <c r="Q32" s="416">
        <f t="shared" si="4"/>
        <v>4.8590607226224227</v>
      </c>
      <c r="S32" s="403">
        <f>Scenarios!AN30</f>
        <v>19032657.728213582</v>
      </c>
      <c r="T32" s="416">
        <f t="shared" si="5"/>
        <v>40.492172688520192</v>
      </c>
      <c r="W32" s="403">
        <f>Scenarios!AY30</f>
        <v>412467.18282951415</v>
      </c>
      <c r="X32" s="416">
        <f t="shared" si="6"/>
        <v>0.87752812213513964</v>
      </c>
      <c r="Z32" s="403">
        <f>Scenarios!BD30</f>
        <v>1483961.1680339738</v>
      </c>
      <c r="AA32" s="416">
        <f t="shared" si="7"/>
        <v>3.1571424620333239</v>
      </c>
      <c r="AC32" s="403">
        <f>Scenarios!BI30</f>
        <v>12366343.066949783</v>
      </c>
      <c r="AD32" s="416">
        <f t="shared" si="8"/>
        <v>26.309520516944367</v>
      </c>
    </row>
    <row r="33" spans="1:30">
      <c r="A33" s="360">
        <v>2041</v>
      </c>
      <c r="C33" s="403">
        <f>Scenarios!H31</f>
        <v>782948.05752159643</v>
      </c>
      <c r="D33" s="416">
        <f t="shared" si="0"/>
        <v>1.6657299471271276</v>
      </c>
      <c r="F33" s="403">
        <f>Scenarios!M31</f>
        <v>3040857.5727146985</v>
      </c>
      <c r="G33" s="416">
        <f t="shared" si="1"/>
        <v>6.4694553810543969</v>
      </c>
      <c r="I33" s="403">
        <f>Scenarios!R31</f>
        <v>25340479.772622488</v>
      </c>
      <c r="J33" s="416">
        <f t="shared" si="2"/>
        <v>53.912128175453311</v>
      </c>
      <c r="M33" s="403">
        <f>Scenarios!AD31</f>
        <v>680919.72126319481</v>
      </c>
      <c r="N33" s="416">
        <f t="shared" si="3"/>
        <v>1.4486636251297855</v>
      </c>
      <c r="P33" s="403">
        <f>Scenarios!AI31</f>
        <v>2644594.1987113925</v>
      </c>
      <c r="Q33" s="416">
        <f t="shared" si="4"/>
        <v>5.626401026827665</v>
      </c>
      <c r="S33" s="403">
        <f>Scenarios!AN31</f>
        <v>22038284.989261605</v>
      </c>
      <c r="T33" s="416">
        <f t="shared" si="5"/>
        <v>46.886675223563877</v>
      </c>
      <c r="W33" s="403">
        <f>Scenarios!AY31</f>
        <v>444276.52110005723</v>
      </c>
      <c r="X33" s="416">
        <f t="shared" si="6"/>
        <v>0.94520281248850202</v>
      </c>
      <c r="Z33" s="403">
        <f>Scenarios!BD31</f>
        <v>1725506.0672133868</v>
      </c>
      <c r="AA33" s="416">
        <f t="shared" si="7"/>
        <v>3.6710316891329806</v>
      </c>
      <c r="AC33" s="403">
        <f>Scenarios!BI31</f>
        <v>14379217.226778224</v>
      </c>
      <c r="AD33" s="416">
        <f t="shared" si="8"/>
        <v>30.591930742774842</v>
      </c>
    </row>
    <row r="34" spans="1:30">
      <c r="A34" s="360">
        <v>2042</v>
      </c>
      <c r="C34" s="403">
        <f>Scenarios!H32</f>
        <v>841896.08301380649</v>
      </c>
      <c r="D34" s="416">
        <f t="shared" si="0"/>
        <v>1.7911424702735677</v>
      </c>
      <c r="F34" s="403">
        <f>Scenarios!M32</f>
        <v>3444543.6315151397</v>
      </c>
      <c r="G34" s="416">
        <f t="shared" si="1"/>
        <v>7.3283015726014904</v>
      </c>
      <c r="I34" s="403">
        <f>Scenarios!R32</f>
        <v>28704530.262626164</v>
      </c>
      <c r="J34" s="416">
        <f t="shared" si="2"/>
        <v>61.069179771679082</v>
      </c>
      <c r="M34" s="403">
        <f>Scenarios!AD32</f>
        <v>728909.83470272913</v>
      </c>
      <c r="N34" s="416">
        <f t="shared" si="3"/>
        <v>1.5507630790518043</v>
      </c>
      <c r="P34" s="403">
        <f>Scenarios!AI32</f>
        <v>2982270.3534693415</v>
      </c>
      <c r="Q34" s="416">
        <f t="shared" si="4"/>
        <v>6.3448104768639269</v>
      </c>
      <c r="S34" s="403">
        <f>Scenarios!AN32</f>
        <v>24852252.945577845</v>
      </c>
      <c r="T34" s="416">
        <f t="shared" si="5"/>
        <v>52.873420640532721</v>
      </c>
      <c r="W34" s="403">
        <f>Scenarios!AY32</f>
        <v>477551.45937060041</v>
      </c>
      <c r="X34" s="416">
        <f t="shared" si="6"/>
        <v>1.0159955817323563</v>
      </c>
      <c r="Z34" s="403">
        <f>Scenarios!BD32</f>
        <v>1953859.7117677606</v>
      </c>
      <c r="AA34" s="416">
        <f t="shared" si="7"/>
        <v>4.1568563879947593</v>
      </c>
      <c r="AC34" s="403">
        <f>Scenarios!BI32</f>
        <v>16282164.264731338</v>
      </c>
      <c r="AD34" s="416">
        <f t="shared" si="8"/>
        <v>34.640469899956322</v>
      </c>
    </row>
    <row r="35" spans="1:30">
      <c r="A35" s="360">
        <v>2043</v>
      </c>
      <c r="C35" s="403">
        <f>Scenarios!H33</f>
        <v>903512.11435351672</v>
      </c>
      <c r="D35" s="416">
        <f t="shared" si="0"/>
        <v>1.9222312029674962</v>
      </c>
      <c r="F35" s="403">
        <f>Scenarios!M33</f>
        <v>3809658.9611086412</v>
      </c>
      <c r="G35" s="416">
        <f t="shared" si="1"/>
        <v>8.1050881458823252</v>
      </c>
      <c r="I35" s="403">
        <f>Scenarios!R33</f>
        <v>31747158.009238675</v>
      </c>
      <c r="J35" s="416">
        <f t="shared" si="2"/>
        <v>67.542401215686041</v>
      </c>
      <c r="M35" s="403">
        <f>Scenarios!AD33</f>
        <v>778808.60738226364</v>
      </c>
      <c r="N35" s="416">
        <f t="shared" si="3"/>
        <v>1.6569232248988959</v>
      </c>
      <c r="P35" s="403">
        <f>Scenarios!AI33</f>
        <v>3283846.6058923118</v>
      </c>
      <c r="Q35" s="416">
        <f t="shared" si="4"/>
        <v>6.9864170179076224</v>
      </c>
      <c r="S35" s="403">
        <f>Scenarios!AN33</f>
        <v>27365388.382435933</v>
      </c>
      <c r="T35" s="416">
        <f t="shared" si="5"/>
        <v>58.220141815896852</v>
      </c>
      <c r="W35" s="403">
        <f>Scenarios!AY33</f>
        <v>512318.3976411437</v>
      </c>
      <c r="X35" s="416">
        <f t="shared" si="6"/>
        <v>1.0899625961349264</v>
      </c>
      <c r="Z35" s="403">
        <f>Scenarios!BD33</f>
        <v>2160190.5978990998</v>
      </c>
      <c r="AA35" s="416">
        <f t="shared" si="7"/>
        <v>4.5958274445603715</v>
      </c>
      <c r="AC35" s="403">
        <f>Scenarios!BI33</f>
        <v>18001588.315825831</v>
      </c>
      <c r="AD35" s="416">
        <f t="shared" si="8"/>
        <v>38.298562038003091</v>
      </c>
    </row>
    <row r="36" spans="1:30">
      <c r="A36" s="360">
        <v>2044</v>
      </c>
      <c r="C36" s="403">
        <f>Scenarios!H34</f>
        <v>967844.48822322662</v>
      </c>
      <c r="D36" s="416">
        <f t="shared" si="0"/>
        <v>2.0590989819920305</v>
      </c>
      <c r="F36" s="403">
        <f>Scenarios!M34</f>
        <v>4127768.0263600247</v>
      </c>
      <c r="G36" s="416">
        <f t="shared" si="1"/>
        <v>8.7818684141917984</v>
      </c>
      <c r="I36" s="403">
        <f>Scenarios!R34</f>
        <v>34398066.88633354</v>
      </c>
      <c r="J36" s="416">
        <f t="shared" si="2"/>
        <v>73.182236784931661</v>
      </c>
      <c r="M36" s="403">
        <f>Scenarios!AD34</f>
        <v>830638.78002179798</v>
      </c>
      <c r="N36" s="416">
        <f t="shared" si="3"/>
        <v>1.7671924437839046</v>
      </c>
      <c r="P36" s="403">
        <f>Scenarios!AI34</f>
        <v>3542598.2576220171</v>
      </c>
      <c r="Q36" s="416">
        <f t="shared" si="4"/>
        <v>7.5369137858785811</v>
      </c>
      <c r="S36" s="403">
        <f>Scenarios!AN34</f>
        <v>29521652.146850143</v>
      </c>
      <c r="T36" s="416">
        <f t="shared" si="5"/>
        <v>62.807614882321509</v>
      </c>
      <c r="W36" s="403">
        <f>Scenarios!AY34</f>
        <v>548603.73591168679</v>
      </c>
      <c r="X36" s="416">
        <f t="shared" si="6"/>
        <v>1.1671600219644356</v>
      </c>
      <c r="Z36" s="403">
        <f>Scenarios!BD34</f>
        <v>2339744.6467821659</v>
      </c>
      <c r="AA36" s="416">
        <f t="shared" si="7"/>
        <v>4.9778305078276963</v>
      </c>
      <c r="AC36" s="403">
        <f>Scenarios!BI34</f>
        <v>19497872.056518052</v>
      </c>
      <c r="AD36" s="416">
        <f t="shared" si="8"/>
        <v>41.481920898564141</v>
      </c>
    </row>
    <row r="37" spans="1:30">
      <c r="A37" s="360">
        <v>2045</v>
      </c>
      <c r="C37" s="403">
        <f>Scenarios!H35</f>
        <v>1034941.5413054369</v>
      </c>
      <c r="D37" s="416">
        <f t="shared" si="0"/>
        <v>2.2018486441302922</v>
      </c>
      <c r="F37" s="403">
        <f>Scenarios!M35</f>
        <v>4397193.9079187876</v>
      </c>
      <c r="G37" s="416">
        <f t="shared" si="1"/>
        <v>9.3550747145742204</v>
      </c>
      <c r="I37" s="403">
        <f>Scenarios!R35</f>
        <v>36643282.565989897</v>
      </c>
      <c r="J37" s="416">
        <f t="shared" si="2"/>
        <v>77.958955954785168</v>
      </c>
      <c r="M37" s="403">
        <f>Scenarios!AD35</f>
        <v>884423.09334133239</v>
      </c>
      <c r="N37" s="416">
        <f t="shared" si="3"/>
        <v>1.8816191168196772</v>
      </c>
      <c r="P37" s="403">
        <f>Scenarios!AI35</f>
        <v>3757680.6832565456</v>
      </c>
      <c r="Q37" s="416">
        <f t="shared" si="4"/>
        <v>7.9945038316528434</v>
      </c>
      <c r="S37" s="403">
        <f>Scenarios!AN35</f>
        <v>31314005.693804547</v>
      </c>
      <c r="T37" s="416">
        <f t="shared" si="5"/>
        <v>66.620865263773695</v>
      </c>
      <c r="W37" s="403">
        <f>Scenarios!AY35</f>
        <v>586433.87418223009</v>
      </c>
      <c r="X37" s="416">
        <f t="shared" si="6"/>
        <v>1.2476440254891084</v>
      </c>
      <c r="Z37" s="403">
        <f>Scenarios!BD35</f>
        <v>2491603.0094788587</v>
      </c>
      <c r="AA37" s="416">
        <f t="shared" si="7"/>
        <v>5.3009107173454222</v>
      </c>
      <c r="AC37" s="403">
        <f>Scenarios!BI35</f>
        <v>20763358.412323825</v>
      </c>
      <c r="AD37" s="416">
        <f t="shared" si="8"/>
        <v>44.174255977878524</v>
      </c>
    </row>
    <row r="38" spans="1:30">
      <c r="A38" s="360">
        <v>2046</v>
      </c>
      <c r="C38" s="403">
        <f>Scenarios!H36</f>
        <v>1104851.6102826467</v>
      </c>
      <c r="D38" s="416">
        <f t="shared" si="0"/>
        <v>2.3505830261653986</v>
      </c>
      <c r="F38" s="403">
        <f>Scenarios!M36</f>
        <v>4621173.0903210826</v>
      </c>
      <c r="G38" s="416">
        <f t="shared" si="1"/>
        <v>9.8315927007629291</v>
      </c>
      <c r="I38" s="403">
        <f>Scenarios!R36</f>
        <v>38509775.75267569</v>
      </c>
      <c r="J38" s="416">
        <f t="shared" si="2"/>
        <v>81.929939173024408</v>
      </c>
      <c r="M38" s="403">
        <f>Scenarios!AD36</f>
        <v>940184.28806086665</v>
      </c>
      <c r="N38" s="416">
        <f t="shared" si="3"/>
        <v>2.0002516251190583</v>
      </c>
      <c r="P38" s="403">
        <f>Scenarios!AI36</f>
        <v>3932432.4565342064</v>
      </c>
      <c r="Q38" s="416">
        <f t="shared" si="4"/>
        <v>8.3662900047785627</v>
      </c>
      <c r="S38" s="403">
        <f>Scenarios!AN36</f>
        <v>32770270.471118387</v>
      </c>
      <c r="T38" s="416">
        <f t="shared" si="5"/>
        <v>69.719083373154689</v>
      </c>
      <c r="W38" s="403">
        <f>Scenarios!AY36</f>
        <v>625835.21245277324</v>
      </c>
      <c r="X38" s="416">
        <f t="shared" si="6"/>
        <v>1.3314707729771684</v>
      </c>
      <c r="Z38" s="403">
        <f>Scenarios!BD36</f>
        <v>2617630.1105469437</v>
      </c>
      <c r="AA38" s="416">
        <f t="shared" si="7"/>
        <v>5.5690346553027448</v>
      </c>
      <c r="AC38" s="403">
        <f>Scenarios!BI36</f>
        <v>21813584.254557867</v>
      </c>
      <c r="AD38" s="416">
        <f t="shared" si="8"/>
        <v>46.408622127522875</v>
      </c>
    </row>
    <row r="39" spans="1:30">
      <c r="A39" s="360">
        <v>2047</v>
      </c>
      <c r="C39" s="403">
        <f>Scenarios!H37</f>
        <v>1177623.031837357</v>
      </c>
      <c r="D39" s="416">
        <f t="shared" si="0"/>
        <v>2.5054049648804706</v>
      </c>
      <c r="F39" s="403">
        <f>Scenarios!M37</f>
        <v>4805674.1611540895</v>
      </c>
      <c r="G39" s="416">
        <f t="shared" si="1"/>
        <v>10.22412060349048</v>
      </c>
      <c r="I39" s="403">
        <f>Scenarios!R37</f>
        <v>40047284.676284082</v>
      </c>
      <c r="J39" s="416">
        <f t="shared" si="2"/>
        <v>85.201005029087341</v>
      </c>
      <c r="M39" s="403">
        <f>Scenarios!AD37</f>
        <v>997945.1049004012</v>
      </c>
      <c r="N39" s="416">
        <f t="shared" si="3"/>
        <v>2.1231383497948952</v>
      </c>
      <c r="P39" s="403">
        <f>Scenarios!AI37</f>
        <v>4072439.8854424059</v>
      </c>
      <c r="Q39" s="416">
        <f t="shared" si="4"/>
        <v>8.6641572322558176</v>
      </c>
      <c r="S39" s="403">
        <f>Scenarios!AN37</f>
        <v>33936999.045353383</v>
      </c>
      <c r="T39" s="416">
        <f t="shared" si="5"/>
        <v>72.20131026879848</v>
      </c>
      <c r="W39" s="403">
        <f>Scenarios!AY37</f>
        <v>666834.15072331647</v>
      </c>
      <c r="X39" s="416">
        <f t="shared" si="6"/>
        <v>1.4186964306968397</v>
      </c>
      <c r="Z39" s="403">
        <f>Scenarios!BD37</f>
        <v>2721233.8424684983</v>
      </c>
      <c r="AA39" s="416">
        <f t="shared" si="7"/>
        <v>5.7894526475794592</v>
      </c>
      <c r="AC39" s="403">
        <f>Scenarios!BI37</f>
        <v>22676948.687237486</v>
      </c>
      <c r="AD39" s="416">
        <f t="shared" si="8"/>
        <v>48.245438729828827</v>
      </c>
    </row>
    <row r="40" spans="1:30">
      <c r="A40" s="360">
        <v>2048</v>
      </c>
      <c r="C40" s="403">
        <f>Scenarios!H38</f>
        <v>1253304.1426520671</v>
      </c>
      <c r="D40" s="416">
        <f t="shared" si="0"/>
        <v>2.6664172970586271</v>
      </c>
      <c r="F40" s="403">
        <f>Scenarios!M38</f>
        <v>4957603.3546686275</v>
      </c>
      <c r="G40" s="416">
        <f t="shared" si="1"/>
        <v>10.547351506292813</v>
      </c>
      <c r="I40" s="403">
        <f>Scenarios!R38</f>
        <v>41313361.288905226</v>
      </c>
      <c r="J40" s="416">
        <f t="shared" si="2"/>
        <v>87.894595885773441</v>
      </c>
      <c r="M40" s="403">
        <f>Scenarios!AD38</f>
        <v>1057728.2845799355</v>
      </c>
      <c r="N40" s="416">
        <f t="shared" si="3"/>
        <v>2.2503276719600316</v>
      </c>
      <c r="P40" s="403">
        <f>Scenarios!AI38</f>
        <v>4183978.2647372331</v>
      </c>
      <c r="Q40" s="416">
        <f t="shared" si="4"/>
        <v>8.9014562674351634</v>
      </c>
      <c r="S40" s="403">
        <f>Scenarios!AN38</f>
        <v>34866485.539476939</v>
      </c>
      <c r="T40" s="416">
        <f t="shared" si="5"/>
        <v>74.178802228626353</v>
      </c>
      <c r="W40" s="403">
        <f>Scenarios!AY38</f>
        <v>709457.08899385971</v>
      </c>
      <c r="X40" s="416">
        <f t="shared" si="6"/>
        <v>1.5093771649163463</v>
      </c>
      <c r="Z40" s="403">
        <f>Scenarios!BD38</f>
        <v>2806347.4177519088</v>
      </c>
      <c r="AA40" s="416">
        <f t="shared" si="7"/>
        <v>5.9705326437485864</v>
      </c>
      <c r="AC40" s="403">
        <f>Scenarios!BI38</f>
        <v>23386228.481265903</v>
      </c>
      <c r="AD40" s="416">
        <f t="shared" si="8"/>
        <v>49.754438697904881</v>
      </c>
    </row>
    <row r="41" spans="1:30">
      <c r="A41" s="360">
        <v>2049</v>
      </c>
      <c r="C41" s="403">
        <f>Scenarios!H39</f>
        <v>1331943.2794092773</v>
      </c>
      <c r="D41" s="416">
        <f t="shared" si="0"/>
        <v>2.8337228594829869</v>
      </c>
      <c r="F41" s="403">
        <f>Scenarios!M39</f>
        <v>5083640.9860426737</v>
      </c>
      <c r="G41" s="416">
        <f t="shared" si="1"/>
        <v>10.815497847583055</v>
      </c>
      <c r="I41" s="403">
        <f>Scenarios!R39</f>
        <v>42363674.883688956</v>
      </c>
      <c r="J41" s="416">
        <f t="shared" si="2"/>
        <v>90.129148729858812</v>
      </c>
      <c r="M41" s="403">
        <f>Scenarios!AD39</f>
        <v>1119556.5678194701</v>
      </c>
      <c r="N41" s="416">
        <f t="shared" si="3"/>
        <v>2.3818679727273149</v>
      </c>
      <c r="P41" s="403">
        <f>Scenarios!AI39</f>
        <v>4273022.5395817859</v>
      </c>
      <c r="Q41" s="416">
        <f t="shared" si="4"/>
        <v>9.0908988668565165</v>
      </c>
      <c r="S41" s="403">
        <f>Scenarios!AN39</f>
        <v>35608521.163181558</v>
      </c>
      <c r="T41" s="416">
        <f t="shared" si="5"/>
        <v>75.757490557137658</v>
      </c>
      <c r="W41" s="403">
        <f>Scenarios!AY39</f>
        <v>753730.42726440297</v>
      </c>
      <c r="X41" s="416">
        <f t="shared" si="6"/>
        <v>1.603569141903912</v>
      </c>
      <c r="Z41" s="403">
        <f>Scenarios!BD39</f>
        <v>2876770.318754226</v>
      </c>
      <c r="AA41" s="416">
        <f t="shared" si="7"/>
        <v>6.1203580811274803</v>
      </c>
      <c r="AC41" s="403">
        <f>Scenarios!BI39</f>
        <v>23973085.989618551</v>
      </c>
      <c r="AD41" s="416">
        <f t="shared" si="8"/>
        <v>51.002984009395675</v>
      </c>
    </row>
    <row r="42" spans="1:30">
      <c r="A42" s="360">
        <v>2050</v>
      </c>
      <c r="C42" s="405">
        <f>Scenarios!H40</f>
        <v>1413588.7787914872</v>
      </c>
      <c r="D42" s="417">
        <f t="shared" si="0"/>
        <v>3.0074244889366688</v>
      </c>
      <c r="F42" s="405">
        <f>Scenarios!M40</f>
        <v>5189645.1886209575</v>
      </c>
      <c r="G42" s="417">
        <f t="shared" si="1"/>
        <v>11.041022865570737</v>
      </c>
      <c r="I42" s="405">
        <f>Scenarios!R40</f>
        <v>43247043.238507979</v>
      </c>
      <c r="J42" s="417">
        <f t="shared" si="2"/>
        <v>92.00852387975614</v>
      </c>
      <c r="M42" s="405">
        <f>Scenarios!AD40</f>
        <v>1183452.6953390043</v>
      </c>
      <c r="N42" s="417">
        <f t="shared" si="3"/>
        <v>2.5178076332095891</v>
      </c>
      <c r="P42" s="405">
        <f>Scenarios!AI40</f>
        <v>4344756.8900322355</v>
      </c>
      <c r="Q42" s="417">
        <f t="shared" si="4"/>
        <v>9.243514426260635</v>
      </c>
      <c r="S42" s="405">
        <f>Scenarios!AN40</f>
        <v>36206307.416935295</v>
      </c>
      <c r="T42" s="417">
        <f t="shared" si="5"/>
        <v>77.029286885505286</v>
      </c>
      <c r="W42" s="405">
        <f>Scenarios!AY40</f>
        <v>799680.56553494604</v>
      </c>
      <c r="X42" s="417">
        <f t="shared" si="6"/>
        <v>1.7013285279277603</v>
      </c>
      <c r="Z42" s="405">
        <f>Scenarios!BD40</f>
        <v>2935831.4536920059</v>
      </c>
      <c r="AA42" s="417">
        <f t="shared" si="7"/>
        <v>6.2460112457685621</v>
      </c>
      <c r="AC42" s="405">
        <f>Scenarios!BI40</f>
        <v>24465262.11410005</v>
      </c>
      <c r="AD42" s="417">
        <f t="shared" si="8"/>
        <v>52.050093714738018</v>
      </c>
    </row>
  </sheetData>
  <mergeCells count="13">
    <mergeCell ref="A2:B2"/>
    <mergeCell ref="Z6:AA6"/>
    <mergeCell ref="AC6:AD6"/>
    <mergeCell ref="C5:J5"/>
    <mergeCell ref="M5:T5"/>
    <mergeCell ref="W5:AD5"/>
    <mergeCell ref="C6:D6"/>
    <mergeCell ref="F6:G6"/>
    <mergeCell ref="I6:J6"/>
    <mergeCell ref="M6:N6"/>
    <mergeCell ref="P6:Q6"/>
    <mergeCell ref="S6:T6"/>
    <mergeCell ref="W6:X6"/>
  </mergeCells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zoomScale="40" zoomScaleNormal="40" workbookViewId="0">
      <selection activeCell="K3" sqref="K3"/>
    </sheetView>
  </sheetViews>
  <sheetFormatPr defaultColWidth="11" defaultRowHeight="15.6"/>
  <cols>
    <col min="1" max="2" width="11.09765625" style="184" bestFit="1" customWidth="1"/>
    <col min="3" max="3" width="14.09765625" style="184" customWidth="1"/>
    <col min="4" max="4" width="11" style="184"/>
    <col min="5" max="5" width="11" style="184" customWidth="1"/>
    <col min="6" max="6" width="17.8984375" style="184" bestFit="1" customWidth="1"/>
    <col min="7" max="7" width="3.3984375" style="184" customWidth="1"/>
    <col min="8" max="8" width="11.09765625" style="184" bestFit="1" customWidth="1"/>
    <col min="9" max="9" width="14" style="184" customWidth="1"/>
    <col min="10" max="10" width="3.3984375" style="184" customWidth="1"/>
    <col min="11" max="11" width="11.09765625" style="184" bestFit="1" customWidth="1"/>
    <col min="12" max="12" width="13.3984375" style="184" customWidth="1"/>
    <col min="13" max="13" width="5" style="184" customWidth="1"/>
    <col min="14" max="14" width="5.3984375" style="184" customWidth="1"/>
    <col min="15" max="15" width="11.09765625" style="184" bestFit="1" customWidth="1"/>
    <col min="16" max="16" width="13.5" style="184" customWidth="1"/>
    <col min="17" max="17" width="3.3984375" style="184" customWidth="1"/>
    <col min="18" max="18" width="13.09765625" style="184" bestFit="1" customWidth="1"/>
    <col min="19" max="19" width="13.5" style="184" customWidth="1"/>
    <col min="20" max="20" width="3.09765625" style="184" customWidth="1"/>
    <col min="21" max="21" width="11.09765625" style="184" bestFit="1" customWidth="1"/>
    <col min="22" max="22" width="14.09765625" style="184" customWidth="1"/>
    <col min="23" max="23" width="6.5" style="184" customWidth="1"/>
    <col min="24" max="24" width="5.3984375" style="184" customWidth="1"/>
    <col min="25" max="25" width="11.09765625" style="184" bestFit="1" customWidth="1"/>
    <col min="26" max="26" width="13.5" style="184" customWidth="1"/>
    <col min="27" max="27" width="3.3984375" style="184" customWidth="1"/>
    <col min="28" max="28" width="11.09765625" style="184" bestFit="1" customWidth="1"/>
    <col min="29" max="29" width="13.09765625" style="184" customWidth="1"/>
    <col min="30" max="30" width="3.3984375" style="184" customWidth="1"/>
    <col min="31" max="31" width="11.8984375" style="184" bestFit="1" customWidth="1"/>
    <col min="32" max="32" width="13.8984375" style="184" customWidth="1"/>
    <col min="33" max="16384" width="11" style="184"/>
  </cols>
  <sheetData>
    <row r="1" spans="1:35" ht="28.8">
      <c r="A1" s="418"/>
      <c r="B1" s="552" t="s">
        <v>227</v>
      </c>
      <c r="C1" s="552"/>
      <c r="D1" s="552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</row>
    <row r="2" spans="1:35" ht="31.2">
      <c r="B2" s="421" t="s">
        <v>228</v>
      </c>
      <c r="C2" s="421" t="s">
        <v>229</v>
      </c>
      <c r="D2" s="421" t="s">
        <v>230</v>
      </c>
      <c r="E2" s="551"/>
      <c r="F2" s="551"/>
      <c r="G2" s="551"/>
      <c r="H2" s="551"/>
      <c r="I2" s="551"/>
      <c r="J2" s="551"/>
      <c r="K2" s="551"/>
      <c r="L2" s="551"/>
      <c r="M2" s="350"/>
      <c r="N2" s="325"/>
      <c r="O2" s="551"/>
      <c r="P2" s="551"/>
      <c r="Q2" s="551"/>
      <c r="R2" s="551"/>
      <c r="S2" s="551"/>
      <c r="T2" s="551"/>
      <c r="U2" s="551"/>
      <c r="V2" s="551"/>
      <c r="W2" s="350"/>
      <c r="X2" s="350"/>
      <c r="Y2" s="548"/>
      <c r="Z2" s="548"/>
      <c r="AA2" s="548"/>
      <c r="AB2" s="548"/>
      <c r="AC2" s="548"/>
      <c r="AD2" s="548"/>
      <c r="AE2" s="548"/>
      <c r="AF2" s="548"/>
      <c r="AG2" s="349"/>
      <c r="AH2" s="349"/>
      <c r="AI2" s="349"/>
    </row>
    <row r="3" spans="1:35" ht="28.8">
      <c r="B3" s="422">
        <f>1000*'PRs Analysis'!H25</f>
        <v>33434</v>
      </c>
      <c r="C3" s="422">
        <v>5704</v>
      </c>
      <c r="D3" s="423">
        <f>C3/B3</f>
        <v>0.17060477358377699</v>
      </c>
      <c r="E3" s="350"/>
      <c r="F3" s="350"/>
      <c r="G3" s="350"/>
      <c r="H3" s="350"/>
      <c r="I3" s="350"/>
      <c r="J3" s="350"/>
      <c r="K3" s="350"/>
      <c r="L3" s="350"/>
      <c r="M3" s="350"/>
      <c r="N3" s="325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</row>
    <row r="4" spans="1:35" ht="29.4" thickBot="1"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25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</row>
    <row r="5" spans="1:35" ht="58.5" customHeight="1" thickBot="1">
      <c r="A5" s="185"/>
      <c r="B5" s="185"/>
      <c r="C5" s="185"/>
      <c r="D5" s="185"/>
      <c r="E5" s="549" t="s">
        <v>199</v>
      </c>
      <c r="F5" s="550"/>
      <c r="G5" s="31"/>
      <c r="H5" s="549" t="s">
        <v>181</v>
      </c>
      <c r="I5" s="550"/>
      <c r="J5" s="31"/>
      <c r="K5" s="549" t="s">
        <v>182</v>
      </c>
      <c r="L5" s="550"/>
      <c r="M5"/>
      <c r="N5"/>
      <c r="O5" s="549" t="s">
        <v>184</v>
      </c>
      <c r="P5" s="550"/>
      <c r="Q5" s="31"/>
      <c r="R5" s="549" t="s">
        <v>185</v>
      </c>
      <c r="S5" s="550"/>
      <c r="T5" s="31"/>
      <c r="U5" s="549" t="s">
        <v>186</v>
      </c>
      <c r="V5" s="550"/>
      <c r="W5"/>
      <c r="X5"/>
      <c r="Y5" s="549" t="s">
        <v>188</v>
      </c>
      <c r="Z5" s="550"/>
      <c r="AA5" s="31"/>
      <c r="AB5" s="549" t="s">
        <v>189</v>
      </c>
      <c r="AC5" s="550"/>
      <c r="AD5" s="31"/>
      <c r="AE5" s="549" t="s">
        <v>190</v>
      </c>
      <c r="AF5" s="550"/>
    </row>
    <row r="6" spans="1:35" ht="65.25" customHeight="1">
      <c r="A6" s="186" t="s">
        <v>200</v>
      </c>
      <c r="B6" s="187"/>
      <c r="C6" s="424" t="s">
        <v>231</v>
      </c>
      <c r="D6" s="187"/>
      <c r="E6" s="379" t="s">
        <v>201</v>
      </c>
      <c r="F6" s="380" t="s">
        <v>232</v>
      </c>
      <c r="G6" s="30"/>
      <c r="H6" s="379" t="s">
        <v>201</v>
      </c>
      <c r="I6" s="380" t="s">
        <v>232</v>
      </c>
      <c r="J6" s="28"/>
      <c r="K6" s="379" t="s">
        <v>201</v>
      </c>
      <c r="L6" s="380" t="s">
        <v>232</v>
      </c>
      <c r="M6"/>
      <c r="N6"/>
      <c r="O6" s="379" t="s">
        <v>201</v>
      </c>
      <c r="P6" s="380" t="s">
        <v>232</v>
      </c>
      <c r="Q6" s="30"/>
      <c r="R6" s="379" t="s">
        <v>201</v>
      </c>
      <c r="S6" s="380" t="s">
        <v>232</v>
      </c>
      <c r="T6" s="28"/>
      <c r="U6" s="379" t="s">
        <v>201</v>
      </c>
      <c r="V6" s="380" t="s">
        <v>232</v>
      </c>
      <c r="W6"/>
      <c r="X6"/>
      <c r="Y6" s="379" t="s">
        <v>201</v>
      </c>
      <c r="Z6" s="380" t="s">
        <v>232</v>
      </c>
      <c r="AA6" s="30"/>
      <c r="AB6" s="379" t="s">
        <v>201</v>
      </c>
      <c r="AC6" s="380" t="s">
        <v>232</v>
      </c>
      <c r="AD6" s="28"/>
      <c r="AE6" s="379" t="s">
        <v>201</v>
      </c>
      <c r="AF6" s="380" t="s">
        <v>232</v>
      </c>
    </row>
    <row r="7" spans="1:35" ht="15.9" customHeight="1">
      <c r="A7" s="188">
        <v>2016</v>
      </c>
      <c r="B7" s="187"/>
      <c r="C7" s="420">
        <f>D3</f>
        <v>0.17060477358377699</v>
      </c>
      <c r="D7" s="187"/>
      <c r="E7" s="404">
        <f>Scenarios!H6</f>
        <v>33859.664237524528</v>
      </c>
      <c r="F7" s="365">
        <f t="shared" ref="F7:F41" si="0">E7*$D$3</f>
        <v>5776.6203508655826</v>
      </c>
      <c r="G7"/>
      <c r="H7" s="404">
        <f>Scenarios!M6</f>
        <v>33859.664237524528</v>
      </c>
      <c r="I7" s="365">
        <f>H7*$C$7</f>
        <v>5776.6203508655826</v>
      </c>
      <c r="J7"/>
      <c r="K7" s="404">
        <f>Scenarios!R6</f>
        <v>33859.664237524528</v>
      </c>
      <c r="L7" s="365">
        <f>K7*C7</f>
        <v>5776.6203508655826</v>
      </c>
      <c r="M7"/>
      <c r="N7"/>
      <c r="O7" s="404">
        <f>Scenarios!AD6</f>
        <v>33859.664237524528</v>
      </c>
      <c r="P7" s="365">
        <f t="shared" ref="P7:P41" si="1">O7*$D$3</f>
        <v>5776.6203508655826</v>
      </c>
      <c r="Q7"/>
      <c r="R7" s="404">
        <f>Scenarios!AI6</f>
        <v>33859.664237524528</v>
      </c>
      <c r="S7" s="365">
        <f>R7*$C$7</f>
        <v>5776.6203508655826</v>
      </c>
      <c r="T7"/>
      <c r="U7" s="404">
        <f>Scenarios!AN6</f>
        <v>33859.664237524528</v>
      </c>
      <c r="V7" s="365">
        <f>U7*C7</f>
        <v>5776.6203508655826</v>
      </c>
      <c r="W7"/>
      <c r="X7"/>
      <c r="Y7" s="404">
        <f>Scenarios!AY6</f>
        <v>33859.664237524528</v>
      </c>
      <c r="Z7" s="365">
        <f t="shared" ref="Z7:Z41" si="2">Y7*$D$3</f>
        <v>5776.6203508655826</v>
      </c>
      <c r="AA7"/>
      <c r="AB7" s="404">
        <f>Scenarios!BD6</f>
        <v>33859.664237524528</v>
      </c>
      <c r="AC7" s="365">
        <f>AB7*$C$7</f>
        <v>5776.6203508655826</v>
      </c>
      <c r="AD7"/>
      <c r="AE7" s="404">
        <f>Scenarios!BI6</f>
        <v>33859.664237524528</v>
      </c>
      <c r="AF7" s="365">
        <f>AE7*C7</f>
        <v>5776.6203508655826</v>
      </c>
    </row>
    <row r="8" spans="1:35">
      <c r="A8" s="29">
        <v>2017</v>
      </c>
      <c r="B8" s="33"/>
      <c r="C8" s="183">
        <f>C7+(($C$31-C7)/($A$29-$A$7))</f>
        <v>0.17194092023905985</v>
      </c>
      <c r="D8" s="33"/>
      <c r="E8" s="403">
        <f>Scenarios!H7</f>
        <v>42921.825458555708</v>
      </c>
      <c r="F8" s="367">
        <f t="shared" si="0"/>
        <v>7322.6683141592912</v>
      </c>
      <c r="G8"/>
      <c r="H8" s="403">
        <f>Scenarios!M7</f>
        <v>42921.825458555708</v>
      </c>
      <c r="I8" s="367">
        <f t="shared" ref="I8:I41" si="3">H8*$C$7</f>
        <v>7322.6683141592912</v>
      </c>
      <c r="J8"/>
      <c r="K8" s="403">
        <f>Scenarios!R7</f>
        <v>42921.825458555708</v>
      </c>
      <c r="L8" s="367">
        <f t="shared" ref="L8:L30" si="4">K8*C8</f>
        <v>7380.0181676843758</v>
      </c>
      <c r="M8"/>
      <c r="N8"/>
      <c r="O8" s="403">
        <f>Scenarios!AD7</f>
        <v>42564.955269477316</v>
      </c>
      <c r="P8" s="367">
        <f t="shared" si="1"/>
        <v>7261.7845563527726</v>
      </c>
      <c r="Q8"/>
      <c r="R8" s="403">
        <f>Scenarios!AI7</f>
        <v>42564.955269477316</v>
      </c>
      <c r="S8" s="367">
        <f t="shared" ref="S8:S41" si="5">R8*$C$7</f>
        <v>7261.7845563527726</v>
      </c>
      <c r="T8"/>
      <c r="U8" s="403">
        <f>Scenarios!AN7</f>
        <v>42564.955269477316</v>
      </c>
      <c r="V8" s="367">
        <f t="shared" ref="V8:V41" si="6">U8*C8</f>
        <v>7318.6575789683493</v>
      </c>
      <c r="W8"/>
      <c r="X8"/>
      <c r="Y8" s="403">
        <f>Scenarios!AY7</f>
        <v>42316.978030640552</v>
      </c>
      <c r="Z8" s="367">
        <f t="shared" si="2"/>
        <v>7219.4784556670966</v>
      </c>
      <c r="AA8"/>
      <c r="AB8" s="403">
        <f>Scenarios!BD7</f>
        <v>42316.978030640552</v>
      </c>
      <c r="AC8" s="367">
        <f t="shared" ref="AC8:AC41" si="7">AB8*$C$7</f>
        <v>7219.4784556670966</v>
      </c>
      <c r="AD8"/>
      <c r="AE8" s="403">
        <f>Scenarios!BI7</f>
        <v>42316.978030640552</v>
      </c>
      <c r="AF8" s="367">
        <f t="shared" ref="AF8:AF41" si="8">AE8*C8</f>
        <v>7276.020144324415</v>
      </c>
    </row>
    <row r="9" spans="1:35">
      <c r="A9" s="29">
        <v>2018</v>
      </c>
      <c r="B9" s="33"/>
      <c r="C9" s="183">
        <f t="shared" ref="C9:C30" si="9">C8+(($C$31-C8)/($A$29-$A$7))</f>
        <v>0.17321633295546623</v>
      </c>
      <c r="D9" s="33"/>
      <c r="E9" s="403">
        <f>Scenarios!H8</f>
        <v>52338.715360765738</v>
      </c>
      <c r="F9" s="367">
        <f t="shared" si="0"/>
        <v>8929.2346837891891</v>
      </c>
      <c r="G9"/>
      <c r="H9" s="403">
        <f>Scenarios!M8</f>
        <v>52206.18511696683</v>
      </c>
      <c r="I9" s="367">
        <f t="shared" si="3"/>
        <v>8906.6243915528739</v>
      </c>
      <c r="J9"/>
      <c r="K9" s="403">
        <f>Scenarios!R8</f>
        <v>52206.18511696683</v>
      </c>
      <c r="L9" s="367">
        <f t="shared" si="4"/>
        <v>9042.9639435552326</v>
      </c>
      <c r="M9"/>
      <c r="N9"/>
      <c r="O9" s="403">
        <f>Scenarios!AD8</f>
        <v>51479.459130964729</v>
      </c>
      <c r="P9" s="367">
        <f t="shared" si="1"/>
        <v>8782.6414692535382</v>
      </c>
      <c r="Q9"/>
      <c r="R9" s="403">
        <f>Scenarios!AI8</f>
        <v>51349.104665398743</v>
      </c>
      <c r="S9" s="367">
        <f t="shared" si="5"/>
        <v>8760.4023751700188</v>
      </c>
      <c r="T9"/>
      <c r="U9" s="403">
        <f>Scenarios!AN8</f>
        <v>51349.104665398743</v>
      </c>
      <c r="V9" s="367">
        <f t="shared" si="6"/>
        <v>8894.5036106867938</v>
      </c>
      <c r="W9"/>
      <c r="X9"/>
      <c r="Y9" s="403">
        <f>Scenarios!AY8</f>
        <v>50882.387719935425</v>
      </c>
      <c r="Z9" s="367">
        <f t="shared" si="2"/>
        <v>8680.778236361537</v>
      </c>
      <c r="AA9"/>
      <c r="AB9" s="403">
        <f>Scenarios!BD8</f>
        <v>50753.545137477842</v>
      </c>
      <c r="AC9" s="367">
        <f t="shared" si="7"/>
        <v>8658.7970767534134</v>
      </c>
      <c r="AD9"/>
      <c r="AE9" s="403">
        <f>Scenarios!BI8</f>
        <v>50753.545137477842</v>
      </c>
      <c r="AF9" s="367">
        <f t="shared" si="8"/>
        <v>8791.3429732036457</v>
      </c>
    </row>
    <row r="10" spans="1:35">
      <c r="A10" s="29">
        <v>2019</v>
      </c>
      <c r="B10" s="33"/>
      <c r="C10" s="183">
        <f t="shared" si="9"/>
        <v>0.17443377236658142</v>
      </c>
      <c r="D10" s="33"/>
      <c r="E10" s="403">
        <f>Scenarios!H9</f>
        <v>63263.530730475759</v>
      </c>
      <c r="F10" s="367">
        <f t="shared" si="0"/>
        <v>10793.060336383134</v>
      </c>
      <c r="G10"/>
      <c r="H10" s="403">
        <f>Scenarios!M9</f>
        <v>61712.74321275788</v>
      </c>
      <c r="I10" s="367">
        <f t="shared" si="3"/>
        <v>10528.488583046328</v>
      </c>
      <c r="J10"/>
      <c r="K10" s="403">
        <f>Scenarios!R9</f>
        <v>61712.74321275788</v>
      </c>
      <c r="L10" s="367">
        <f t="shared" si="4"/>
        <v>10764.7866016915</v>
      </c>
      <c r="M10"/>
      <c r="N10"/>
      <c r="O10" s="403">
        <f>Scenarios!AD9</f>
        <v>61725.189272452124</v>
      </c>
      <c r="P10" s="367">
        <f t="shared" si="1"/>
        <v>10530.611940242476</v>
      </c>
      <c r="Q10"/>
      <c r="R10" s="403">
        <f>Scenarios!AI9</f>
        <v>60212.111327746454</v>
      </c>
      <c r="S10" s="367">
        <f t="shared" si="5"/>
        <v>10272.473620071358</v>
      </c>
      <c r="T10"/>
      <c r="U10" s="403">
        <f>Scenarios!AN9</f>
        <v>60212.111327746454</v>
      </c>
      <c r="V10" s="367">
        <f t="shared" si="6"/>
        <v>10503.025721055383</v>
      </c>
      <c r="W10"/>
      <c r="X10"/>
      <c r="Y10" s="403">
        <f>Scenarios!AY9</f>
        <v>60656.240209230287</v>
      </c>
      <c r="Z10" s="367">
        <f t="shared" si="2"/>
        <v>10348.244127338923</v>
      </c>
      <c r="AA10"/>
      <c r="AB10" s="403">
        <f>Scenarios!BD9</f>
        <v>59169.365558036377</v>
      </c>
      <c r="AC10" s="367">
        <f t="shared" si="7"/>
        <v>10094.576214124529</v>
      </c>
      <c r="AD10"/>
      <c r="AE10" s="403">
        <f>Scenarios!BI9</f>
        <v>59169.365558036377</v>
      </c>
      <c r="AF10" s="367">
        <f t="shared" si="8"/>
        <v>10321.13564282556</v>
      </c>
    </row>
    <row r="11" spans="1:35">
      <c r="A11" s="29">
        <v>2020</v>
      </c>
      <c r="B11" s="33"/>
      <c r="C11" s="183">
        <f t="shared" si="9"/>
        <v>0.17559587362264589</v>
      </c>
      <c r="D11" s="33"/>
      <c r="E11" s="403">
        <f>Scenarios!H10</f>
        <v>75744.608250185789</v>
      </c>
      <c r="F11" s="367">
        <f t="shared" si="0"/>
        <v>12922.391740714833</v>
      </c>
      <c r="G11"/>
      <c r="H11" s="403">
        <f>Scenarios!M10</f>
        <v>71441.499745928857</v>
      </c>
      <c r="I11" s="367">
        <f t="shared" si="3"/>
        <v>12188.260888639654</v>
      </c>
      <c r="J11"/>
      <c r="K11" s="403">
        <f>Scenarios!R10</f>
        <v>71441.499745928857</v>
      </c>
      <c r="L11" s="367">
        <f t="shared" si="4"/>
        <v>12544.832560798412</v>
      </c>
      <c r="M11"/>
      <c r="N11"/>
      <c r="O11" s="403">
        <f>Scenarios!AD10</f>
        <v>73319.302400809785</v>
      </c>
      <c r="P11" s="367">
        <f t="shared" si="1"/>
        <v>12508.62298541063</v>
      </c>
      <c r="Q11"/>
      <c r="R11" s="403">
        <f>Scenarios!AI10</f>
        <v>69153.977356880525</v>
      </c>
      <c r="S11" s="367">
        <f t="shared" si="5"/>
        <v>11797.998649388242</v>
      </c>
      <c r="T11"/>
      <c r="U11" s="403">
        <f>Scenarios!AN10</f>
        <v>69153.977356880525</v>
      </c>
      <c r="V11" s="367">
        <f t="shared" si="6"/>
        <v>12143.153068462108</v>
      </c>
      <c r="W11"/>
      <c r="X11"/>
      <c r="Y11" s="403">
        <f>Scenarios!AY10</f>
        <v>71634.02229852516</v>
      </c>
      <c r="Z11" s="367">
        <f t="shared" si="2"/>
        <v>12221.106155135118</v>
      </c>
      <c r="AA11"/>
      <c r="AB11" s="403">
        <f>Scenarios!BD10</f>
        <v>67564.439292316165</v>
      </c>
      <c r="AC11" s="367">
        <f t="shared" si="7"/>
        <v>11526.815867780444</v>
      </c>
      <c r="AD11"/>
      <c r="AE11" s="403">
        <f>Scenarios!BI10</f>
        <v>67564.439292316165</v>
      </c>
      <c r="AF11" s="367">
        <f t="shared" si="8"/>
        <v>11864.03674335848</v>
      </c>
    </row>
    <row r="12" spans="1:35">
      <c r="A12" s="29">
        <v>2021</v>
      </c>
      <c r="B12" s="33"/>
      <c r="C12" s="183">
        <f t="shared" si="9"/>
        <v>0.17670515209434381</v>
      </c>
      <c r="D12" s="33"/>
      <c r="E12" s="403">
        <f>Scenarios!H11</f>
        <v>89830.284602395812</v>
      </c>
      <c r="F12" s="367">
        <f t="shared" si="0"/>
        <v>15325.475365557986</v>
      </c>
      <c r="G12"/>
      <c r="H12" s="403">
        <f>Scenarios!M11</f>
        <v>81392.45471647974</v>
      </c>
      <c r="I12" s="367">
        <f t="shared" si="3"/>
        <v>13885.941308332847</v>
      </c>
      <c r="J12"/>
      <c r="K12" s="403">
        <f>Scenarios!R11</f>
        <v>81392.45471647974</v>
      </c>
      <c r="L12" s="367">
        <f t="shared" si="4"/>
        <v>14382.466090007543</v>
      </c>
      <c r="M12"/>
      <c r="N12"/>
      <c r="O12" s="403">
        <f>Scenarios!AD11</f>
        <v>86479.850698259645</v>
      </c>
      <c r="P12" s="367">
        <f t="shared" si="1"/>
        <v>14753.875347935425</v>
      </c>
      <c r="Q12"/>
      <c r="R12" s="403">
        <f>Scenarios!AI11</f>
        <v>78356.729726516962</v>
      </c>
      <c r="S12" s="367">
        <f t="shared" si="5"/>
        <v>13368.032133757633</v>
      </c>
      <c r="T12"/>
      <c r="U12" s="403">
        <f>Scenarios!AN11</f>
        <v>78356.729726516962</v>
      </c>
      <c r="V12" s="367">
        <f t="shared" si="6"/>
        <v>13846.037843939572</v>
      </c>
      <c r="W12"/>
      <c r="X12"/>
      <c r="Y12" s="403">
        <f>Scenarios!AY11</f>
        <v>83968.689414029082</v>
      </c>
      <c r="Z12" s="367">
        <f t="shared" si="2"/>
        <v>14325.459245606922</v>
      </c>
      <c r="AA12"/>
      <c r="AB12" s="403">
        <f>Scenarios!BD11</f>
        <v>76081.443813562597</v>
      </c>
      <c r="AC12" s="367">
        <f t="shared" si="7"/>
        <v>12979.857495739698</v>
      </c>
      <c r="AD12"/>
      <c r="AE12" s="403">
        <f>Scenarios!BI11</f>
        <v>76081.443813562597</v>
      </c>
      <c r="AF12" s="367">
        <f t="shared" si="8"/>
        <v>13443.983100632851</v>
      </c>
    </row>
    <row r="13" spans="1:35">
      <c r="A13" s="29">
        <v>2022</v>
      </c>
      <c r="B13" s="33"/>
      <c r="C13" s="183">
        <f t="shared" si="9"/>
        <v>0.17776400881732818</v>
      </c>
      <c r="D13" s="33"/>
      <c r="E13" s="403">
        <f>Scenarios!H12</f>
        <v>105568.89646960584</v>
      </c>
      <c r="F13" s="367">
        <f t="shared" si="0"/>
        <v>18010.557679686299</v>
      </c>
      <c r="G13"/>
      <c r="H13" s="403">
        <f>Scenarios!M12</f>
        <v>91565.608124410574</v>
      </c>
      <c r="I13" s="367">
        <f t="shared" si="3"/>
        <v>15621.529842125916</v>
      </c>
      <c r="J13"/>
      <c r="K13" s="403">
        <f>Scenarios!R12</f>
        <v>92050.611047847065</v>
      </c>
      <c r="L13" s="367">
        <f t="shared" si="4"/>
        <v>16363.285633949932</v>
      </c>
      <c r="M13"/>
      <c r="N13"/>
      <c r="O13" s="403">
        <f>Scenarios!AD12</f>
        <v>101087.76864922397</v>
      </c>
      <c r="P13" s="367">
        <f t="shared" si="1"/>
        <v>17246.055882490087</v>
      </c>
      <c r="Q13"/>
      <c r="R13" s="403">
        <f>Scenarios!AI12</f>
        <v>87678.883836498615</v>
      </c>
      <c r="S13" s="367">
        <f t="shared" si="5"/>
        <v>14958.436125004129</v>
      </c>
      <c r="T13"/>
      <c r="U13" s="403">
        <f>Scenarios!AN12</f>
        <v>88143.299634694078</v>
      </c>
      <c r="V13" s="367">
        <f t="shared" si="6"/>
        <v>15668.706293450157</v>
      </c>
      <c r="W13"/>
      <c r="X13"/>
      <c r="Y13" s="403">
        <f>Scenarios!AY12</f>
        <v>97548.95652953301</v>
      </c>
      <c r="Z13" s="367">
        <f t="shared" si="2"/>
        <v>16642.317642054684</v>
      </c>
      <c r="AA13"/>
      <c r="AB13" s="403">
        <f>Scenarios!BD12</f>
        <v>84609.480872048487</v>
      </c>
      <c r="AC13" s="367">
        <f t="shared" si="7"/>
        <v>14434.781327216742</v>
      </c>
      <c r="AD13"/>
      <c r="AE13" s="403">
        <f>Scenarios!BI12</f>
        <v>85057.638716614238</v>
      </c>
      <c r="AF13" s="367">
        <f t="shared" si="8"/>
        <v>15120.186838801328</v>
      </c>
    </row>
    <row r="14" spans="1:35">
      <c r="A14" s="29">
        <v>2023</v>
      </c>
      <c r="B14" s="33"/>
      <c r="C14" s="183">
        <f t="shared" si="9"/>
        <v>0.1787747356892678</v>
      </c>
      <c r="D14" s="33"/>
      <c r="E14" s="403">
        <f>Scenarios!H13</f>
        <v>123008.78053431585</v>
      </c>
      <c r="F14" s="367">
        <f t="shared" si="0"/>
        <v>20985.88515187347</v>
      </c>
      <c r="G14"/>
      <c r="H14" s="403">
        <f>Scenarios!M13</f>
        <v>101960.95996972131</v>
      </c>
      <c r="I14" s="367">
        <f t="shared" si="3"/>
        <v>17395.026490018852</v>
      </c>
      <c r="J14"/>
      <c r="K14" s="403">
        <f>Scenarios!R13</f>
        <v>130154.97782356928</v>
      </c>
      <c r="L14" s="367">
        <f t="shared" si="4"/>
        <v>23268.421759051111</v>
      </c>
      <c r="M14"/>
      <c r="N14"/>
      <c r="O14" s="403">
        <f>Scenarios!AD13</f>
        <v>117169.03084018831</v>
      </c>
      <c r="P14" s="367">
        <f t="shared" si="1"/>
        <v>19989.595977520908</v>
      </c>
      <c r="Q14"/>
      <c r="R14" s="403">
        <f>Scenarios!AI13</f>
        <v>97120.43978726145</v>
      </c>
      <c r="S14" s="367">
        <f t="shared" si="5"/>
        <v>16569.210640262587</v>
      </c>
      <c r="T14"/>
      <c r="U14" s="403">
        <f>Scenarios!AN13</f>
        <v>123975.96776727229</v>
      </c>
      <c r="V14" s="367">
        <f t="shared" si="6"/>
        <v>22163.770869415286</v>
      </c>
      <c r="W14"/>
      <c r="X14"/>
      <c r="Y14" s="403">
        <f>Scenarios!AY13</f>
        <v>112377.22364503694</v>
      </c>
      <c r="Z14" s="367">
        <f t="shared" si="2"/>
        <v>19172.090795934997</v>
      </c>
      <c r="AA14"/>
      <c r="AB14" s="403">
        <f>Scenarios!BD13</f>
        <v>93148.550467773792</v>
      </c>
      <c r="AC14" s="367">
        <f t="shared" si="7"/>
        <v>15891.587362211572</v>
      </c>
      <c r="AD14"/>
      <c r="AE14" s="403">
        <f>Scenarios!BI13</f>
        <v>118905.7804480365</v>
      </c>
      <c r="AF14" s="367">
        <f t="shared" si="8"/>
        <v>21257.349471523834</v>
      </c>
    </row>
    <row r="15" spans="1:35">
      <c r="A15" s="29">
        <v>2024</v>
      </c>
      <c r="B15" s="33"/>
      <c r="C15" s="183">
        <f t="shared" si="9"/>
        <v>0.17973952043066471</v>
      </c>
      <c r="D15" s="33"/>
      <c r="E15" s="403">
        <f>Scenarios!H14</f>
        <v>142198.27347902587</v>
      </c>
      <c r="F15" s="367">
        <f t="shared" si="0"/>
        <v>24259.70425089321</v>
      </c>
      <c r="G15"/>
      <c r="H15" s="403">
        <f>Scenarios!M14</f>
        <v>112578.51025241199</v>
      </c>
      <c r="I15" s="367">
        <f t="shared" si="3"/>
        <v>19206.431252011662</v>
      </c>
      <c r="J15"/>
      <c r="K15" s="403">
        <f>Scenarios!R14</f>
        <v>183925.86759650573</v>
      </c>
      <c r="L15" s="367">
        <f t="shared" si="4"/>
        <v>33058.747236589872</v>
      </c>
      <c r="M15"/>
      <c r="N15"/>
      <c r="O15" s="403">
        <f>Scenarios!AD14</f>
        <v>134749.61175115261</v>
      </c>
      <c r="P15" s="367">
        <f t="shared" si="1"/>
        <v>22988.927003307246</v>
      </c>
      <c r="Q15"/>
      <c r="R15" s="403">
        <f>Scenarios!AI14</f>
        <v>106681.39757880548</v>
      </c>
      <c r="S15" s="367">
        <f t="shared" si="5"/>
        <v>18200.355679533004</v>
      </c>
      <c r="T15"/>
      <c r="U15" s="403">
        <f>Scenarios!AN14</f>
        <v>174291.42171180202</v>
      </c>
      <c r="V15" s="367">
        <f t="shared" si="6"/>
        <v>31327.056553658036</v>
      </c>
      <c r="W15"/>
      <c r="X15"/>
      <c r="Y15" s="403">
        <f>Scenarios!AY14</f>
        <v>128455.89076054085</v>
      </c>
      <c r="Z15" s="367">
        <f t="shared" si="2"/>
        <v>21915.188158704463</v>
      </c>
      <c r="AA15"/>
      <c r="AB15" s="403">
        <f>Scenarios!BD14</f>
        <v>101698.65260073853</v>
      </c>
      <c r="AC15" s="367">
        <f t="shared" si="7"/>
        <v>17350.275600724188</v>
      </c>
      <c r="AD15"/>
      <c r="AE15" s="403">
        <f>Scenarios!BI14</f>
        <v>166150.82995012109</v>
      </c>
      <c r="AF15" s="367">
        <f t="shared" si="8"/>
        <v>29863.870494391685</v>
      </c>
    </row>
    <row r="16" spans="1:35">
      <c r="A16" s="29">
        <v>2025</v>
      </c>
      <c r="B16" s="33"/>
      <c r="C16" s="183">
        <f t="shared" si="9"/>
        <v>0.18066045132017997</v>
      </c>
      <c r="D16" s="33"/>
      <c r="E16" s="403">
        <f>Scenarios!H15</f>
        <v>163185.71198623592</v>
      </c>
      <c r="F16" s="367">
        <f t="shared" si="0"/>
        <v>27840.261445519223</v>
      </c>
      <c r="G16"/>
      <c r="H16" s="403">
        <f>Scenarios!M15</f>
        <v>123418.25897248258</v>
      </c>
      <c r="I16" s="367">
        <f t="shared" si="3"/>
        <v>21055.744128104343</v>
      </c>
      <c r="J16"/>
      <c r="K16" s="403">
        <f>Scenarios!R15</f>
        <v>259716.39940422747</v>
      </c>
      <c r="L16" s="367">
        <f t="shared" si="4"/>
        <v>46920.481931619855</v>
      </c>
      <c r="M16"/>
      <c r="N16"/>
      <c r="O16" s="403">
        <f>Scenarios!AD15</f>
        <v>153855.49444219505</v>
      </c>
      <c r="P16" s="367">
        <f t="shared" si="1"/>
        <v>26248.481793930743</v>
      </c>
      <c r="Q16"/>
      <c r="R16" s="403">
        <f>Scenarios!AI15</f>
        <v>116361.76370029135</v>
      </c>
      <c r="S16" s="367">
        <f t="shared" si="5"/>
        <v>19851.872349897167</v>
      </c>
      <c r="T16"/>
      <c r="U16" s="403">
        <f>Scenarios!AN15</f>
        <v>244866.99576035433</v>
      </c>
      <c r="V16" s="367">
        <f t="shared" si="6"/>
        <v>44237.781967482209</v>
      </c>
      <c r="W16"/>
      <c r="X16"/>
      <c r="Y16" s="403">
        <f>Scenarios!AY15</f>
        <v>145787.35787604479</v>
      </c>
      <c r="Z16" s="367">
        <f t="shared" si="2"/>
        <v>24872.019181819687</v>
      </c>
      <c r="AA16"/>
      <c r="AB16" s="403">
        <f>Scenarios!BD15</f>
        <v>110259.78727094269</v>
      </c>
      <c r="AC16" s="367">
        <f t="shared" si="7"/>
        <v>18810.846042754594</v>
      </c>
      <c r="AD16"/>
      <c r="AE16" s="403">
        <f>Scenarios!BI15</f>
        <v>232026.2430170083</v>
      </c>
      <c r="AF16" s="367">
        <f t="shared" si="8"/>
        <v>41917.965781578474</v>
      </c>
    </row>
    <row r="17" spans="1:32">
      <c r="A17" s="29">
        <v>2026</v>
      </c>
      <c r="B17" s="33"/>
      <c r="C17" s="183">
        <f t="shared" si="9"/>
        <v>0.18153952171471724</v>
      </c>
      <c r="D17" s="33"/>
      <c r="E17" s="403">
        <f>Scenarios!H16</f>
        <v>186019.43273844593</v>
      </c>
      <c r="F17" s="367">
        <f t="shared" si="0"/>
        <v>31735.8032045252</v>
      </c>
      <c r="G17"/>
      <c r="H17" s="403">
        <f>Scenarios!M16</f>
        <v>134480.20612993313</v>
      </c>
      <c r="I17" s="367">
        <f t="shared" si="3"/>
        <v>22942.965118296899</v>
      </c>
      <c r="J17"/>
      <c r="K17" s="403">
        <f>Scenarios!R16</f>
        <v>366376.80757035385</v>
      </c>
      <c r="L17" s="367">
        <f t="shared" si="4"/>
        <v>66511.870413687036</v>
      </c>
      <c r="M17"/>
      <c r="N17"/>
      <c r="O17" s="403">
        <f>Scenarios!AD16</f>
        <v>174618.51609864205</v>
      </c>
      <c r="P17" s="367">
        <f t="shared" si="1"/>
        <v>29790.752402543945</v>
      </c>
      <c r="Q17"/>
      <c r="R17" s="403">
        <f>Scenarios!AI16</f>
        <v>126238.069288527</v>
      </c>
      <c r="S17" s="367">
        <f t="shared" si="5"/>
        <v>21536.817228622298</v>
      </c>
      <c r="T17"/>
      <c r="U17" s="403">
        <f>Scenarios!AN16</f>
        <v>343921.99529415352</v>
      </c>
      <c r="V17" s="367">
        <f t="shared" si="6"/>
        <v>62435.434532871863</v>
      </c>
      <c r="W17"/>
      <c r="X17"/>
      <c r="Y17" s="403">
        <f>Scenarios!AY16</f>
        <v>164480.69210705263</v>
      </c>
      <c r="Z17" s="367">
        <f t="shared" si="2"/>
        <v>28061.191235826649</v>
      </c>
      <c r="AA17"/>
      <c r="AB17" s="403">
        <f>Scenarios!BD16</f>
        <v>118909.06801146767</v>
      </c>
      <c r="AC17" s="367">
        <f t="shared" si="7"/>
        <v>20286.45462515438</v>
      </c>
      <c r="AD17"/>
      <c r="AE17" s="403">
        <f>Scenarios!BI16</f>
        <v>323954.92231113277</v>
      </c>
      <c r="AF17" s="367">
        <f t="shared" si="8"/>
        <v>58810.621653491427</v>
      </c>
    </row>
    <row r="18" spans="1:32">
      <c r="A18" s="29">
        <v>2027</v>
      </c>
      <c r="B18" s="33"/>
      <c r="C18" s="183">
        <f t="shared" si="9"/>
        <v>0.18237863436404828</v>
      </c>
      <c r="D18" s="33"/>
      <c r="E18" s="403">
        <f>Scenarios!H17</f>
        <v>210747.77241815592</v>
      </c>
      <c r="F18" s="367">
        <f t="shared" si="0"/>
        <v>35954.575996684849</v>
      </c>
      <c r="G18"/>
      <c r="H18" s="403">
        <f>Scenarios!M17</f>
        <v>145764.35172476358</v>
      </c>
      <c r="I18" s="367">
        <f t="shared" si="3"/>
        <v>24868.094222589323</v>
      </c>
      <c r="J18"/>
      <c r="K18" s="403">
        <f>Scenarios!R17</f>
        <v>516162.20600965025</v>
      </c>
      <c r="L18" s="367">
        <f t="shared" si="4"/>
        <v>94136.95824237456</v>
      </c>
      <c r="M18"/>
      <c r="N18"/>
      <c r="O18" s="403">
        <f>Scenarios!AD17</f>
        <v>196984.19564181133</v>
      </c>
      <c r="P18" s="367">
        <f t="shared" si="1"/>
        <v>33606.444097053653</v>
      </c>
      <c r="Q18"/>
      <c r="R18" s="403">
        <f>Scenarios!AI17</f>
        <v>136244.731074932</v>
      </c>
      <c r="S18" s="367">
        <f t="shared" si="5"/>
        <v>23244.00149702136</v>
      </c>
      <c r="T18"/>
      <c r="U18" s="403">
        <f>Scenarios!AN17</f>
        <v>482452.53463354986</v>
      </c>
      <c r="V18" s="367">
        <f t="shared" si="6"/>
        <v>87989.034411940534</v>
      </c>
      <c r="W18"/>
      <c r="X18"/>
      <c r="Y18" s="403">
        <f>Scenarios!AY17</f>
        <v>184457.22633806046</v>
      </c>
      <c r="Z18" s="367">
        <f t="shared" si="2"/>
        <v>31469.28333529631</v>
      </c>
      <c r="AA18"/>
      <c r="AB18" s="403">
        <f>Scenarios!BD17</f>
        <v>127580.41382647149</v>
      </c>
      <c r="AC18" s="367">
        <f t="shared" si="7"/>
        <v>21765.82761458974</v>
      </c>
      <c r="AD18"/>
      <c r="AE18" s="403">
        <f>Scenarios!BI17</f>
        <v>451771.55501394195</v>
      </c>
      <c r="AF18" s="367">
        <f t="shared" si="8"/>
        <v>82393.479247965239</v>
      </c>
    </row>
    <row r="19" spans="1:32">
      <c r="A19" s="29">
        <v>2028</v>
      </c>
      <c r="B19" s="33"/>
      <c r="C19" s="183">
        <f t="shared" si="9"/>
        <v>0.18317960552931881</v>
      </c>
      <c r="D19" s="33"/>
      <c r="E19" s="403">
        <f>Scenarios!H18</f>
        <v>237419.06770786599</v>
      </c>
      <c r="F19" s="367">
        <f t="shared" si="0"/>
        <v>40504.826290771896</v>
      </c>
      <c r="G19"/>
      <c r="H19" s="403">
        <f>Scenarios!M18</f>
        <v>157270.69575697396</v>
      </c>
      <c r="I19" s="367">
        <f t="shared" si="3"/>
        <v>26831.131440981619</v>
      </c>
      <c r="J19"/>
      <c r="K19" s="403">
        <f>Scenarios!R18</f>
        <v>725900.75783864828</v>
      </c>
      <c r="L19" s="367">
        <f t="shared" si="4"/>
        <v>132970.21447431718</v>
      </c>
      <c r="M19"/>
      <c r="N19"/>
      <c r="O19" s="403">
        <f>Scenarios!AD18</f>
        <v>220980.88606498064</v>
      </c>
      <c r="P19" s="367">
        <f t="shared" si="1"/>
        <v>37700.39403345844</v>
      </c>
      <c r="Q19"/>
      <c r="R19" s="403">
        <f>Scenarios!AI18</f>
        <v>146381.7461502089</v>
      </c>
      <c r="S19" s="367">
        <f t="shared" si="5"/>
        <v>24973.424658754309</v>
      </c>
      <c r="T19"/>
      <c r="U19" s="403">
        <f>Scenarios!AN18</f>
        <v>675641.57424711704</v>
      </c>
      <c r="V19" s="367">
        <f t="shared" si="6"/>
        <v>123763.75704979486</v>
      </c>
      <c r="W19"/>
      <c r="X19"/>
      <c r="Y19" s="403">
        <f>Scenarios!AY18</f>
        <v>205721.76056906834</v>
      </c>
      <c r="Z19" s="367">
        <f t="shared" si="2"/>
        <v>35097.114383141881</v>
      </c>
      <c r="AA19"/>
      <c r="AB19" s="403">
        <f>Scenarios!BD18</f>
        <v>136273.82471595419</v>
      </c>
      <c r="AC19" s="367">
        <f t="shared" si="7"/>
        <v>23248.965011060678</v>
      </c>
      <c r="AD19"/>
      <c r="AE19" s="403">
        <f>Scenarios!BI18</f>
        <v>628987.31488886254</v>
      </c>
      <c r="AF19" s="367">
        <f t="shared" si="8"/>
        <v>115217.64822428727</v>
      </c>
    </row>
    <row r="20" spans="1:32">
      <c r="A20" s="29">
        <v>2029</v>
      </c>
      <c r="B20" s="33"/>
      <c r="C20" s="183">
        <f t="shared" si="9"/>
        <v>0.18394416891434978</v>
      </c>
      <c r="D20" s="33"/>
      <c r="E20" s="403">
        <f>Scenarios!H19</f>
        <v>266081.65529007599</v>
      </c>
      <c r="F20" s="367">
        <f t="shared" si="0"/>
        <v>45394.80055556001</v>
      </c>
      <c r="G20"/>
      <c r="H20" s="403">
        <f>Scenarios!M19</f>
        <v>168999.23822656425</v>
      </c>
      <c r="I20" s="367">
        <f t="shared" si="3"/>
        <v>28832.076773473782</v>
      </c>
      <c r="J20"/>
      <c r="K20" s="403">
        <f>Scenarios!R19</f>
        <v>1018429.4999016544</v>
      </c>
      <c r="L20" s="367">
        <f t="shared" si="4"/>
        <v>187334.16795726671</v>
      </c>
      <c r="M20"/>
      <c r="N20"/>
      <c r="O20" s="403">
        <f>Scenarios!AD19</f>
        <v>246636.94420814991</v>
      </c>
      <c r="P20" s="367">
        <f t="shared" si="1"/>
        <v>42077.440024026051</v>
      </c>
      <c r="Q20"/>
      <c r="R20" s="403">
        <f>Scenarios!AI19</f>
        <v>156649.1145143577</v>
      </c>
      <c r="S20" s="367">
        <f t="shared" si="5"/>
        <v>26725.086713821151</v>
      </c>
      <c r="T20"/>
      <c r="U20" s="403">
        <f>Scenarios!AN19</f>
        <v>944004.72469004022</v>
      </c>
      <c r="V20" s="367">
        <f t="shared" si="6"/>
        <v>173644.16453432903</v>
      </c>
      <c r="W20"/>
      <c r="X20"/>
      <c r="Y20" s="403">
        <f>Scenarios!AY19</f>
        <v>228279.09480007616</v>
      </c>
      <c r="Z20" s="367">
        <f t="shared" si="2"/>
        <v>38945.503282276557</v>
      </c>
      <c r="AA20"/>
      <c r="AB20" s="403">
        <f>Scenarios!BD19</f>
        <v>144989.30067991573</v>
      </c>
      <c r="AC20" s="367">
        <f t="shared" si="7"/>
        <v>24735.866814567187</v>
      </c>
      <c r="AD20"/>
      <c r="AE20" s="403">
        <f>Scenarios!BI19</f>
        <v>873739.92055857053</v>
      </c>
      <c r="AF20" s="367">
        <f t="shared" si="8"/>
        <v>160719.36353443627</v>
      </c>
    </row>
    <row r="21" spans="1:32">
      <c r="A21" s="29">
        <v>2030</v>
      </c>
      <c r="B21" s="33"/>
      <c r="C21" s="183">
        <f t="shared" si="9"/>
        <v>0.18467397941824298</v>
      </c>
      <c r="D21" s="33"/>
      <c r="E21" s="403">
        <f>Scenarios!H20</f>
        <v>296783.87184728601</v>
      </c>
      <c r="F21" s="367">
        <f t="shared" si="0"/>
        <v>50632.745259822914</v>
      </c>
      <c r="G21"/>
      <c r="H21" s="403">
        <f>Scenarios!M20</f>
        <v>180949.97913353448</v>
      </c>
      <c r="I21" s="367">
        <f t="shared" si="3"/>
        <v>30870.93022006582</v>
      </c>
      <c r="J21"/>
      <c r="K21" s="403">
        <f>Scenarios!R20</f>
        <v>1424228.8356624753</v>
      </c>
      <c r="L21" s="367">
        <f t="shared" si="4"/>
        <v>263018.00668400014</v>
      </c>
      <c r="M21"/>
      <c r="N21"/>
      <c r="O21" s="403">
        <f>Scenarios!AD20</f>
        <v>273980.73718627705</v>
      </c>
      <c r="P21" s="367">
        <f t="shared" si="1"/>
        <v>46742.421633981103</v>
      </c>
      <c r="Q21"/>
      <c r="R21" s="403">
        <f>Scenarios!AI20</f>
        <v>167046.84243204977</v>
      </c>
      <c r="S21" s="367">
        <f t="shared" si="5"/>
        <v>28498.988731004723</v>
      </c>
      <c r="T21"/>
      <c r="U21" s="403">
        <f>Scenarios!AN20</f>
        <v>1314799.4326239747</v>
      </c>
      <c r="V21" s="367">
        <f t="shared" si="6"/>
        <v>242809.24335951745</v>
      </c>
      <c r="W21"/>
      <c r="X21"/>
      <c r="Y21" s="403">
        <f>Scenarios!AY20</f>
        <v>252134.02903108401</v>
      </c>
      <c r="Z21" s="367">
        <f t="shared" si="2"/>
        <v>43015.268935613538</v>
      </c>
      <c r="AA21"/>
      <c r="AB21" s="403">
        <f>Scenarios!BD20</f>
        <v>153726.84171835615</v>
      </c>
      <c r="AC21" s="367">
        <f t="shared" si="7"/>
        <v>26226.533025109275</v>
      </c>
      <c r="AD21"/>
      <c r="AE21" s="403">
        <f>Scenarios!BI20</f>
        <v>1209959.8012610581</v>
      </c>
      <c r="AF21" s="367">
        <f t="shared" si="8"/>
        <v>223448.09143498601</v>
      </c>
    </row>
    <row r="22" spans="1:32">
      <c r="A22" s="29">
        <v>2031</v>
      </c>
      <c r="B22" s="33"/>
      <c r="C22" s="183">
        <f t="shared" si="9"/>
        <v>0.18537061671741376</v>
      </c>
      <c r="D22" s="33"/>
      <c r="E22" s="403">
        <f>Scenarios!H21</f>
        <v>329574.05406199599</v>
      </c>
      <c r="F22" s="367">
        <f t="shared" si="0"/>
        <v>56226.906872334301</v>
      </c>
      <c r="G22"/>
      <c r="H22" s="403">
        <f>Scenarios!M21</f>
        <v>237963.6092216151</v>
      </c>
      <c r="I22" s="367">
        <f t="shared" si="3"/>
        <v>40597.727672432033</v>
      </c>
      <c r="J22"/>
      <c r="K22" s="403">
        <f>Scenarios!R21</f>
        <v>1983030.0768467926</v>
      </c>
      <c r="L22" s="367">
        <f t="shared" si="4"/>
        <v>367595.50831427035</v>
      </c>
      <c r="M22"/>
      <c r="N22"/>
      <c r="O22" s="403">
        <f>Scenarios!AD21</f>
        <v>302368.14159186638</v>
      </c>
      <c r="P22" s="367">
        <f t="shared" si="1"/>
        <v>51585.448335227782</v>
      </c>
      <c r="Q22"/>
      <c r="R22" s="403">
        <f>Scenarios!AI21</f>
        <v>218320.02064488336</v>
      </c>
      <c r="S22" s="367">
        <f t="shared" si="5"/>
        <v>37246.437690925843</v>
      </c>
      <c r="T22"/>
      <c r="U22" s="403">
        <f>Scenarios!AN21</f>
        <v>1819333.5053740281</v>
      </c>
      <c r="V22" s="367">
        <f t="shared" si="6"/>
        <v>337250.9739058378</v>
      </c>
      <c r="W22"/>
      <c r="X22"/>
      <c r="Y22" s="403">
        <f>Scenarios!AY21</f>
        <v>269787.34441092698</v>
      </c>
      <c r="Z22" s="367">
        <f t="shared" si="2"/>
        <v>46027.008808994658</v>
      </c>
      <c r="AA22"/>
      <c r="AB22" s="403">
        <f>Scenarios!BD21</f>
        <v>194795.58359367258</v>
      </c>
      <c r="AC22" s="367">
        <f t="shared" si="7"/>
        <v>33233.056434118211</v>
      </c>
      <c r="AD22"/>
      <c r="AE22" s="403">
        <f>Scenarios!BI21</f>
        <v>1623296.5299472716</v>
      </c>
      <c r="AF22" s="367">
        <f t="shared" si="8"/>
        <v>300911.47887156345</v>
      </c>
    </row>
    <row r="23" spans="1:32">
      <c r="A23" s="29">
        <v>2032</v>
      </c>
      <c r="B23" s="33"/>
      <c r="C23" s="183">
        <f t="shared" si="9"/>
        <v>0.18603558868480405</v>
      </c>
      <c r="D23" s="33"/>
      <c r="E23" s="403">
        <f>Scenarios!H22</f>
        <v>364500.53861670598</v>
      </c>
      <c r="F23" s="367">
        <f t="shared" si="0"/>
        <v>62185.531861867887</v>
      </c>
      <c r="G23"/>
      <c r="H23" s="403">
        <f>Scenarios!M22</f>
        <v>329386.98359402362</v>
      </c>
      <c r="I23" s="367">
        <f t="shared" si="3"/>
        <v>56194.991757501666</v>
      </c>
      <c r="J23"/>
      <c r="K23" s="403">
        <f>Scenarios!R22</f>
        <v>2744891.5299501969</v>
      </c>
      <c r="L23" s="367">
        <f t="shared" si="4"/>
        <v>510647.51165021729</v>
      </c>
      <c r="M23"/>
      <c r="N23"/>
      <c r="O23" s="403">
        <f>Scenarios!AD22</f>
        <v>332373.52441905777</v>
      </c>
      <c r="P23" s="367">
        <f t="shared" si="1"/>
        <v>56704.509878755322</v>
      </c>
      <c r="Q23"/>
      <c r="R23" s="403">
        <f>Scenarios!AI22</f>
        <v>300354.87204048334</v>
      </c>
      <c r="S23" s="367">
        <f t="shared" si="5"/>
        <v>51241.974939250969</v>
      </c>
      <c r="T23"/>
      <c r="U23" s="403">
        <f>Scenarios!AN22</f>
        <v>2502957.267004028</v>
      </c>
      <c r="V23" s="367">
        <f t="shared" si="6"/>
        <v>465639.12862000259</v>
      </c>
      <c r="W23"/>
      <c r="X23"/>
      <c r="Y23" s="403">
        <f>Scenarios!AY22</f>
        <v>287336.65979076998</v>
      </c>
      <c r="Z23" s="367">
        <f t="shared" si="2"/>
        <v>49021.005785923066</v>
      </c>
      <c r="AA23"/>
      <c r="AB23" s="403">
        <f>Scenarios!BD22</f>
        <v>259656.55909219023</v>
      </c>
      <c r="AC23" s="367">
        <f t="shared" si="7"/>
        <v>44298.648473465728</v>
      </c>
      <c r="AD23"/>
      <c r="AE23" s="403">
        <f>Scenarios!BI22</f>
        <v>2163804.6591015854</v>
      </c>
      <c r="AF23" s="367">
        <f t="shared" si="8"/>
        <v>402544.6735548852</v>
      </c>
    </row>
    <row r="24" spans="1:32">
      <c r="A24" s="29">
        <v>2033</v>
      </c>
      <c r="B24" s="33"/>
      <c r="C24" s="183">
        <f t="shared" si="9"/>
        <v>0.18667033465367661</v>
      </c>
      <c r="D24" s="33"/>
      <c r="E24" s="403">
        <f>Scenarios!H23</f>
        <v>401611.66219391604</v>
      </c>
      <c r="F24" s="367">
        <f t="shared" si="0"/>
        <v>68516.866697197373</v>
      </c>
      <c r="G24"/>
      <c r="H24" s="403">
        <f>Scenarios!M23</f>
        <v>452377.64025000611</v>
      </c>
      <c r="I24" s="367">
        <f t="shared" si="3"/>
        <v>77177.784889215618</v>
      </c>
      <c r="J24"/>
      <c r="K24" s="403">
        <f>Scenarios!R23</f>
        <v>3769813.6687500509</v>
      </c>
      <c r="L24" s="367">
        <f t="shared" si="4"/>
        <v>703712.37912757637</v>
      </c>
      <c r="M24"/>
      <c r="N24"/>
      <c r="O24" s="403">
        <f>Scenarios!AD23</f>
        <v>364016.20736624917</v>
      </c>
      <c r="P24" s="367">
        <f t="shared" si="1"/>
        <v>62102.902638544154</v>
      </c>
      <c r="Q24"/>
      <c r="R24" s="403">
        <f>Scenarios!AI23</f>
        <v>410029.90800000553</v>
      </c>
      <c r="S24" s="367">
        <f t="shared" si="5"/>
        <v>69953.059616917846</v>
      </c>
      <c r="T24"/>
      <c r="U24" s="403">
        <f>Scenarios!AN23</f>
        <v>3416915.900000046</v>
      </c>
      <c r="V24" s="367">
        <f t="shared" si="6"/>
        <v>637836.83453647722</v>
      </c>
      <c r="W24"/>
      <c r="X24"/>
      <c r="Y24" s="403">
        <f>Scenarios!AY23</f>
        <v>304685.97517061298</v>
      </c>
      <c r="Z24" s="367">
        <f t="shared" si="2"/>
        <v>51980.88180813472</v>
      </c>
      <c r="AA24"/>
      <c r="AB24" s="403">
        <f>Scenarios!BD23</f>
        <v>343200.0000000046</v>
      </c>
      <c r="AC24" s="367">
        <f t="shared" si="7"/>
        <v>58551.558293953043</v>
      </c>
      <c r="AD24"/>
      <c r="AE24" s="403">
        <f>Scenarios!BI23</f>
        <v>2860000.0000000386</v>
      </c>
      <c r="AF24" s="367">
        <f t="shared" si="8"/>
        <v>533877.15710952226</v>
      </c>
    </row>
    <row r="25" spans="1:32">
      <c r="A25" s="29">
        <v>2034</v>
      </c>
      <c r="B25" s="33"/>
      <c r="C25" s="183">
        <f t="shared" si="9"/>
        <v>0.18727622853305495</v>
      </c>
      <c r="D25" s="33"/>
      <c r="E25" s="403">
        <f>Scenarios!H24</f>
        <v>440955.76147612609</v>
      </c>
      <c r="F25" s="367">
        <f t="shared" si="0"/>
        <v>75229.15784709646</v>
      </c>
      <c r="G25"/>
      <c r="H25" s="403">
        <f>Scenarios!M24</f>
        <v>614934.69709380111</v>
      </c>
      <c r="I25" s="367">
        <f t="shared" si="3"/>
        <v>104910.79476649642</v>
      </c>
      <c r="J25"/>
      <c r="K25" s="403">
        <f>Scenarios!R24</f>
        <v>5124455.8091150094</v>
      </c>
      <c r="L25" s="367">
        <f t="shared" si="4"/>
        <v>959688.75721536356</v>
      </c>
      <c r="M25"/>
      <c r="N25"/>
      <c r="O25" s="403">
        <f>Scenarios!AD24</f>
        <v>397315.51427344058</v>
      </c>
      <c r="P25" s="367">
        <f t="shared" si="1"/>
        <v>67783.923353942242</v>
      </c>
      <c r="Q25"/>
      <c r="R25" s="403">
        <f>Scenarios!AI24</f>
        <v>554076.20619927871</v>
      </c>
      <c r="S25" s="367">
        <f t="shared" si="5"/>
        <v>94528.04570678607</v>
      </c>
      <c r="T25"/>
      <c r="U25" s="403">
        <f>Scenarios!AN24</f>
        <v>4617301.718327323</v>
      </c>
      <c r="V25" s="367">
        <f t="shared" si="6"/>
        <v>864710.85180753504</v>
      </c>
      <c r="W25"/>
      <c r="X25"/>
      <c r="Y25" s="403">
        <f>Scenarios!AY24</f>
        <v>321739.29055045597</v>
      </c>
      <c r="Z25" s="367">
        <f t="shared" si="2"/>
        <v>54890.258817365582</v>
      </c>
      <c r="AA25"/>
      <c r="AB25" s="403">
        <f>Scenarios!BD24</f>
        <v>448681.41084155196</v>
      </c>
      <c r="AC25" s="367">
        <f t="shared" si="7"/>
        <v>76547.190507872598</v>
      </c>
      <c r="AD25"/>
      <c r="AE25" s="403">
        <f>Scenarios!BI24</f>
        <v>3739011.7570129326</v>
      </c>
      <c r="AF25" s="367">
        <f t="shared" si="8"/>
        <v>700228.02029413334</v>
      </c>
    </row>
    <row r="26" spans="1:32">
      <c r="A26" s="29">
        <v>2035</v>
      </c>
      <c r="B26" s="33"/>
      <c r="C26" s="183">
        <f t="shared" si="9"/>
        <v>0.18785458178155245</v>
      </c>
      <c r="D26" s="33"/>
      <c r="E26" s="403">
        <f>Scenarios!H25</f>
        <v>482581.17314583616</v>
      </c>
      <c r="F26" s="367">
        <f t="shared" si="0"/>
        <v>82330.651780338856</v>
      </c>
      <c r="G26"/>
      <c r="H26" s="403">
        <f>Scenarios!M25</f>
        <v>824904.11273606936</v>
      </c>
      <c r="I26" s="367">
        <f t="shared" si="3"/>
        <v>140732.57938166356</v>
      </c>
      <c r="J26"/>
      <c r="K26" s="403">
        <f>Scenarios!R25</f>
        <v>6874200.9394672448</v>
      </c>
      <c r="L26" s="367">
        <f t="shared" si="4"/>
        <v>1291350.1425659743</v>
      </c>
      <c r="M26"/>
      <c r="N26"/>
      <c r="O26" s="403">
        <f>Scenarios!AD25</f>
        <v>432290.79039052426</v>
      </c>
      <c r="P26" s="367">
        <f t="shared" si="1"/>
        <v>73750.872416927392</v>
      </c>
      <c r="Q26"/>
      <c r="R26" s="403">
        <f>Scenarios!AI25</f>
        <v>738939.83175200538</v>
      </c>
      <c r="S26" s="367">
        <f t="shared" si="5"/>
        <v>126066.66268808514</v>
      </c>
      <c r="T26"/>
      <c r="U26" s="403">
        <f>Scenarios!AN25</f>
        <v>6157831.9312667111</v>
      </c>
      <c r="V26" s="367">
        <f t="shared" si="6"/>
        <v>1156776.9421291975</v>
      </c>
      <c r="W26"/>
      <c r="X26"/>
      <c r="Y26" s="403">
        <f>Scenarios!AY25</f>
        <v>338400.60593029897</v>
      </c>
      <c r="Z26" s="367">
        <f t="shared" si="2"/>
        <v>57732.758755351599</v>
      </c>
      <c r="AA26"/>
      <c r="AB26" s="403">
        <f>Scenarios!BD25</f>
        <v>578447.86974298919</v>
      </c>
      <c r="AC26" s="367">
        <f t="shared" si="7"/>
        <v>98685.967847520791</v>
      </c>
      <c r="AD26"/>
      <c r="AE26" s="403">
        <f>Scenarios!BI25</f>
        <v>4820398.91452491</v>
      </c>
      <c r="AF26" s="367">
        <f t="shared" si="8"/>
        <v>905534.02210832643</v>
      </c>
    </row>
    <row r="27" spans="1:32">
      <c r="A27" s="29">
        <v>2036</v>
      </c>
      <c r="B27" s="33"/>
      <c r="C27" s="183">
        <f t="shared" si="9"/>
        <v>0.18840664624602735</v>
      </c>
      <c r="D27" s="33"/>
      <c r="E27" s="403">
        <f>Scenarios!H26</f>
        <v>526536.23388554621</v>
      </c>
      <c r="F27" s="367">
        <f t="shared" si="0"/>
        <v>89829.594965698256</v>
      </c>
      <c r="G27"/>
      <c r="H27" s="403">
        <f>Scenarios!M26</f>
        <v>1088316.4001610281</v>
      </c>
      <c r="I27" s="367">
        <f t="shared" si="3"/>
        <v>185671.97303698343</v>
      </c>
      <c r="J27"/>
      <c r="K27" s="403">
        <f>Scenarios!R26</f>
        <v>9069303.3346752357</v>
      </c>
      <c r="L27" s="367">
        <f t="shared" si="4"/>
        <v>1708717.0250740733</v>
      </c>
      <c r="M27"/>
      <c r="N27"/>
      <c r="O27" s="403">
        <f>Scenarios!AD26</f>
        <v>469237.9577199358</v>
      </c>
      <c r="P27" s="367">
        <f t="shared" si="1"/>
        <v>80054.235533723564</v>
      </c>
      <c r="Q27"/>
      <c r="R27" s="403">
        <f>Scenarios!AI26</f>
        <v>969884.56273206871</v>
      </c>
      <c r="S27" s="367">
        <f t="shared" si="5"/>
        <v>165466.93622730512</v>
      </c>
      <c r="T27"/>
      <c r="U27" s="403">
        <f>Scenarios!AN26</f>
        <v>8082371.3561005732</v>
      </c>
      <c r="V27" s="367">
        <f t="shared" si="6"/>
        <v>1522772.4809178649</v>
      </c>
      <c r="W27"/>
      <c r="X27"/>
      <c r="Y27" s="403">
        <f>Scenarios!AY26</f>
        <v>354573.92131014203</v>
      </c>
      <c r="Z27" s="367">
        <f t="shared" si="2"/>
        <v>60492.003563828737</v>
      </c>
      <c r="AA27"/>
      <c r="AB27" s="403">
        <f>Scenarios!BD26</f>
        <v>732881.40264078102</v>
      </c>
      <c r="AC27" s="367">
        <f t="shared" si="7"/>
        <v>125033.06576129135</v>
      </c>
      <c r="AD27"/>
      <c r="AE27" s="403">
        <f>Scenarios!BI26</f>
        <v>6107345.0220065089</v>
      </c>
      <c r="AF27" s="367">
        <f t="shared" si="8"/>
        <v>1150664.3930636165</v>
      </c>
    </row>
    <row r="28" spans="1:32">
      <c r="A28" s="29">
        <v>2037</v>
      </c>
      <c r="B28" s="33"/>
      <c r="C28" s="183">
        <f t="shared" si="9"/>
        <v>0.18893361687120791</v>
      </c>
      <c r="D28" s="33"/>
      <c r="E28" s="403">
        <f>Scenarios!H27</f>
        <v>572869.28037775622</v>
      </c>
      <c r="F28" s="367">
        <f t="shared" si="0"/>
        <v>97734.233871948352</v>
      </c>
      <c r="G28"/>
      <c r="H28" s="403">
        <f>Scenarios!M27</f>
        <v>1407116.0819619084</v>
      </c>
      <c r="I28" s="367">
        <f t="shared" si="3"/>
        <v>240060.72056920276</v>
      </c>
      <c r="J28"/>
      <c r="K28" s="403">
        <f>Scenarios!R27</f>
        <v>11725967.34968257</v>
      </c>
      <c r="L28" s="367">
        <f t="shared" si="4"/>
        <v>2215429.4226892199</v>
      </c>
      <c r="M28"/>
      <c r="N28"/>
      <c r="O28" s="403">
        <f>Scenarios!AD27</f>
        <v>507942.23423252802</v>
      </c>
      <c r="P28" s="367">
        <f t="shared" si="1"/>
        <v>86657.369864878259</v>
      </c>
      <c r="Q28"/>
      <c r="R28" s="403">
        <f>Scenarios!AI27</f>
        <v>1247638.3548179604</v>
      </c>
      <c r="S28" s="367">
        <f t="shared" si="5"/>
        <v>212853.05903815414</v>
      </c>
      <c r="T28"/>
      <c r="U28" s="403">
        <f>Scenarios!AN27</f>
        <v>10396986.29014967</v>
      </c>
      <c r="V28" s="367">
        <f t="shared" si="6"/>
        <v>1964340.2243583391</v>
      </c>
      <c r="W28"/>
      <c r="X28"/>
      <c r="Y28" s="403">
        <f>Scenarios!AY27</f>
        <v>370163.23668998503</v>
      </c>
      <c r="Z28" s="367">
        <f t="shared" si="2"/>
        <v>63151.615184532944</v>
      </c>
      <c r="AA28"/>
      <c r="AB28" s="403">
        <f>Scenarios!BD27</f>
        <v>909217.27021928586</v>
      </c>
      <c r="AC28" s="367">
        <f t="shared" si="7"/>
        <v>155116.80652422103</v>
      </c>
      <c r="AD28"/>
      <c r="AE28" s="403">
        <f>Scenarios!BI27</f>
        <v>7576810.5851607146</v>
      </c>
      <c r="AF28" s="367">
        <f t="shared" si="8"/>
        <v>1431514.2282024671</v>
      </c>
    </row>
    <row r="29" spans="1:32">
      <c r="A29" s="29">
        <v>2038</v>
      </c>
      <c r="B29" s="33"/>
      <c r="C29" s="183">
        <f t="shared" si="9"/>
        <v>0.18943663428615301</v>
      </c>
      <c r="D29" s="33"/>
      <c r="E29" s="403">
        <f>Scenarios!H28</f>
        <v>621628.64930496633</v>
      </c>
      <c r="F29" s="367">
        <f t="shared" si="0"/>
        <v>106052.81496786288</v>
      </c>
      <c r="G29"/>
      <c r="H29" s="403">
        <f>Scenarios!M28</f>
        <v>1776863.6987153452</v>
      </c>
      <c r="I29" s="367">
        <f t="shared" si="3"/>
        <v>303141.42900856398</v>
      </c>
      <c r="J29"/>
      <c r="K29" s="403">
        <f>Scenarios!R28</f>
        <v>14807197.489294546</v>
      </c>
      <c r="L29" s="367">
        <f t="shared" si="4"/>
        <v>2805025.6555823339</v>
      </c>
      <c r="M29"/>
      <c r="N29"/>
      <c r="O29" s="403">
        <f>Scenarios!AD28</f>
        <v>548425.40034512023</v>
      </c>
      <c r="P29" s="367">
        <f t="shared" si="1"/>
        <v>93563.991253471482</v>
      </c>
      <c r="Q29"/>
      <c r="R29" s="403">
        <f>Scenarios!AI28</f>
        <v>1567619.4886066185</v>
      </c>
      <c r="S29" s="367">
        <f t="shared" si="5"/>
        <v>267443.36791924841</v>
      </c>
      <c r="T29"/>
      <c r="U29" s="403">
        <f>Scenarios!AN28</f>
        <v>13063495.73838849</v>
      </c>
      <c r="V29" s="367">
        <f t="shared" si="6"/>
        <v>2474704.6646918189</v>
      </c>
      <c r="W29"/>
      <c r="X29"/>
      <c r="Y29" s="403">
        <f>Scenarios!AY28</f>
        <v>385072.55206982803</v>
      </c>
      <c r="Z29" s="367">
        <f t="shared" si="2"/>
        <v>65695.21555920018</v>
      </c>
      <c r="AA29"/>
      <c r="AB29" s="403">
        <f>Scenarios!BD28</f>
        <v>1100691.6105130769</v>
      </c>
      <c r="AC29" s="367">
        <f t="shared" si="7"/>
        <v>187783.24299714633</v>
      </c>
      <c r="AD29"/>
      <c r="AE29" s="403">
        <f>Scenarios!BI28</f>
        <v>9172430.0876089744</v>
      </c>
      <c r="AF29" s="367">
        <f t="shared" si="8"/>
        <v>1737594.2840216877</v>
      </c>
    </row>
    <row r="30" spans="1:32">
      <c r="A30" s="29">
        <v>2039</v>
      </c>
      <c r="B30" s="33"/>
      <c r="C30" s="183">
        <f t="shared" si="9"/>
        <v>0.18991678727314606</v>
      </c>
      <c r="D30" s="33"/>
      <c r="E30" s="403">
        <f>Scenarios!H29</f>
        <v>672862.67734967649</v>
      </c>
      <c r="F30" s="367">
        <f t="shared" si="0"/>
        <v>114793.58472221554</v>
      </c>
      <c r="G30"/>
      <c r="H30" s="403">
        <f>Scenarios!M29</f>
        <v>2185489.8664942221</v>
      </c>
      <c r="I30" s="367">
        <f t="shared" si="3"/>
        <v>372855.00384288572</v>
      </c>
      <c r="J30"/>
      <c r="K30" s="403">
        <f>Scenarios!R29</f>
        <v>18212415.554118518</v>
      </c>
      <c r="L30" s="367">
        <f t="shared" si="4"/>
        <v>3458843.4505216633</v>
      </c>
      <c r="M30"/>
      <c r="N30"/>
      <c r="O30" s="403">
        <f>Scenarios!AD29</f>
        <v>590709.23281771259</v>
      </c>
      <c r="P30" s="367">
        <f t="shared" si="1"/>
        <v>100777.81491871247</v>
      </c>
      <c r="Q30"/>
      <c r="R30" s="403">
        <f>Scenarios!AI29</f>
        <v>1918651.5849753094</v>
      </c>
      <c r="S30" s="367">
        <f t="shared" si="5"/>
        <v>327331.1192408675</v>
      </c>
      <c r="T30"/>
      <c r="U30" s="403">
        <f>Scenarios!AN29</f>
        <v>15988763.208127579</v>
      </c>
      <c r="V30" s="367">
        <f t="shared" si="6"/>
        <v>3036534.54095867</v>
      </c>
      <c r="W30"/>
      <c r="X30"/>
      <c r="Y30" s="403">
        <f>Scenarios!AY29</f>
        <v>399205.86744967109</v>
      </c>
      <c r="Z30" s="367">
        <f t="shared" si="2"/>
        <v>68106.426629566427</v>
      </c>
      <c r="AA30"/>
      <c r="AB30" s="403">
        <f>Scenarios!BD29</f>
        <v>1296639.5779192364</v>
      </c>
      <c r="AC30" s="367">
        <f t="shared" si="7"/>
        <v>221212.90161067547</v>
      </c>
      <c r="AD30"/>
      <c r="AE30" s="403">
        <f>Scenarios!BI29</f>
        <v>10805329.815993637</v>
      </c>
      <c r="AF30" s="367">
        <f t="shared" si="8"/>
        <v>2052113.524080246</v>
      </c>
    </row>
    <row r="31" spans="1:32">
      <c r="A31" s="29">
        <v>2040</v>
      </c>
      <c r="B31" s="33"/>
      <c r="C31" s="182">
        <v>0.2</v>
      </c>
      <c r="D31" s="33"/>
      <c r="E31" s="403">
        <f>Scenarios!H30</f>
        <v>726619.70119438658</v>
      </c>
      <c r="F31" s="367">
        <f t="shared" si="0"/>
        <v>123964.78960378001</v>
      </c>
      <c r="G31"/>
      <c r="H31" s="403">
        <f>Scenarios!M30</f>
        <v>2614208.9974382389</v>
      </c>
      <c r="I31" s="367">
        <f t="shared" si="3"/>
        <v>445996.5341086234</v>
      </c>
      <c r="J31"/>
      <c r="K31" s="403">
        <f>Scenarios!R30</f>
        <v>21785074.978651993</v>
      </c>
      <c r="L31" s="367">
        <f>K31*C31</f>
        <v>4357014.9957303992</v>
      </c>
      <c r="M31"/>
      <c r="N31"/>
      <c r="O31" s="403">
        <f>Scenarios!AD30</f>
        <v>634815.53701153805</v>
      </c>
      <c r="P31" s="367">
        <f t="shared" si="1"/>
        <v>108302.56095931724</v>
      </c>
      <c r="Q31"/>
      <c r="R31" s="403">
        <f>Scenarios!AI30</f>
        <v>2283918.9273856296</v>
      </c>
      <c r="S31" s="367">
        <f t="shared" si="5"/>
        <v>389647.47149032814</v>
      </c>
      <c r="T31"/>
      <c r="U31" s="403">
        <f>Scenarios!AN30</f>
        <v>19032657.728213582</v>
      </c>
      <c r="V31" s="367">
        <f t="shared" si="6"/>
        <v>3806531.5456427168</v>
      </c>
      <c r="W31"/>
      <c r="X31"/>
      <c r="Y31" s="403">
        <f>Scenarios!AY30</f>
        <v>412467.18282951415</v>
      </c>
      <c r="Z31" s="367">
        <f t="shared" si="2"/>
        <v>70368.870337367611</v>
      </c>
      <c r="AA31"/>
      <c r="AB31" s="403">
        <f>Scenarios!BD30</f>
        <v>1483961.1680339738</v>
      </c>
      <c r="AC31" s="367">
        <f t="shared" si="7"/>
        <v>253170.85907955334</v>
      </c>
      <c r="AD31"/>
      <c r="AE31" s="403">
        <f>Scenarios!BI30</f>
        <v>12366343.066949783</v>
      </c>
      <c r="AF31" s="367">
        <f t="shared" si="8"/>
        <v>2473268.6133899568</v>
      </c>
    </row>
    <row r="32" spans="1:32">
      <c r="A32" s="29">
        <v>2041</v>
      </c>
      <c r="B32" s="189"/>
      <c r="C32" s="182">
        <v>0.2</v>
      </c>
      <c r="D32" s="189"/>
      <c r="E32" s="403">
        <f>Scenarios!H31</f>
        <v>782948.05752159643</v>
      </c>
      <c r="F32" s="367">
        <f t="shared" si="0"/>
        <v>133574.67608132996</v>
      </c>
      <c r="G32"/>
      <c r="H32" s="403">
        <f>Scenarios!M31</f>
        <v>3040857.5727146985</v>
      </c>
      <c r="I32" s="367">
        <f t="shared" si="3"/>
        <v>518784.8176935048</v>
      </c>
      <c r="J32"/>
      <c r="K32" s="403">
        <f>Scenarios!R31</f>
        <v>25340479.772622488</v>
      </c>
      <c r="L32" s="367">
        <f>K32*C32</f>
        <v>5068095.9545244984</v>
      </c>
      <c r="M32"/>
      <c r="N32"/>
      <c r="O32" s="403">
        <f>Scenarios!AD31</f>
        <v>680919.72126319481</v>
      </c>
      <c r="P32" s="367">
        <f t="shared" si="1"/>
        <v>116168.15487483589</v>
      </c>
      <c r="Q32"/>
      <c r="R32" s="403">
        <f>Scenarios!AI31</f>
        <v>2644594.1987113925</v>
      </c>
      <c r="S32" s="367">
        <f t="shared" si="5"/>
        <v>451180.39449212723</v>
      </c>
      <c r="T32"/>
      <c r="U32" s="403">
        <f>Scenarios!AN31</f>
        <v>22038284.989261605</v>
      </c>
      <c r="V32" s="367">
        <f>U32*C32</f>
        <v>4407656.9978523208</v>
      </c>
      <c r="W32"/>
      <c r="X32"/>
      <c r="Y32" s="403">
        <f>Scenarios!AY31</f>
        <v>444276.52110005723</v>
      </c>
      <c r="Z32" s="367">
        <f t="shared" si="2"/>
        <v>75795.695290863383</v>
      </c>
      <c r="AA32"/>
      <c r="AB32" s="403">
        <f>Scenarios!BD31</f>
        <v>1725506.0672133868</v>
      </c>
      <c r="AC32" s="367">
        <f t="shared" si="7"/>
        <v>294379.57191437331</v>
      </c>
      <c r="AD32"/>
      <c r="AE32" s="403">
        <f>Scenarios!BI31</f>
        <v>14379217.226778224</v>
      </c>
      <c r="AF32" s="367">
        <f t="shared" si="8"/>
        <v>2875843.4453556449</v>
      </c>
    </row>
    <row r="33" spans="1:32">
      <c r="A33" s="29">
        <v>2042</v>
      </c>
      <c r="C33" s="182">
        <v>0.2</v>
      </c>
      <c r="E33" s="403">
        <f>Scenarios!H32</f>
        <v>841896.08301380649</v>
      </c>
      <c r="F33" s="367">
        <f t="shared" si="0"/>
        <v>143631.49062363917</v>
      </c>
      <c r="G33"/>
      <c r="H33" s="403">
        <f>Scenarios!M32</f>
        <v>3444543.6315151397</v>
      </c>
      <c r="I33" s="367">
        <f t="shared" si="3"/>
        <v>587655.5863540814</v>
      </c>
      <c r="J33"/>
      <c r="K33" s="403">
        <f>Scenarios!R32</f>
        <v>28704530.262626164</v>
      </c>
      <c r="L33" s="367">
        <f t="shared" ref="L33:L41" si="10">K33*C33</f>
        <v>5740906.0525252335</v>
      </c>
      <c r="M33"/>
      <c r="N33"/>
      <c r="O33" s="403">
        <f>Scenarios!AD32</f>
        <v>728909.83470272913</v>
      </c>
      <c r="P33" s="367">
        <f t="shared" si="1"/>
        <v>124355.49731244741</v>
      </c>
      <c r="Q33"/>
      <c r="R33" s="403">
        <f>Scenarios!AI32</f>
        <v>2982270.3534693415</v>
      </c>
      <c r="S33" s="367">
        <f t="shared" si="5"/>
        <v>508789.55841924757</v>
      </c>
      <c r="T33"/>
      <c r="U33" s="403">
        <f>Scenarios!AN32</f>
        <v>24852252.945577845</v>
      </c>
      <c r="V33" s="367">
        <f t="shared" si="6"/>
        <v>4970450.5891155694</v>
      </c>
      <c r="W33"/>
      <c r="X33"/>
      <c r="Y33" s="403">
        <f>Scenarios!AY32</f>
        <v>477551.45937060041</v>
      </c>
      <c r="Z33" s="367">
        <f t="shared" si="2"/>
        <v>81472.558600523553</v>
      </c>
      <c r="AA33"/>
      <c r="AB33" s="403">
        <f>Scenarios!BD32</f>
        <v>1953859.7117677606</v>
      </c>
      <c r="AC33" s="367">
        <f t="shared" si="7"/>
        <v>333337.79374060256</v>
      </c>
      <c r="AD33"/>
      <c r="AE33" s="403">
        <f>Scenarios!BI32</f>
        <v>16282164.264731338</v>
      </c>
      <c r="AF33" s="367">
        <f t="shared" si="8"/>
        <v>3256432.8529462679</v>
      </c>
    </row>
    <row r="34" spans="1:32">
      <c r="A34" s="29">
        <v>2043</v>
      </c>
      <c r="C34" s="182">
        <v>0.2</v>
      </c>
      <c r="E34" s="403">
        <f>Scenarios!H33</f>
        <v>903512.11435351672</v>
      </c>
      <c r="F34" s="367">
        <f t="shared" si="0"/>
        <v>154143.47969948134</v>
      </c>
      <c r="G34"/>
      <c r="H34" s="403">
        <f>Scenarios!M33</f>
        <v>3809658.9611086412</v>
      </c>
      <c r="I34" s="367">
        <f t="shared" si="3"/>
        <v>649946.00449134677</v>
      </c>
      <c r="J34"/>
      <c r="K34" s="403">
        <f>Scenarios!R33</f>
        <v>31747158.009238675</v>
      </c>
      <c r="L34" s="367">
        <f t="shared" si="10"/>
        <v>6349431.6018477352</v>
      </c>
      <c r="M34"/>
      <c r="N34"/>
      <c r="O34" s="403">
        <f>Scenarios!AD33</f>
        <v>778808.60738226364</v>
      </c>
      <c r="P34" s="367">
        <f t="shared" si="1"/>
        <v>132868.46612754776</v>
      </c>
      <c r="Q34"/>
      <c r="R34" s="403">
        <f>Scenarios!AI33</f>
        <v>3283846.6058923118</v>
      </c>
      <c r="S34" s="367">
        <f t="shared" si="5"/>
        <v>560239.90668211237</v>
      </c>
      <c r="T34"/>
      <c r="U34" s="403">
        <f>Scenarios!AN33</f>
        <v>27365388.382435933</v>
      </c>
      <c r="V34" s="367">
        <f t="shared" si="6"/>
        <v>5473077.6764871869</v>
      </c>
      <c r="W34"/>
      <c r="X34"/>
      <c r="Y34" s="403">
        <f>Scenarios!AY33</f>
        <v>512318.3976411437</v>
      </c>
      <c r="Z34" s="367">
        <f t="shared" si="2"/>
        <v>87403.964232370752</v>
      </c>
      <c r="AA34"/>
      <c r="AB34" s="403">
        <f>Scenarios!BD33</f>
        <v>2160190.5978990998</v>
      </c>
      <c r="AC34" s="367">
        <f t="shared" si="7"/>
        <v>368538.82785237976</v>
      </c>
      <c r="AD34"/>
      <c r="AE34" s="403">
        <f>Scenarios!BI33</f>
        <v>18001588.315825831</v>
      </c>
      <c r="AF34" s="367">
        <f t="shared" si="8"/>
        <v>3600317.6631651665</v>
      </c>
    </row>
    <row r="35" spans="1:32">
      <c r="A35" s="29">
        <v>2044</v>
      </c>
      <c r="C35" s="182">
        <v>0.2</v>
      </c>
      <c r="E35" s="403">
        <f>Scenarios!H34</f>
        <v>967844.48822322662</v>
      </c>
      <c r="F35" s="367">
        <f t="shared" si="0"/>
        <v>165118.8897776301</v>
      </c>
      <c r="G35"/>
      <c r="H35" s="403">
        <f>Scenarios!M34</f>
        <v>4127768.0263600247</v>
      </c>
      <c r="I35" s="367">
        <f t="shared" si="3"/>
        <v>704216.929543506</v>
      </c>
      <c r="J35"/>
      <c r="K35" s="403">
        <f>Scenarios!R34</f>
        <v>34398066.88633354</v>
      </c>
      <c r="L35" s="367">
        <f t="shared" si="10"/>
        <v>6879613.3772667088</v>
      </c>
      <c r="M35"/>
      <c r="N35"/>
      <c r="O35" s="403">
        <f>Scenarios!AD34</f>
        <v>830638.78002179798</v>
      </c>
      <c r="P35" s="367">
        <f t="shared" si="1"/>
        <v>141710.94099552359</v>
      </c>
      <c r="Q35"/>
      <c r="R35" s="403">
        <f>Scenarios!AI34</f>
        <v>3542598.2576220171</v>
      </c>
      <c r="S35" s="367">
        <f t="shared" si="5"/>
        <v>604384.17363988713</v>
      </c>
      <c r="T35"/>
      <c r="U35" s="403">
        <f>Scenarios!AN34</f>
        <v>29521652.146850143</v>
      </c>
      <c r="V35" s="367">
        <f t="shared" si="6"/>
        <v>5904330.4293700289</v>
      </c>
      <c r="W35"/>
      <c r="X35"/>
      <c r="Y35" s="403">
        <f>Scenarios!AY34</f>
        <v>548603.73591168679</v>
      </c>
      <c r="Z35" s="367">
        <f t="shared" si="2"/>
        <v>93594.416152427511</v>
      </c>
      <c r="AA35"/>
      <c r="AB35" s="403">
        <f>Scenarios!BD34</f>
        <v>2339744.6467821659</v>
      </c>
      <c r="AC35" s="367">
        <f t="shared" si="7"/>
        <v>399171.60570812569</v>
      </c>
      <c r="AD35"/>
      <c r="AE35" s="403">
        <f>Scenarios!BI34</f>
        <v>19497872.056518052</v>
      </c>
      <c r="AF35" s="367">
        <f t="shared" si="8"/>
        <v>3899574.4113036105</v>
      </c>
    </row>
    <row r="36" spans="1:32">
      <c r="A36" s="29">
        <v>2045</v>
      </c>
      <c r="C36" s="182">
        <v>0.2</v>
      </c>
      <c r="E36" s="403">
        <f>Scenarios!H35</f>
        <v>1034941.5413054369</v>
      </c>
      <c r="F36" s="367">
        <f t="shared" si="0"/>
        <v>176565.96732685925</v>
      </c>
      <c r="G36"/>
      <c r="H36" s="403">
        <f>Scenarios!M35</f>
        <v>4397193.9079187876</v>
      </c>
      <c r="I36" s="367">
        <f t="shared" si="3"/>
        <v>750182.27106444829</v>
      </c>
      <c r="J36"/>
      <c r="K36" s="403">
        <f>Scenarios!R35</f>
        <v>36643282.565989897</v>
      </c>
      <c r="L36" s="367">
        <f t="shared" si="10"/>
        <v>7328656.5131979799</v>
      </c>
      <c r="M36"/>
      <c r="N36"/>
      <c r="O36" s="403">
        <f>Scenarios!AD35</f>
        <v>884423.09334133239</v>
      </c>
      <c r="P36" s="367">
        <f t="shared" si="1"/>
        <v>150886.80159176167</v>
      </c>
      <c r="Q36"/>
      <c r="R36" s="403">
        <f>Scenarios!AI35</f>
        <v>3757680.6832565456</v>
      </c>
      <c r="S36" s="367">
        <f t="shared" si="5"/>
        <v>641078.26216711535</v>
      </c>
      <c r="T36"/>
      <c r="U36" s="403">
        <f>Scenarios!AN35</f>
        <v>31314005.693804547</v>
      </c>
      <c r="V36" s="367">
        <f t="shared" si="6"/>
        <v>6262801.1387609094</v>
      </c>
      <c r="W36"/>
      <c r="X36"/>
      <c r="Y36" s="403">
        <f>Scenarios!AY35</f>
        <v>586433.87418223009</v>
      </c>
      <c r="Z36" s="367">
        <f t="shared" si="2"/>
        <v>100048.41832671652</v>
      </c>
      <c r="AA36"/>
      <c r="AB36" s="403">
        <f>Scenarios!BD35</f>
        <v>2491603.0094788587</v>
      </c>
      <c r="AC36" s="367">
        <f t="shared" si="7"/>
        <v>425079.36729279801</v>
      </c>
      <c r="AD36"/>
      <c r="AE36" s="403">
        <f>Scenarios!BI35</f>
        <v>20763358.412323825</v>
      </c>
      <c r="AF36" s="367">
        <f t="shared" si="8"/>
        <v>4152671.6824647654</v>
      </c>
    </row>
    <row r="37" spans="1:32">
      <c r="A37" s="29">
        <v>2046</v>
      </c>
      <c r="C37" s="182">
        <v>0.2</v>
      </c>
      <c r="E37" s="403">
        <f>Scenarios!H36</f>
        <v>1104851.6102826467</v>
      </c>
      <c r="F37" s="367">
        <f t="shared" si="0"/>
        <v>188492.95881594234</v>
      </c>
      <c r="G37"/>
      <c r="H37" s="403">
        <f>Scenarios!M36</f>
        <v>4621173.0903210826</v>
      </c>
      <c r="I37" s="367">
        <f t="shared" si="3"/>
        <v>788394.18876567134</v>
      </c>
      <c r="J37"/>
      <c r="K37" s="403">
        <f>Scenarios!R36</f>
        <v>38509775.75267569</v>
      </c>
      <c r="L37" s="367">
        <f t="shared" si="10"/>
        <v>7701955.1505351383</v>
      </c>
      <c r="M37"/>
      <c r="N37"/>
      <c r="O37" s="403">
        <f>Scenarios!AD36</f>
        <v>940184.28806086665</v>
      </c>
      <c r="P37" s="367">
        <f t="shared" si="1"/>
        <v>160399.92759164871</v>
      </c>
      <c r="Q37"/>
      <c r="R37" s="403">
        <f>Scenarios!AI36</f>
        <v>3932432.4565342064</v>
      </c>
      <c r="S37" s="367">
        <f t="shared" si="5"/>
        <v>670891.74888051418</v>
      </c>
      <c r="T37"/>
      <c r="U37" s="403">
        <f>Scenarios!AN36</f>
        <v>32770270.471118387</v>
      </c>
      <c r="V37" s="367">
        <f t="shared" si="6"/>
        <v>6554054.0942236781</v>
      </c>
      <c r="W37"/>
      <c r="X37"/>
      <c r="Y37" s="403">
        <f>Scenarios!AY36</f>
        <v>625835.21245277324</v>
      </c>
      <c r="Z37" s="367">
        <f t="shared" si="2"/>
        <v>106770.47472126034</v>
      </c>
      <c r="AA37"/>
      <c r="AB37" s="403">
        <f>Scenarios!BD36</f>
        <v>2617630.1105469437</v>
      </c>
      <c r="AC37" s="367">
        <f t="shared" si="7"/>
        <v>446580.19233593845</v>
      </c>
      <c r="AD37"/>
      <c r="AE37" s="403">
        <f>Scenarios!BI36</f>
        <v>21813584.254557867</v>
      </c>
      <c r="AF37" s="367">
        <f t="shared" si="8"/>
        <v>4362716.8509115735</v>
      </c>
    </row>
    <row r="38" spans="1:32">
      <c r="A38" s="29">
        <v>2047</v>
      </c>
      <c r="C38" s="182">
        <v>0.2</v>
      </c>
      <c r="E38" s="403">
        <f>Scenarios!H37</f>
        <v>1177623.031837357</v>
      </c>
      <c r="F38" s="367">
        <f t="shared" si="0"/>
        <v>200908.1107136533</v>
      </c>
      <c r="G38"/>
      <c r="H38" s="403">
        <f>Scenarios!M37</f>
        <v>4805674.1611540895</v>
      </c>
      <c r="I38" s="367">
        <f t="shared" si="3"/>
        <v>819870.95218110085</v>
      </c>
      <c r="J38"/>
      <c r="K38" s="403">
        <f>Scenarios!R37</f>
        <v>40047284.676284082</v>
      </c>
      <c r="L38" s="367">
        <f t="shared" si="10"/>
        <v>8009456.9352568164</v>
      </c>
      <c r="M38"/>
      <c r="N38"/>
      <c r="O38" s="403">
        <f>Scenarios!AD37</f>
        <v>997945.1049004012</v>
      </c>
      <c r="P38" s="367">
        <f t="shared" si="1"/>
        <v>170254.19867057152</v>
      </c>
      <c r="Q38"/>
      <c r="R38" s="403">
        <f>Scenarios!AI37</f>
        <v>4072439.8854424059</v>
      </c>
      <c r="S38" s="367">
        <f t="shared" si="5"/>
        <v>694777.68458944431</v>
      </c>
      <c r="T38"/>
      <c r="U38" s="403">
        <f>Scenarios!AN37</f>
        <v>33936999.045353383</v>
      </c>
      <c r="V38" s="367">
        <f t="shared" si="6"/>
        <v>6787399.8090706766</v>
      </c>
      <c r="W38"/>
      <c r="X38"/>
      <c r="Y38" s="403">
        <f>Scenarios!AY37</f>
        <v>666834.15072331647</v>
      </c>
      <c r="Z38" s="367">
        <f t="shared" si="2"/>
        <v>113765.08930208163</v>
      </c>
      <c r="AA38"/>
      <c r="AB38" s="403">
        <f>Scenarios!BD37</f>
        <v>2721233.8424684983</v>
      </c>
      <c r="AC38" s="367">
        <f t="shared" si="7"/>
        <v>464255.48356284958</v>
      </c>
      <c r="AD38"/>
      <c r="AE38" s="403">
        <f>Scenarios!BI37</f>
        <v>22676948.687237486</v>
      </c>
      <c r="AF38" s="367">
        <f t="shared" si="8"/>
        <v>4535389.7374474974</v>
      </c>
    </row>
    <row r="39" spans="1:32">
      <c r="A39" s="29">
        <v>2048</v>
      </c>
      <c r="C39" s="182">
        <v>0.2</v>
      </c>
      <c r="E39" s="403">
        <f>Scenarios!H38</f>
        <v>1253304.1426520671</v>
      </c>
      <c r="F39" s="367">
        <f t="shared" si="0"/>
        <v>213819.66948876565</v>
      </c>
      <c r="G39"/>
      <c r="H39" s="403">
        <f>Scenarios!M38</f>
        <v>4957603.3546686275</v>
      </c>
      <c r="I39" s="367">
        <f t="shared" si="3"/>
        <v>845790.79784141446</v>
      </c>
      <c r="J39"/>
      <c r="K39" s="403">
        <f>Scenarios!R38</f>
        <v>41313361.288905226</v>
      </c>
      <c r="L39" s="367">
        <f t="shared" si="10"/>
        <v>8262672.2577810455</v>
      </c>
      <c r="M39"/>
      <c r="N39"/>
      <c r="O39" s="403">
        <f>Scenarios!AD38</f>
        <v>1057728.2845799355</v>
      </c>
      <c r="P39" s="367">
        <f t="shared" si="1"/>
        <v>180453.49450391674</v>
      </c>
      <c r="Q39"/>
      <c r="R39" s="403">
        <f>Scenarios!AI38</f>
        <v>4183978.2647372331</v>
      </c>
      <c r="S39" s="367">
        <f t="shared" si="5"/>
        <v>713806.6645349398</v>
      </c>
      <c r="T39"/>
      <c r="U39" s="403">
        <f>Scenarios!AN38</f>
        <v>34866485.539476939</v>
      </c>
      <c r="V39" s="367">
        <f t="shared" si="6"/>
        <v>6973297.1078953883</v>
      </c>
      <c r="W39"/>
      <c r="X39"/>
      <c r="Y39" s="403">
        <f>Scenarios!AY38</f>
        <v>709457.08899385971</v>
      </c>
      <c r="Z39" s="367">
        <f t="shared" si="2"/>
        <v>121036.76603520295</v>
      </c>
      <c r="AA39"/>
      <c r="AB39" s="403">
        <f>Scenarios!BD38</f>
        <v>2806347.4177519088</v>
      </c>
      <c r="AC39" s="367">
        <f t="shared" si="7"/>
        <v>478776.26580298162</v>
      </c>
      <c r="AD39"/>
      <c r="AE39" s="403">
        <f>Scenarios!BI38</f>
        <v>23386228.481265903</v>
      </c>
      <c r="AF39" s="367">
        <f t="shared" si="8"/>
        <v>4677245.6962531805</v>
      </c>
    </row>
    <row r="40" spans="1:32">
      <c r="A40" s="29">
        <v>2049</v>
      </c>
      <c r="C40" s="182">
        <v>0.2</v>
      </c>
      <c r="E40" s="403">
        <f>Scenarios!H39</f>
        <v>1331943.2794092773</v>
      </c>
      <c r="F40" s="367">
        <f t="shared" si="0"/>
        <v>227235.88161005315</v>
      </c>
      <c r="G40"/>
      <c r="H40" s="403">
        <f>Scenarios!M39</f>
        <v>5083640.9860426737</v>
      </c>
      <c r="I40" s="367">
        <f t="shared" si="3"/>
        <v>867293.41940501914</v>
      </c>
      <c r="J40"/>
      <c r="K40" s="403">
        <f>Scenarios!R39</f>
        <v>42363674.883688956</v>
      </c>
      <c r="L40" s="367">
        <f t="shared" si="10"/>
        <v>8472734.9767377917</v>
      </c>
      <c r="M40"/>
      <c r="N40"/>
      <c r="O40" s="403">
        <f>Scenarios!AD39</f>
        <v>1119556.5678194701</v>
      </c>
      <c r="P40" s="367">
        <f t="shared" si="1"/>
        <v>191001.69476707117</v>
      </c>
      <c r="Q40"/>
      <c r="R40" s="403">
        <f>Scenarios!AI39</f>
        <v>4273022.5395817859</v>
      </c>
      <c r="S40" s="367">
        <f t="shared" si="5"/>
        <v>728998.0428837263</v>
      </c>
      <c r="T40"/>
      <c r="U40" s="403">
        <f>Scenarios!AN39</f>
        <v>35608521.163181558</v>
      </c>
      <c r="V40" s="367">
        <f t="shared" si="6"/>
        <v>7121704.232636312</v>
      </c>
      <c r="W40"/>
      <c r="X40"/>
      <c r="Y40" s="403">
        <f>Scenarios!AY39</f>
        <v>753730.42726440297</v>
      </c>
      <c r="Z40" s="367">
        <f t="shared" si="2"/>
        <v>128590.00888664696</v>
      </c>
      <c r="AA40"/>
      <c r="AB40" s="403">
        <f>Scenarios!BD39</f>
        <v>2876770.318754226</v>
      </c>
      <c r="AC40" s="367">
        <f t="shared" si="7"/>
        <v>490790.74888359464</v>
      </c>
      <c r="AD40"/>
      <c r="AE40" s="403">
        <f>Scenarios!BI39</f>
        <v>23973085.989618551</v>
      </c>
      <c r="AF40" s="367">
        <f t="shared" si="8"/>
        <v>4794617.1979237106</v>
      </c>
    </row>
    <row r="41" spans="1:32">
      <c r="A41" s="29">
        <v>2050</v>
      </c>
      <c r="C41" s="182">
        <v>0.2</v>
      </c>
      <c r="E41" s="405">
        <f>Scenarios!H40</f>
        <v>1413588.7787914872</v>
      </c>
      <c r="F41" s="369">
        <f t="shared" si="0"/>
        <v>241164.99354628948</v>
      </c>
      <c r="G41"/>
      <c r="H41" s="405">
        <f>Scenarios!M40</f>
        <v>5189645.1886209575</v>
      </c>
      <c r="I41" s="369">
        <f t="shared" si="3"/>
        <v>885378.24238481605</v>
      </c>
      <c r="J41"/>
      <c r="K41" s="405">
        <f>Scenarios!R40</f>
        <v>43247043.238507979</v>
      </c>
      <c r="L41" s="369">
        <f t="shared" si="10"/>
        <v>8649408.6477015968</v>
      </c>
      <c r="M41"/>
      <c r="N41"/>
      <c r="O41" s="405">
        <f>Scenarios!AD40</f>
        <v>1183452.6953390043</v>
      </c>
      <c r="P41" s="369">
        <f t="shared" si="1"/>
        <v>201902.67913542144</v>
      </c>
      <c r="Q41"/>
      <c r="R41" s="405">
        <f>Scenarios!AI40</f>
        <v>4344756.8900322355</v>
      </c>
      <c r="S41" s="369">
        <f t="shared" si="5"/>
        <v>741236.26550050464</v>
      </c>
      <c r="T41"/>
      <c r="U41" s="405">
        <f>Scenarios!AN40</f>
        <v>36206307.416935295</v>
      </c>
      <c r="V41" s="369">
        <f t="shared" si="6"/>
        <v>7241261.4833870595</v>
      </c>
      <c r="W41"/>
      <c r="X41"/>
      <c r="Y41" s="405">
        <f>Scenarios!AY40</f>
        <v>799680.56553494604</v>
      </c>
      <c r="Z41" s="369">
        <f t="shared" si="2"/>
        <v>136429.32182243621</v>
      </c>
      <c r="AA41"/>
      <c r="AB41" s="405">
        <f>Scenarios!BD40</f>
        <v>2935831.4536920059</v>
      </c>
      <c r="AC41" s="369">
        <f t="shared" si="7"/>
        <v>500866.86043725553</v>
      </c>
      <c r="AD41"/>
      <c r="AE41" s="405">
        <f>Scenarios!BI40</f>
        <v>24465262.11410005</v>
      </c>
      <c r="AF41" s="369">
        <f t="shared" si="8"/>
        <v>4893052.4228200102</v>
      </c>
    </row>
    <row r="44" spans="1:32" ht="15.9" customHeight="1"/>
  </sheetData>
  <customSheetViews>
    <customSheetView guid="{6CD3DBEE-3ADC-5D4E-9E8E-2656A4A55EE6}">
      <selection activeCell="N19" sqref="N19"/>
      <pageMargins left="0" right="0" top="0" bottom="0" header="0" footer="0"/>
      <pageSetup paperSize="9" orientation="portrait" horizontalDpi="0" verticalDpi="0"/>
    </customSheetView>
  </customSheetViews>
  <mergeCells count="13">
    <mergeCell ref="Y2:AF2"/>
    <mergeCell ref="Y5:Z5"/>
    <mergeCell ref="AB5:AC5"/>
    <mergeCell ref="AE5:AF5"/>
    <mergeCell ref="E5:F5"/>
    <mergeCell ref="O5:P5"/>
    <mergeCell ref="R5:S5"/>
    <mergeCell ref="U5:V5"/>
    <mergeCell ref="B1:D1"/>
    <mergeCell ref="E2:L2"/>
    <mergeCell ref="O2:V2"/>
    <mergeCell ref="H5:I5"/>
    <mergeCell ref="K5:L5"/>
  </mergeCells>
  <pageMargins left="0.7" right="0.7" top="0.75" bottom="0.75" header="0.3" footer="0.3"/>
  <pageSetup paperSize="9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66"/>
  <sheetViews>
    <sheetView zoomScale="40" zoomScaleNormal="40" workbookViewId="0">
      <selection activeCell="E45" sqref="E45"/>
    </sheetView>
  </sheetViews>
  <sheetFormatPr defaultColWidth="8.8984375" defaultRowHeight="15.6"/>
  <cols>
    <col min="4" max="4" width="20.5" customWidth="1"/>
    <col min="5" max="5" width="35.69921875" bestFit="1" customWidth="1"/>
    <col min="7" max="7" width="14" customWidth="1"/>
    <col min="8" max="8" width="19.09765625" customWidth="1"/>
    <col min="10" max="10" width="16.5" customWidth="1"/>
    <col min="11" max="11" width="19.69921875" customWidth="1"/>
    <col min="14" max="14" width="13.8984375" customWidth="1"/>
    <col min="15" max="15" width="19.3984375" customWidth="1"/>
    <col min="17" max="17" width="16.3984375" customWidth="1"/>
    <col min="18" max="18" width="19.5" customWidth="1"/>
    <col min="20" max="20" width="17.09765625" customWidth="1"/>
    <col min="21" max="21" width="20.5" customWidth="1"/>
    <col min="24" max="24" width="14.5" customWidth="1"/>
    <col min="25" max="25" width="20.09765625" customWidth="1"/>
    <col min="27" max="27" width="15.59765625" customWidth="1"/>
    <col min="28" max="28" width="20.5" customWidth="1"/>
    <col min="30" max="30" width="16.59765625" customWidth="1"/>
    <col min="31" max="31" width="21.3984375" customWidth="1"/>
  </cols>
  <sheetData>
    <row r="2" spans="1:31">
      <c r="A2" s="553" t="s">
        <v>254</v>
      </c>
      <c r="B2" s="554"/>
      <c r="C2" s="554"/>
      <c r="D2" s="554"/>
      <c r="E2" s="555"/>
    </row>
    <row r="3" spans="1:31">
      <c r="A3" s="556">
        <f>U52</f>
        <v>732.5162447254429</v>
      </c>
      <c r="B3" s="556"/>
      <c r="C3" s="556"/>
      <c r="D3" s="556"/>
      <c r="E3" s="556"/>
    </row>
    <row r="4" spans="1:31" ht="29.4" thickBot="1">
      <c r="D4" s="551"/>
      <c r="E4" s="551"/>
      <c r="F4" s="551"/>
      <c r="G4" s="551"/>
      <c r="H4" s="551"/>
      <c r="I4" s="551"/>
      <c r="J4" s="551"/>
      <c r="K4" s="551"/>
      <c r="L4" s="350"/>
      <c r="M4" s="325"/>
      <c r="N4" s="551"/>
      <c r="O4" s="551"/>
      <c r="P4" s="551"/>
      <c r="Q4" s="551"/>
      <c r="R4" s="551"/>
      <c r="S4" s="551"/>
      <c r="T4" s="551"/>
      <c r="U4" s="551"/>
      <c r="V4" s="350"/>
      <c r="W4" s="350"/>
      <c r="X4" s="548"/>
      <c r="Y4" s="548"/>
      <c r="Z4" s="548"/>
      <c r="AA4" s="548"/>
      <c r="AB4" s="548"/>
      <c r="AC4" s="548"/>
      <c r="AD4" s="548"/>
      <c r="AE4" s="548"/>
    </row>
    <row r="5" spans="1:31" ht="53.25" customHeight="1" thickBot="1">
      <c r="D5" s="549" t="s">
        <v>199</v>
      </c>
      <c r="E5" s="550"/>
      <c r="F5" s="31"/>
      <c r="G5" s="549" t="s">
        <v>181</v>
      </c>
      <c r="H5" s="550"/>
      <c r="I5" s="31"/>
      <c r="J5" s="549" t="s">
        <v>182</v>
      </c>
      <c r="K5" s="550"/>
      <c r="N5" s="549" t="s">
        <v>184</v>
      </c>
      <c r="O5" s="550"/>
      <c r="P5" s="31"/>
      <c r="Q5" s="549" t="s">
        <v>185</v>
      </c>
      <c r="R5" s="550"/>
      <c r="S5" s="31"/>
      <c r="T5" s="549" t="s">
        <v>186</v>
      </c>
      <c r="U5" s="550"/>
      <c r="X5" s="549" t="s">
        <v>188</v>
      </c>
      <c r="Y5" s="550"/>
      <c r="Z5" s="31"/>
      <c r="AA5" s="549" t="s">
        <v>189</v>
      </c>
      <c r="AB5" s="550"/>
      <c r="AC5" s="31"/>
      <c r="AD5" s="549" t="s">
        <v>190</v>
      </c>
      <c r="AE5" s="550"/>
    </row>
    <row r="6" spans="1:31" ht="31.2">
      <c r="B6" s="271" t="s">
        <v>200</v>
      </c>
      <c r="D6" s="338" t="s">
        <v>201</v>
      </c>
      <c r="E6" s="428" t="s">
        <v>234</v>
      </c>
      <c r="F6" s="30"/>
      <c r="G6" s="379" t="s">
        <v>201</v>
      </c>
      <c r="H6" s="380" t="s">
        <v>234</v>
      </c>
      <c r="I6" s="28"/>
      <c r="J6" s="379" t="s">
        <v>201</v>
      </c>
      <c r="K6" s="380" t="s">
        <v>234</v>
      </c>
      <c r="N6" s="379" t="s">
        <v>201</v>
      </c>
      <c r="O6" s="380" t="s">
        <v>234</v>
      </c>
      <c r="P6" s="30"/>
      <c r="Q6" s="379" t="s">
        <v>201</v>
      </c>
      <c r="R6" s="380" t="s">
        <v>234</v>
      </c>
      <c r="S6" s="28"/>
      <c r="T6" s="379" t="s">
        <v>201</v>
      </c>
      <c r="U6" s="380" t="s">
        <v>234</v>
      </c>
      <c r="X6" s="379" t="s">
        <v>201</v>
      </c>
      <c r="Y6" s="380" t="s">
        <v>234</v>
      </c>
      <c r="Z6" s="30"/>
      <c r="AA6" s="379" t="s">
        <v>201</v>
      </c>
      <c r="AB6" s="380" t="s">
        <v>234</v>
      </c>
      <c r="AC6" s="28"/>
      <c r="AD6" s="379" t="s">
        <v>201</v>
      </c>
      <c r="AE6" s="380" t="s">
        <v>234</v>
      </c>
    </row>
    <row r="7" spans="1:31">
      <c r="B7" s="359">
        <v>2016</v>
      </c>
      <c r="D7" s="404">
        <f>Scenarios!H6</f>
        <v>33859.664237524528</v>
      </c>
      <c r="E7" s="425">
        <f t="shared" ref="E7:E41" si="0">(D7*$A$3)/1000000</f>
        <v>24.802754094935846</v>
      </c>
      <c r="G7" s="404">
        <f>Scenarios!M6</f>
        <v>33859.664237524528</v>
      </c>
      <c r="H7" s="425">
        <f t="shared" ref="H7:H41" si="1">(G7*$A$3)/1000000</f>
        <v>24.802754094935846</v>
      </c>
      <c r="J7" s="404">
        <f>Scenarios!R6</f>
        <v>33859.664237524528</v>
      </c>
      <c r="K7" s="425">
        <f t="shared" ref="K7:K41" si="2">(J7*$A$3)/1000000</f>
        <v>24.802754094935846</v>
      </c>
      <c r="N7" s="404">
        <f>Scenarios!AD6</f>
        <v>33859.664237524528</v>
      </c>
      <c r="O7" s="425">
        <f t="shared" ref="O7:O41" si="3">(N7*$A$3)/1000000</f>
        <v>24.802754094935846</v>
      </c>
      <c r="Q7" s="404">
        <f>Scenarios!AI6</f>
        <v>33859.664237524528</v>
      </c>
      <c r="R7" s="425">
        <f t="shared" ref="R7:R41" si="4">(Q7*$A$3)/1000000</f>
        <v>24.802754094935846</v>
      </c>
      <c r="T7" s="404">
        <f>Scenarios!AN6</f>
        <v>33859.664237524528</v>
      </c>
      <c r="U7" s="425">
        <f t="shared" ref="U7:U41" si="5">(T7*$A$3)/1000000</f>
        <v>24.802754094935846</v>
      </c>
      <c r="X7" s="404">
        <f>Scenarios!AY6</f>
        <v>33859.664237524528</v>
      </c>
      <c r="Y7" s="425">
        <f t="shared" ref="Y7:Y41" si="6">(X7*$A$3)/1000000</f>
        <v>24.802754094935846</v>
      </c>
      <c r="AA7" s="404">
        <f>Scenarios!BD6</f>
        <v>33859.664237524528</v>
      </c>
      <c r="AB7" s="425">
        <f t="shared" ref="AB7:AB41" si="7">(AA7*$A$3)/1000000</f>
        <v>24.802754094935846</v>
      </c>
      <c r="AD7" s="404">
        <f>Scenarios!BI6</f>
        <v>33859.664237524528</v>
      </c>
      <c r="AE7" s="425">
        <f t="shared" ref="AE7:AE41" si="8">(AD7*$A$3)/1000000</f>
        <v>24.802754094935846</v>
      </c>
    </row>
    <row r="8" spans="1:31">
      <c r="B8" s="360">
        <v>2017</v>
      </c>
      <c r="D8" s="403">
        <f>Scenarios!H7</f>
        <v>42921.825458555708</v>
      </c>
      <c r="E8" s="426">
        <f t="shared" si="0"/>
        <v>31.440934401662137</v>
      </c>
      <c r="G8" s="403">
        <f>Scenarios!M7</f>
        <v>42921.825458555708</v>
      </c>
      <c r="H8" s="426">
        <f t="shared" si="1"/>
        <v>31.440934401662137</v>
      </c>
      <c r="J8" s="403">
        <f>Scenarios!R7</f>
        <v>42921.825458555708</v>
      </c>
      <c r="K8" s="426">
        <f t="shared" si="2"/>
        <v>31.440934401662137</v>
      </c>
      <c r="N8" s="403">
        <f>Scenarios!AD7</f>
        <v>42564.955269477316</v>
      </c>
      <c r="O8" s="426">
        <f t="shared" si="3"/>
        <v>31.179521190903976</v>
      </c>
      <c r="Q8" s="403">
        <f>Scenarios!AI7</f>
        <v>42564.955269477316</v>
      </c>
      <c r="R8" s="426">
        <f t="shared" si="4"/>
        <v>31.179521190903976</v>
      </c>
      <c r="T8" s="403">
        <f>Scenarios!AN7</f>
        <v>42564.955269477316</v>
      </c>
      <c r="U8" s="426">
        <f t="shared" si="5"/>
        <v>31.179521190903976</v>
      </c>
      <c r="X8" s="403">
        <f>Scenarios!AY7</f>
        <v>42316.978030640552</v>
      </c>
      <c r="Y8" s="426">
        <f t="shared" si="6"/>
        <v>30.997873835133884</v>
      </c>
      <c r="AA8" s="403">
        <f>Scenarios!BD7</f>
        <v>42316.978030640552</v>
      </c>
      <c r="AB8" s="426">
        <f t="shared" si="7"/>
        <v>30.997873835133884</v>
      </c>
      <c r="AD8" s="403">
        <f>Scenarios!BI7</f>
        <v>42316.978030640552</v>
      </c>
      <c r="AE8" s="426">
        <f t="shared" si="8"/>
        <v>30.997873835133884</v>
      </c>
    </row>
    <row r="9" spans="1:31">
      <c r="B9" s="360">
        <v>2018</v>
      </c>
      <c r="D9" s="403">
        <f>Scenarios!H8</f>
        <v>52338.715360765738</v>
      </c>
      <c r="E9" s="426">
        <f t="shared" si="0"/>
        <v>38.338959229821974</v>
      </c>
      <c r="G9" s="403">
        <f>Scenarios!M8</f>
        <v>52206.18511696683</v>
      </c>
      <c r="H9" s="426">
        <f t="shared" si="1"/>
        <v>38.24187867332185</v>
      </c>
      <c r="J9" s="403">
        <f>Scenarios!R8</f>
        <v>52206.18511696683</v>
      </c>
      <c r="K9" s="426">
        <f t="shared" si="2"/>
        <v>38.24187867332185</v>
      </c>
      <c r="N9" s="403">
        <f>Scenarios!AD8</f>
        <v>51479.459130964729</v>
      </c>
      <c r="O9" s="426">
        <f t="shared" si="3"/>
        <v>37.7095400831112</v>
      </c>
      <c r="Q9" s="403">
        <f>Scenarios!AI8</f>
        <v>51349.104665398743</v>
      </c>
      <c r="R9" s="426">
        <f t="shared" si="4"/>
        <v>37.614053319511605</v>
      </c>
      <c r="T9" s="403">
        <f>Scenarios!AN8</f>
        <v>51349.104665398743</v>
      </c>
      <c r="U9" s="426">
        <f t="shared" si="5"/>
        <v>37.614053319511605</v>
      </c>
      <c r="X9" s="403">
        <f>Scenarios!AY8</f>
        <v>50882.387719935425</v>
      </c>
      <c r="Y9" s="426">
        <f t="shared" si="6"/>
        <v>37.272175575271085</v>
      </c>
      <c r="AA9" s="403">
        <f>Scenarios!BD8</f>
        <v>50753.545137477842</v>
      </c>
      <c r="AB9" s="426">
        <f t="shared" si="7"/>
        <v>37.177796290608534</v>
      </c>
      <c r="AD9" s="403">
        <f>Scenarios!BI8</f>
        <v>50753.545137477842</v>
      </c>
      <c r="AE9" s="426">
        <f t="shared" si="8"/>
        <v>37.177796290608534</v>
      </c>
    </row>
    <row r="10" spans="1:31">
      <c r="B10" s="360">
        <v>2019</v>
      </c>
      <c r="D10" s="403">
        <f>Scenarios!H9</f>
        <v>63263.530730475759</v>
      </c>
      <c r="E10" s="426">
        <f t="shared" si="0"/>
        <v>46.341563958760759</v>
      </c>
      <c r="G10" s="403">
        <f>Scenarios!M9</f>
        <v>61712.74321275788</v>
      </c>
      <c r="H10" s="426">
        <f t="shared" si="1"/>
        <v>45.205586909914963</v>
      </c>
      <c r="J10" s="403">
        <f>Scenarios!R9</f>
        <v>61712.74321275788</v>
      </c>
      <c r="K10" s="426">
        <f t="shared" si="2"/>
        <v>45.205586909914963</v>
      </c>
      <c r="N10" s="403">
        <f>Scenarios!AD9</f>
        <v>61725.189272452124</v>
      </c>
      <c r="O10" s="426">
        <f t="shared" si="3"/>
        <v>45.214703850823817</v>
      </c>
      <c r="Q10" s="403">
        <f>Scenarios!AI9</f>
        <v>60212.111327746454</v>
      </c>
      <c r="R10" s="426">
        <f t="shared" si="4"/>
        <v>44.106349676791133</v>
      </c>
      <c r="T10" s="403">
        <f>Scenarios!AN9</f>
        <v>60212.111327746454</v>
      </c>
      <c r="U10" s="426">
        <f t="shared" si="5"/>
        <v>44.106349676791133</v>
      </c>
      <c r="X10" s="403">
        <f>Scenarios!AY9</f>
        <v>60656.240209230287</v>
      </c>
      <c r="Y10" s="426">
        <f t="shared" si="6"/>
        <v>44.43168129722978</v>
      </c>
      <c r="AA10" s="403">
        <f>Scenarios!BD9</f>
        <v>59169.365558036377</v>
      </c>
      <c r="AB10" s="426">
        <f t="shared" si="7"/>
        <v>43.342521461359766</v>
      </c>
      <c r="AD10" s="403">
        <f>Scenarios!BI9</f>
        <v>59169.365558036377</v>
      </c>
      <c r="AE10" s="426">
        <f t="shared" si="8"/>
        <v>43.342521461359766</v>
      </c>
    </row>
    <row r="11" spans="1:31">
      <c r="B11" s="360">
        <v>2020</v>
      </c>
      <c r="D11" s="403">
        <f>Scenarios!H10</f>
        <v>75744.608250185789</v>
      </c>
      <c r="E11" s="426">
        <f t="shared" si="0"/>
        <v>55.484155993625897</v>
      </c>
      <c r="G11" s="403">
        <f>Scenarios!M10</f>
        <v>71441.499745928857</v>
      </c>
      <c r="H11" s="426">
        <f t="shared" si="1"/>
        <v>52.332059111441495</v>
      </c>
      <c r="J11" s="403">
        <f>Scenarios!R10</f>
        <v>71441.499745928857</v>
      </c>
      <c r="K11" s="426">
        <f t="shared" si="2"/>
        <v>52.332059111441495</v>
      </c>
      <c r="N11" s="403">
        <f>Scenarios!AD10</f>
        <v>73319.302400809785</v>
      </c>
      <c r="O11" s="426">
        <f t="shared" si="3"/>
        <v>53.707580060530333</v>
      </c>
      <c r="Q11" s="403">
        <f>Scenarios!AI10</f>
        <v>69153.977356880525</v>
      </c>
      <c r="R11" s="426">
        <f t="shared" si="4"/>
        <v>50.656411801290432</v>
      </c>
      <c r="T11" s="403">
        <f>Scenarios!AN10</f>
        <v>69153.977356880525</v>
      </c>
      <c r="U11" s="426">
        <f t="shared" si="5"/>
        <v>50.656411801290432</v>
      </c>
      <c r="X11" s="403">
        <f>Scenarios!AY10</f>
        <v>71634.02229852516</v>
      </c>
      <c r="Y11" s="426">
        <f t="shared" si="6"/>
        <v>52.473085008694291</v>
      </c>
      <c r="AA11" s="403">
        <f>Scenarios!BD10</f>
        <v>67564.439292316165</v>
      </c>
      <c r="AB11" s="426">
        <f t="shared" si="7"/>
        <v>49.492049347387599</v>
      </c>
      <c r="AD11" s="403">
        <f>Scenarios!BI10</f>
        <v>67564.439292316165</v>
      </c>
      <c r="AE11" s="426">
        <f t="shared" si="8"/>
        <v>49.492049347387599</v>
      </c>
    </row>
    <row r="12" spans="1:31">
      <c r="B12" s="360">
        <v>2021</v>
      </c>
      <c r="D12" s="403">
        <f>Scenarios!H11</f>
        <v>89830.284602395812</v>
      </c>
      <c r="E12" s="426">
        <f t="shared" si="0"/>
        <v>65.802142739564758</v>
      </c>
      <c r="G12" s="403">
        <f>Scenarios!M11</f>
        <v>81392.45471647974</v>
      </c>
      <c r="H12" s="426">
        <f t="shared" si="1"/>
        <v>59.621295277901403</v>
      </c>
      <c r="J12" s="403">
        <f>Scenarios!R11</f>
        <v>81392.45471647974</v>
      </c>
      <c r="K12" s="426">
        <f t="shared" si="2"/>
        <v>59.621295277901403</v>
      </c>
      <c r="N12" s="403">
        <f>Scenarios!AD11</f>
        <v>86479.850698259645</v>
      </c>
      <c r="O12" s="426">
        <f t="shared" si="3"/>
        <v>63.347895477906121</v>
      </c>
      <c r="Q12" s="403">
        <f>Scenarios!AI11</f>
        <v>78356.729726516962</v>
      </c>
      <c r="R12" s="426">
        <f t="shared" si="4"/>
        <v>57.397577408234689</v>
      </c>
      <c r="T12" s="403">
        <f>Scenarios!AN11</f>
        <v>78356.729726516962</v>
      </c>
      <c r="U12" s="426">
        <f t="shared" si="5"/>
        <v>57.397577408234689</v>
      </c>
      <c r="X12" s="403">
        <f>Scenarios!AY11</f>
        <v>83968.689414029082</v>
      </c>
      <c r="Y12" s="426">
        <f t="shared" si="6"/>
        <v>61.508429044081637</v>
      </c>
      <c r="AA12" s="403">
        <f>Scenarios!BD11</f>
        <v>76081.443813562597</v>
      </c>
      <c r="AB12" s="426">
        <f t="shared" si="7"/>
        <v>55.730893515600648</v>
      </c>
      <c r="AD12" s="403">
        <f>Scenarios!BI11</f>
        <v>76081.443813562597</v>
      </c>
      <c r="AE12" s="426">
        <f t="shared" si="8"/>
        <v>55.730893515600648</v>
      </c>
    </row>
    <row r="13" spans="1:31">
      <c r="B13" s="360">
        <v>2022</v>
      </c>
      <c r="D13" s="403">
        <f>Scenarios!H12</f>
        <v>105568.89646960584</v>
      </c>
      <c r="E13" s="426">
        <f t="shared" si="0"/>
        <v>77.330931601724728</v>
      </c>
      <c r="G13" s="403">
        <f>Scenarios!M12</f>
        <v>91565.608124410574</v>
      </c>
      <c r="H13" s="426">
        <f t="shared" si="1"/>
        <v>67.073295409294744</v>
      </c>
      <c r="J13" s="403">
        <f>Scenarios!R12</f>
        <v>92050.611047847065</v>
      </c>
      <c r="K13" s="426">
        <f t="shared" si="2"/>
        <v>67.428567929451305</v>
      </c>
      <c r="N13" s="403">
        <f>Scenarios!AD12</f>
        <v>101087.76864922397</v>
      </c>
      <c r="O13" s="426">
        <f t="shared" si="3"/>
        <v>74.048432678603902</v>
      </c>
      <c r="Q13" s="403">
        <f>Scenarios!AI12</f>
        <v>87678.883836498615</v>
      </c>
      <c r="R13" s="426">
        <f t="shared" si="4"/>
        <v>64.226206729630306</v>
      </c>
      <c r="T13" s="403">
        <f>Scenarios!AN12</f>
        <v>88143.299634694078</v>
      </c>
      <c r="U13" s="426">
        <f t="shared" si="5"/>
        <v>64.566398846115618</v>
      </c>
      <c r="X13" s="403">
        <f>Scenarios!AY12</f>
        <v>97548.95652953301</v>
      </c>
      <c r="Y13" s="426">
        <f t="shared" si="6"/>
        <v>71.456195313899002</v>
      </c>
      <c r="AA13" s="403">
        <f>Scenarios!BD12</f>
        <v>84609.480872048487</v>
      </c>
      <c r="AB13" s="426">
        <f t="shared" si="7"/>
        <v>61.977819196562152</v>
      </c>
      <c r="AD13" s="403">
        <f>Scenarios!BI12</f>
        <v>85057.638716614238</v>
      </c>
      <c r="AE13" s="426">
        <f t="shared" si="8"/>
        <v>62.306102097907697</v>
      </c>
    </row>
    <row r="14" spans="1:31">
      <c r="B14" s="360">
        <v>2023</v>
      </c>
      <c r="D14" s="403">
        <f>Scenarios!H13</f>
        <v>123008.78053431585</v>
      </c>
      <c r="E14" s="426">
        <f t="shared" si="0"/>
        <v>90.105929985253212</v>
      </c>
      <c r="G14" s="403">
        <f>Scenarios!M13</f>
        <v>101960.95996972131</v>
      </c>
      <c r="H14" s="426">
        <f t="shared" si="1"/>
        <v>74.688059505621467</v>
      </c>
      <c r="J14" s="403">
        <f>Scenarios!R13</f>
        <v>130154.97782356928</v>
      </c>
      <c r="K14" s="426">
        <f t="shared" si="2"/>
        <v>95.340635587644257</v>
      </c>
      <c r="N14" s="403">
        <f>Scenarios!AD13</f>
        <v>117169.03084018831</v>
      </c>
      <c r="O14" s="426">
        <f t="shared" si="3"/>
        <v>85.828218469174345</v>
      </c>
      <c r="Q14" s="403">
        <f>Scenarios!AI13</f>
        <v>97120.43978726145</v>
      </c>
      <c r="R14" s="426">
        <f t="shared" si="4"/>
        <v>71.142299839048249</v>
      </c>
      <c r="T14" s="403">
        <f>Scenarios!AN13</f>
        <v>123975.96776727229</v>
      </c>
      <c r="U14" s="426">
        <f t="shared" si="5"/>
        <v>90.814410345084852</v>
      </c>
      <c r="X14" s="403">
        <f>Scenarios!AY13</f>
        <v>112377.22364503694</v>
      </c>
      <c r="Y14" s="426">
        <f t="shared" si="6"/>
        <v>82.318141857133696</v>
      </c>
      <c r="AA14" s="403">
        <f>Scenarios!BD13</f>
        <v>93148.550467773792</v>
      </c>
      <c r="AB14" s="426">
        <f t="shared" si="7"/>
        <v>68.232826390272052</v>
      </c>
      <c r="AD14" s="403">
        <f>Scenarios!BI13</f>
        <v>118905.7804480365</v>
      </c>
      <c r="AE14" s="426">
        <f t="shared" si="8"/>
        <v>87.10041576994368</v>
      </c>
    </row>
    <row r="15" spans="1:31">
      <c r="B15" s="360">
        <v>2024</v>
      </c>
      <c r="D15" s="403">
        <f>Scenarios!H14</f>
        <v>142198.27347902587</v>
      </c>
      <c r="E15" s="426">
        <f t="shared" si="0"/>
        <v>104.16254529529758</v>
      </c>
      <c r="G15" s="403">
        <f>Scenarios!M14</f>
        <v>112578.51025241199</v>
      </c>
      <c r="H15" s="426">
        <f t="shared" si="1"/>
        <v>82.465587566881595</v>
      </c>
      <c r="J15" s="403">
        <f>Scenarios!R14</f>
        <v>183925.86759650573</v>
      </c>
      <c r="K15" s="426">
        <f t="shared" si="2"/>
        <v>134.72868583966138</v>
      </c>
      <c r="N15" s="403">
        <f>Scenarios!AD14</f>
        <v>134749.61175115261</v>
      </c>
      <c r="O15" s="426">
        <f t="shared" si="3"/>
        <v>98.70627957816572</v>
      </c>
      <c r="Q15" s="403">
        <f>Scenarios!AI14</f>
        <v>106681.39757880548</v>
      </c>
      <c r="R15" s="426">
        <f t="shared" si="4"/>
        <v>78.145856736488554</v>
      </c>
      <c r="T15" s="403">
        <f>Scenarios!AN14</f>
        <v>174291.42171180202</v>
      </c>
      <c r="U15" s="426">
        <f t="shared" si="5"/>
        <v>127.67129772018774</v>
      </c>
      <c r="X15" s="403">
        <f>Scenarios!AY14</f>
        <v>128455.89076054085</v>
      </c>
      <c r="Y15" s="426">
        <f t="shared" si="6"/>
        <v>94.096026712773096</v>
      </c>
      <c r="AA15" s="403">
        <f>Scenarios!BD14</f>
        <v>101698.65260073853</v>
      </c>
      <c r="AB15" s="426">
        <f t="shared" si="7"/>
        <v>74.495915096730386</v>
      </c>
      <c r="AD15" s="403">
        <f>Scenarios!BI14</f>
        <v>166150.82995012109</v>
      </c>
      <c r="AE15" s="426">
        <f t="shared" si="8"/>
        <v>121.70818201307834</v>
      </c>
    </row>
    <row r="16" spans="1:31">
      <c r="B16" s="360">
        <v>2025</v>
      </c>
      <c r="D16" s="403">
        <f>Scenarios!H15</f>
        <v>163185.71198623592</v>
      </c>
      <c r="E16" s="426">
        <f t="shared" si="0"/>
        <v>119.53618493700523</v>
      </c>
      <c r="G16" s="403">
        <f>Scenarios!M15</f>
        <v>123418.25897248258</v>
      </c>
      <c r="H16" s="426">
        <f t="shared" si="1"/>
        <v>90.405879593075142</v>
      </c>
      <c r="J16" s="403">
        <f>Scenarios!R15</f>
        <v>259716.39940422747</v>
      </c>
      <c r="K16" s="426">
        <f t="shared" si="2"/>
        <v>190.24648158519796</v>
      </c>
      <c r="N16" s="403">
        <f>Scenarios!AD15</f>
        <v>153855.49444219505</v>
      </c>
      <c r="O16" s="426">
        <f t="shared" si="3"/>
        <v>112.70164901917296</v>
      </c>
      <c r="Q16" s="403">
        <f>Scenarios!AI15</f>
        <v>116361.76370029135</v>
      </c>
      <c r="R16" s="426">
        <f t="shared" si="4"/>
        <v>85.236882175366773</v>
      </c>
      <c r="T16" s="403">
        <f>Scenarios!AN15</f>
        <v>244866.99576035433</v>
      </c>
      <c r="U16" s="426">
        <f t="shared" si="5"/>
        <v>179.36905219157572</v>
      </c>
      <c r="X16" s="403">
        <f>Scenarios!AY15</f>
        <v>145787.35787604479</v>
      </c>
      <c r="Y16" s="426">
        <f t="shared" si="6"/>
        <v>106.79160791980455</v>
      </c>
      <c r="AA16" s="403">
        <f>Scenarios!BD15</f>
        <v>110259.78727094269</v>
      </c>
      <c r="AB16" s="426">
        <f t="shared" si="7"/>
        <v>80.767085315937138</v>
      </c>
      <c r="AD16" s="403">
        <f>Scenarios!BI15</f>
        <v>232026.2430170083</v>
      </c>
      <c r="AE16" s="426">
        <f t="shared" si="8"/>
        <v>169.96299221257195</v>
      </c>
    </row>
    <row r="17" spans="2:31">
      <c r="B17" s="360">
        <v>2026</v>
      </c>
      <c r="D17" s="403">
        <f>Scenarios!H16</f>
        <v>186019.43273844593</v>
      </c>
      <c r="E17" s="426">
        <f t="shared" si="0"/>
        <v>136.26225631552353</v>
      </c>
      <c r="G17" s="403">
        <f>Scenarios!M16</f>
        <v>134480.20612993313</v>
      </c>
      <c r="H17" s="426">
        <f t="shared" si="1"/>
        <v>98.508935584202092</v>
      </c>
      <c r="J17" s="403">
        <f>Scenarios!R16</f>
        <v>366376.80757035385</v>
      </c>
      <c r="K17" s="426">
        <f t="shared" si="2"/>
        <v>268.37696323593184</v>
      </c>
      <c r="N17" s="403">
        <f>Scenarios!AD16</f>
        <v>174618.51609864205</v>
      </c>
      <c r="O17" s="426">
        <f t="shared" si="3"/>
        <v>127.91089967210658</v>
      </c>
      <c r="Q17" s="403">
        <f>Scenarios!AI16</f>
        <v>126238.069288527</v>
      </c>
      <c r="R17" s="426">
        <f t="shared" si="4"/>
        <v>92.471436456622058</v>
      </c>
      <c r="T17" s="403">
        <f>Scenarios!AN16</f>
        <v>343921.99529415352</v>
      </c>
      <c r="U17" s="426">
        <f t="shared" si="5"/>
        <v>251.92844847135478</v>
      </c>
      <c r="X17" s="403">
        <f>Scenarios!AY16</f>
        <v>164480.69210705263</v>
      </c>
      <c r="Y17" s="426">
        <f t="shared" si="6"/>
        <v>120.48477891209998</v>
      </c>
      <c r="AA17" s="403">
        <f>Scenarios!BD16</f>
        <v>118909.06801146767</v>
      </c>
      <c r="AB17" s="426">
        <f t="shared" si="7"/>
        <v>87.102823963562571</v>
      </c>
      <c r="AD17" s="403">
        <f>Scenarios!BI16</f>
        <v>323954.92231113277</v>
      </c>
      <c r="AE17" s="426">
        <f t="shared" si="8"/>
        <v>237.30224315167359</v>
      </c>
    </row>
    <row r="18" spans="2:31">
      <c r="B18" s="360">
        <v>2027</v>
      </c>
      <c r="D18" s="403">
        <f>Scenarios!H17</f>
        <v>210747.77241815592</v>
      </c>
      <c r="E18" s="426">
        <f t="shared" si="0"/>
        <v>154.37616683599984</v>
      </c>
      <c r="G18" s="403">
        <f>Scenarios!M17</f>
        <v>145764.35172476358</v>
      </c>
      <c r="H18" s="426">
        <f t="shared" si="1"/>
        <v>106.77475554026245</v>
      </c>
      <c r="J18" s="403">
        <f>Scenarios!R17</f>
        <v>516162.20600965025</v>
      </c>
      <c r="K18" s="426">
        <f t="shared" si="2"/>
        <v>378.09720081538944</v>
      </c>
      <c r="N18" s="403">
        <f>Scenarios!AD17</f>
        <v>196984.19564181133</v>
      </c>
      <c r="O18" s="426">
        <f t="shared" si="3"/>
        <v>144.29412326180159</v>
      </c>
      <c r="Q18" s="403">
        <f>Scenarios!AI17</f>
        <v>136244.731074932</v>
      </c>
      <c r="R18" s="426">
        <f t="shared" si="4"/>
        <v>99.801478770637047</v>
      </c>
      <c r="T18" s="403">
        <f>Scenarios!AN17</f>
        <v>482452.53463354986</v>
      </c>
      <c r="U18" s="426">
        <f t="shared" si="5"/>
        <v>353.40431892803963</v>
      </c>
      <c r="X18" s="403">
        <f>Scenarios!AY17</f>
        <v>184457.22633806046</v>
      </c>
      <c r="Y18" s="426">
        <f t="shared" si="6"/>
        <v>135.11791474962712</v>
      </c>
      <c r="AA18" s="403">
        <f>Scenarios!BD17</f>
        <v>127580.41382647149</v>
      </c>
      <c r="AB18" s="426">
        <f t="shared" si="7"/>
        <v>93.45472563668487</v>
      </c>
      <c r="AD18" s="403">
        <f>Scenarios!BI17</f>
        <v>451771.55501394195</v>
      </c>
      <c r="AE18" s="426">
        <f t="shared" si="8"/>
        <v>330.93000295258662</v>
      </c>
    </row>
    <row r="19" spans="2:31">
      <c r="B19" s="360">
        <v>2028</v>
      </c>
      <c r="D19" s="403">
        <f>Scenarios!H18</f>
        <v>237419.06770786599</v>
      </c>
      <c r="E19" s="426">
        <f t="shared" si="0"/>
        <v>173.91332390358167</v>
      </c>
      <c r="G19" s="403">
        <f>Scenarios!M18</f>
        <v>157270.69575697396</v>
      </c>
      <c r="H19" s="426">
        <f t="shared" si="1"/>
        <v>115.20333946125621</v>
      </c>
      <c r="J19" s="403">
        <f>Scenarios!R18</f>
        <v>725900.75783864828</v>
      </c>
      <c r="K19" s="426">
        <f t="shared" si="2"/>
        <v>531.73409717531968</v>
      </c>
      <c r="N19" s="403">
        <f>Scenarios!AD18</f>
        <v>220980.88606498064</v>
      </c>
      <c r="O19" s="426">
        <f t="shared" si="3"/>
        <v>161.87208881642059</v>
      </c>
      <c r="Q19" s="403">
        <f>Scenarios!AI18</f>
        <v>146381.7461502089</v>
      </c>
      <c r="R19" s="426">
        <f t="shared" si="4"/>
        <v>107.22700698630408</v>
      </c>
      <c r="T19" s="403">
        <f>Scenarios!AN18</f>
        <v>675641.57424711704</v>
      </c>
      <c r="U19" s="426">
        <f t="shared" si="5"/>
        <v>494.91842874788472</v>
      </c>
      <c r="X19" s="403">
        <f>Scenarios!AY18</f>
        <v>205721.76056906834</v>
      </c>
      <c r="Y19" s="426">
        <f t="shared" si="6"/>
        <v>150.69453151036063</v>
      </c>
      <c r="AA19" s="403">
        <f>Scenarios!BD18</f>
        <v>136273.82471595419</v>
      </c>
      <c r="AB19" s="426">
        <f t="shared" si="7"/>
        <v>99.822790335304006</v>
      </c>
      <c r="AD19" s="403">
        <f>Scenarios!BI18</f>
        <v>628987.31488886254</v>
      </c>
      <c r="AE19" s="426">
        <f t="shared" si="8"/>
        <v>460.74342588232923</v>
      </c>
    </row>
    <row r="20" spans="2:31">
      <c r="B20" s="360">
        <v>2029</v>
      </c>
      <c r="D20" s="403">
        <f>Scenarios!H19</f>
        <v>266081.65529007599</v>
      </c>
      <c r="E20" s="426">
        <f t="shared" si="0"/>
        <v>194.90913492341622</v>
      </c>
      <c r="G20" s="403">
        <f>Scenarios!M19</f>
        <v>168999.23822656425</v>
      </c>
      <c r="H20" s="426">
        <f t="shared" si="1"/>
        <v>123.79468734718336</v>
      </c>
      <c r="J20" s="403">
        <f>Scenarios!R19</f>
        <v>1018429.4999016544</v>
      </c>
      <c r="K20" s="426">
        <f t="shared" si="2"/>
        <v>746.01615278557074</v>
      </c>
      <c r="N20" s="403">
        <f>Scenarios!AD19</f>
        <v>246636.94420814991</v>
      </c>
      <c r="O20" s="426">
        <f t="shared" si="3"/>
        <v>180.66556818191253</v>
      </c>
      <c r="Q20" s="403">
        <f>Scenarios!AI19</f>
        <v>156649.1145143577</v>
      </c>
      <c r="R20" s="426">
        <f t="shared" si="4"/>
        <v>114.74802110362319</v>
      </c>
      <c r="T20" s="403">
        <f>Scenarios!AN19</f>
        <v>944004.72469004022</v>
      </c>
      <c r="U20" s="426">
        <f t="shared" si="5"/>
        <v>691.49879593302376</v>
      </c>
      <c r="X20" s="403">
        <f>Scenarios!AY19</f>
        <v>228279.09480007616</v>
      </c>
      <c r="Y20" s="426">
        <f t="shared" si="6"/>
        <v>167.21814527227517</v>
      </c>
      <c r="AA20" s="403">
        <f>Scenarios!BD19</f>
        <v>144989.30067991573</v>
      </c>
      <c r="AB20" s="426">
        <f t="shared" si="7"/>
        <v>106.20701805941998</v>
      </c>
      <c r="AD20" s="403">
        <f>Scenarios!BI19</f>
        <v>873739.92055857053</v>
      </c>
      <c r="AE20" s="426">
        <f t="shared" si="8"/>
        <v>640.0286854742709</v>
      </c>
    </row>
    <row r="21" spans="2:31">
      <c r="B21" s="360">
        <v>2030</v>
      </c>
      <c r="D21" s="403">
        <f>Scenarios!H20</f>
        <v>296783.87184728601</v>
      </c>
      <c r="E21" s="426">
        <f t="shared" si="0"/>
        <v>217.39900730065105</v>
      </c>
      <c r="G21" s="403">
        <f>Scenarios!M20</f>
        <v>180949.97913353448</v>
      </c>
      <c r="H21" s="426">
        <f t="shared" si="1"/>
        <v>132.54879919804392</v>
      </c>
      <c r="J21" s="403">
        <f>Scenarios!R20</f>
        <v>1424228.8356624753</v>
      </c>
      <c r="K21" s="426">
        <f t="shared" si="2"/>
        <v>1043.2707583291665</v>
      </c>
      <c r="N21" s="403">
        <f>Scenarios!AD20</f>
        <v>273980.73718627705</v>
      </c>
      <c r="O21" s="426">
        <f t="shared" si="3"/>
        <v>200.69534073080018</v>
      </c>
      <c r="Q21" s="403">
        <f>Scenarios!AI20</f>
        <v>167046.84243204977</v>
      </c>
      <c r="R21" s="426">
        <f t="shared" si="4"/>
        <v>122.36452571156786</v>
      </c>
      <c r="T21" s="403">
        <f>Scenarios!AN20</f>
        <v>1314799.4326239747</v>
      </c>
      <c r="U21" s="426">
        <f t="shared" si="5"/>
        <v>963.11194295285702</v>
      </c>
      <c r="X21" s="403">
        <f>Scenarios!AY20</f>
        <v>252134.02903108401</v>
      </c>
      <c r="Y21" s="426">
        <f t="shared" si="6"/>
        <v>184.69227211334544</v>
      </c>
      <c r="AA21" s="403">
        <f>Scenarios!BD20</f>
        <v>153726.84171835615</v>
      </c>
      <c r="AB21" s="426">
        <f t="shared" si="7"/>
        <v>112.6074088090328</v>
      </c>
      <c r="AD21" s="403">
        <f>Scenarios!BI20</f>
        <v>1209959.8012610581</v>
      </c>
      <c r="AE21" s="426">
        <f t="shared" si="8"/>
        <v>886.31520988849343</v>
      </c>
    </row>
    <row r="22" spans="2:31">
      <c r="B22" s="360">
        <v>2031</v>
      </c>
      <c r="D22" s="403">
        <f>Scenarios!H21</f>
        <v>329574.05406199599</v>
      </c>
      <c r="E22" s="426">
        <f t="shared" si="0"/>
        <v>241.41834844043342</v>
      </c>
      <c r="G22" s="403">
        <f>Scenarios!M21</f>
        <v>237963.6092216151</v>
      </c>
      <c r="H22" s="426">
        <f t="shared" si="1"/>
        <v>174.31220940833026</v>
      </c>
      <c r="J22" s="403">
        <f>Scenarios!R21</f>
        <v>1983030.0768467926</v>
      </c>
      <c r="K22" s="426">
        <f t="shared" si="2"/>
        <v>1452.6017450694189</v>
      </c>
      <c r="N22" s="403">
        <f>Scenarios!AD21</f>
        <v>302368.14159186638</v>
      </c>
      <c r="O22" s="426">
        <f t="shared" si="3"/>
        <v>221.48957560348495</v>
      </c>
      <c r="Q22" s="403">
        <f>Scenarios!AI21</f>
        <v>218320.02064488336</v>
      </c>
      <c r="R22" s="426">
        <f t="shared" si="4"/>
        <v>159.92296167117112</v>
      </c>
      <c r="T22" s="403">
        <f>Scenarios!AN21</f>
        <v>1819333.5053740281</v>
      </c>
      <c r="U22" s="426">
        <f t="shared" si="5"/>
        <v>1332.6913472597594</v>
      </c>
      <c r="X22" s="403">
        <f>Scenarios!AY21</f>
        <v>269787.34441092698</v>
      </c>
      <c r="Y22" s="426">
        <f t="shared" si="6"/>
        <v>197.62361240234193</v>
      </c>
      <c r="AA22" s="403">
        <f>Scenarios!BD21</f>
        <v>194795.58359367258</v>
      </c>
      <c r="AB22" s="426">
        <f t="shared" si="7"/>
        <v>142.69092938313813</v>
      </c>
      <c r="AD22" s="403">
        <f>Scenarios!BI21</f>
        <v>1623296.5299472716</v>
      </c>
      <c r="AE22" s="426">
        <f t="shared" si="8"/>
        <v>1189.091078192818</v>
      </c>
    </row>
    <row r="23" spans="2:31">
      <c r="B23" s="360">
        <v>2032</v>
      </c>
      <c r="D23" s="403">
        <f>Scenarios!H22</f>
        <v>364500.53861670598</v>
      </c>
      <c r="E23" s="426">
        <f t="shared" si="0"/>
        <v>267.00256574791075</v>
      </c>
      <c r="G23" s="403">
        <f>Scenarios!M22</f>
        <v>329386.98359402362</v>
      </c>
      <c r="H23" s="426">
        <f t="shared" si="1"/>
        <v>241.28131628373524</v>
      </c>
      <c r="J23" s="403">
        <f>Scenarios!R22</f>
        <v>2744891.5299501969</v>
      </c>
      <c r="K23" s="426">
        <f t="shared" si="2"/>
        <v>2010.6776356977937</v>
      </c>
      <c r="N23" s="403">
        <f>Scenarios!AD22</f>
        <v>332373.52441905777</v>
      </c>
      <c r="O23" s="426">
        <f t="shared" si="3"/>
        <v>243.46900595360847</v>
      </c>
      <c r="Q23" s="403">
        <f>Scenarios!AI22</f>
        <v>300354.87204048334</v>
      </c>
      <c r="R23" s="426">
        <f t="shared" si="4"/>
        <v>220.01482295208578</v>
      </c>
      <c r="T23" s="403">
        <f>Scenarios!AN22</f>
        <v>2502957.267004028</v>
      </c>
      <c r="U23" s="426">
        <f t="shared" si="5"/>
        <v>1833.4568579340482</v>
      </c>
      <c r="X23" s="403">
        <f>Scenarios!AY22</f>
        <v>287336.65979076998</v>
      </c>
      <c r="Y23" s="426">
        <f t="shared" si="6"/>
        <v>210.478771001887</v>
      </c>
      <c r="AA23" s="403">
        <f>Scenarios!BD22</f>
        <v>259656.55909219023</v>
      </c>
      <c r="AB23" s="426">
        <f t="shared" si="7"/>
        <v>190.20264758454127</v>
      </c>
      <c r="AD23" s="403">
        <f>Scenarios!BI22</f>
        <v>2163804.6591015854</v>
      </c>
      <c r="AE23" s="426">
        <f t="shared" si="8"/>
        <v>1585.0220632045105</v>
      </c>
    </row>
    <row r="24" spans="2:31">
      <c r="B24" s="360">
        <v>2033</v>
      </c>
      <c r="D24" s="403">
        <f>Scenarios!H23</f>
        <v>401611.66219391604</v>
      </c>
      <c r="E24" s="426">
        <f t="shared" si="0"/>
        <v>294.18706662823053</v>
      </c>
      <c r="G24" s="403">
        <f>Scenarios!M23</f>
        <v>452377.64025000611</v>
      </c>
      <c r="H24" s="426">
        <f t="shared" si="1"/>
        <v>331.37397023369186</v>
      </c>
      <c r="J24" s="403">
        <f>Scenarios!R23</f>
        <v>3769813.6687500509</v>
      </c>
      <c r="K24" s="426">
        <f t="shared" si="2"/>
        <v>2761.4497519474321</v>
      </c>
      <c r="N24" s="403">
        <f>Scenarios!AD23</f>
        <v>364016.20736624917</v>
      </c>
      <c r="O24" s="426">
        <f t="shared" si="3"/>
        <v>266.64778523912298</v>
      </c>
      <c r="Q24" s="403">
        <f>Scenarios!AI23</f>
        <v>410029.90800000553</v>
      </c>
      <c r="R24" s="426">
        <f t="shared" si="4"/>
        <v>300.35356843328293</v>
      </c>
      <c r="T24" s="403">
        <f>Scenarios!AN23</f>
        <v>3416915.900000046</v>
      </c>
      <c r="U24" s="426">
        <f t="shared" si="5"/>
        <v>2502.9464036106906</v>
      </c>
      <c r="X24" s="403">
        <f>Scenarios!AY23</f>
        <v>304685.97517061298</v>
      </c>
      <c r="Y24" s="426">
        <f t="shared" si="6"/>
        <v>223.18742635248697</v>
      </c>
      <c r="AA24" s="403">
        <f>Scenarios!BD23</f>
        <v>343200.0000000046</v>
      </c>
      <c r="AB24" s="426">
        <f t="shared" si="7"/>
        <v>251.39957518977539</v>
      </c>
      <c r="AD24" s="403">
        <f>Scenarios!BI23</f>
        <v>2860000.0000000386</v>
      </c>
      <c r="AE24" s="426">
        <f t="shared" si="8"/>
        <v>2094.9964599147947</v>
      </c>
    </row>
    <row r="25" spans="2:31">
      <c r="B25" s="360">
        <v>2034</v>
      </c>
      <c r="D25" s="403">
        <f>Scenarios!H24</f>
        <v>440955.76147612609</v>
      </c>
      <c r="E25" s="426">
        <f t="shared" si="0"/>
        <v>323.00725848654002</v>
      </c>
      <c r="G25" s="403">
        <f>Scenarios!M24</f>
        <v>614934.69709380111</v>
      </c>
      <c r="H25" s="426">
        <f t="shared" si="1"/>
        <v>450.44965506652892</v>
      </c>
      <c r="J25" s="403">
        <f>Scenarios!R24</f>
        <v>5124455.8091150094</v>
      </c>
      <c r="K25" s="426">
        <f t="shared" si="2"/>
        <v>3753.7471255544074</v>
      </c>
      <c r="N25" s="403">
        <f>Scenarios!AD24</f>
        <v>397315.51427344058</v>
      </c>
      <c r="O25" s="426">
        <f t="shared" si="3"/>
        <v>291.04006848673879</v>
      </c>
      <c r="Q25" s="403">
        <f>Scenarios!AI24</f>
        <v>554076.20619927871</v>
      </c>
      <c r="R25" s="426">
        <f t="shared" si="4"/>
        <v>405.8698218568158</v>
      </c>
      <c r="T25" s="403">
        <f>Scenarios!AN24</f>
        <v>4617301.718327323</v>
      </c>
      <c r="U25" s="426">
        <f t="shared" si="5"/>
        <v>3382.2485154734654</v>
      </c>
      <c r="X25" s="403">
        <f>Scenarios!AY24</f>
        <v>321739.29055045597</v>
      </c>
      <c r="Y25" s="426">
        <f t="shared" si="6"/>
        <v>235.6792568946482</v>
      </c>
      <c r="AA25" s="403">
        <f>Scenarios!BD24</f>
        <v>448681.41084155196</v>
      </c>
      <c r="AB25" s="426">
        <f t="shared" si="7"/>
        <v>328.66642214776726</v>
      </c>
      <c r="AD25" s="403">
        <f>Scenarios!BI24</f>
        <v>3739011.7570129326</v>
      </c>
      <c r="AE25" s="426">
        <f t="shared" si="8"/>
        <v>2738.8868512313934</v>
      </c>
    </row>
    <row r="26" spans="2:31">
      <c r="B26" s="360">
        <v>2035</v>
      </c>
      <c r="D26" s="403">
        <f>Scenarios!H25</f>
        <v>482581.17314583616</v>
      </c>
      <c r="E26" s="426">
        <f t="shared" si="0"/>
        <v>353.49854872798664</v>
      </c>
      <c r="G26" s="403">
        <f>Scenarios!M25</f>
        <v>824904.11273606936</v>
      </c>
      <c r="H26" s="426">
        <f t="shared" si="1"/>
        <v>604.25566291999894</v>
      </c>
      <c r="J26" s="403">
        <f>Scenarios!R25</f>
        <v>6874200.9394672448</v>
      </c>
      <c r="K26" s="426">
        <f t="shared" si="2"/>
        <v>5035.4638576666575</v>
      </c>
      <c r="N26" s="403">
        <f>Scenarios!AD25</f>
        <v>432290.79039052426</v>
      </c>
      <c r="O26" s="426">
        <f t="shared" si="3"/>
        <v>316.66002640626044</v>
      </c>
      <c r="Q26" s="403">
        <f>Scenarios!AI25</f>
        <v>738939.83175200538</v>
      </c>
      <c r="R26" s="426">
        <f t="shared" si="4"/>
        <v>541.28543063302959</v>
      </c>
      <c r="T26" s="403">
        <f>Scenarios!AN25</f>
        <v>6157831.9312667111</v>
      </c>
      <c r="U26" s="426">
        <f t="shared" si="5"/>
        <v>4510.7119219419128</v>
      </c>
      <c r="X26" s="403">
        <f>Scenarios!AY25</f>
        <v>338400.60593029897</v>
      </c>
      <c r="Y26" s="426">
        <f t="shared" si="6"/>
        <v>247.88394106887705</v>
      </c>
      <c r="AA26" s="403">
        <f>Scenarios!BD25</f>
        <v>578447.86974298919</v>
      </c>
      <c r="AB26" s="426">
        <f t="shared" si="7"/>
        <v>423.72246131356655</v>
      </c>
      <c r="AD26" s="403">
        <f>Scenarios!BI25</f>
        <v>4820398.91452491</v>
      </c>
      <c r="AE26" s="426">
        <f t="shared" si="8"/>
        <v>3531.0205109463882</v>
      </c>
    </row>
    <row r="27" spans="2:31">
      <c r="B27" s="360">
        <v>2036</v>
      </c>
      <c r="D27" s="403">
        <f>Scenarios!H26</f>
        <v>526536.23388554621</v>
      </c>
      <c r="E27" s="426">
        <f t="shared" si="0"/>
        <v>385.69634475771778</v>
      </c>
      <c r="G27" s="403">
        <f>Scenarios!M26</f>
        <v>1088316.4001610281</v>
      </c>
      <c r="H27" s="426">
        <f t="shared" si="1"/>
        <v>797.20944251906872</v>
      </c>
      <c r="J27" s="403">
        <f>Scenarios!R26</f>
        <v>9069303.3346752357</v>
      </c>
      <c r="K27" s="426">
        <f t="shared" si="2"/>
        <v>6643.4120209922403</v>
      </c>
      <c r="N27" s="403">
        <f>Scenarios!AD26</f>
        <v>469237.9577199358</v>
      </c>
      <c r="O27" s="426">
        <f t="shared" si="3"/>
        <v>343.72442667164347</v>
      </c>
      <c r="Q27" s="403">
        <f>Scenarios!AI26</f>
        <v>969884.56273206871</v>
      </c>
      <c r="R27" s="426">
        <f t="shared" si="4"/>
        <v>710.45619770967312</v>
      </c>
      <c r="T27" s="403">
        <f>Scenarios!AN26</f>
        <v>8082371.3561005732</v>
      </c>
      <c r="U27" s="426">
        <f t="shared" si="5"/>
        <v>5920.4683142472777</v>
      </c>
      <c r="X27" s="403">
        <f>Scenarios!AY26</f>
        <v>354573.92131014203</v>
      </c>
      <c r="Y27" s="426">
        <f t="shared" si="6"/>
        <v>259.73115731567992</v>
      </c>
      <c r="AA27" s="403">
        <f>Scenarios!BD26</f>
        <v>732881.40264078102</v>
      </c>
      <c r="AB27" s="426">
        <f t="shared" si="7"/>
        <v>536.84753289154025</v>
      </c>
      <c r="AD27" s="403">
        <f>Scenarios!BI26</f>
        <v>6107345.0220065089</v>
      </c>
      <c r="AE27" s="426">
        <f t="shared" si="8"/>
        <v>4473.7294407628351</v>
      </c>
    </row>
    <row r="28" spans="2:31">
      <c r="B28" s="360">
        <v>2037</v>
      </c>
      <c r="D28" s="403">
        <f>Scenarios!H27</f>
        <v>572869.28037775622</v>
      </c>
      <c r="E28" s="426">
        <f t="shared" si="0"/>
        <v>419.63605398088083</v>
      </c>
      <c r="G28" s="403">
        <f>Scenarios!M27</f>
        <v>1407116.0819619084</v>
      </c>
      <c r="H28" s="426">
        <f t="shared" si="1"/>
        <v>1030.7353882515156</v>
      </c>
      <c r="J28" s="403">
        <f>Scenarios!R27</f>
        <v>11725967.34968257</v>
      </c>
      <c r="K28" s="426">
        <f t="shared" si="2"/>
        <v>8589.4615687626301</v>
      </c>
      <c r="N28" s="403">
        <f>Scenarios!AD27</f>
        <v>507942.23423252802</v>
      </c>
      <c r="O28" s="426">
        <f t="shared" si="3"/>
        <v>372.07593795746271</v>
      </c>
      <c r="Q28" s="403">
        <f>Scenarios!AI27</f>
        <v>1247638.3548179604</v>
      </c>
      <c r="R28" s="426">
        <f t="shared" si="4"/>
        <v>913.91536244668214</v>
      </c>
      <c r="T28" s="403">
        <f>Scenarios!AN27</f>
        <v>10396986.29014967</v>
      </c>
      <c r="U28" s="426">
        <f t="shared" si="5"/>
        <v>7615.9613537223504</v>
      </c>
      <c r="X28" s="403">
        <f>Scenarios!AY27</f>
        <v>370163.23668998503</v>
      </c>
      <c r="Y28" s="426">
        <f t="shared" si="6"/>
        <v>271.15058407556313</v>
      </c>
      <c r="AA28" s="403">
        <f>Scenarios!BD27</f>
        <v>909217.27021928586</v>
      </c>
      <c r="AB28" s="426">
        <f t="shared" si="7"/>
        <v>666.01642042054948</v>
      </c>
      <c r="AD28" s="403">
        <f>Scenarios!BI27</f>
        <v>7576810.5851607146</v>
      </c>
      <c r="AE28" s="426">
        <f t="shared" si="8"/>
        <v>5550.1368368379126</v>
      </c>
    </row>
    <row r="29" spans="2:31">
      <c r="B29" s="360">
        <v>2038</v>
      </c>
      <c r="D29" s="403">
        <f>Scenarios!H28</f>
        <v>621628.64930496633</v>
      </c>
      <c r="E29" s="426">
        <f t="shared" si="0"/>
        <v>455.35308380262319</v>
      </c>
      <c r="G29" s="403">
        <f>Scenarios!M28</f>
        <v>1776863.6987153452</v>
      </c>
      <c r="H29" s="426">
        <f t="shared" si="1"/>
        <v>1301.5815239719254</v>
      </c>
      <c r="J29" s="403">
        <f>Scenarios!R28</f>
        <v>14807197.489294546</v>
      </c>
      <c r="K29" s="426">
        <f t="shared" si="2"/>
        <v>10846.512699766046</v>
      </c>
      <c r="N29" s="403">
        <f>Scenarios!AD28</f>
        <v>548425.40034512023</v>
      </c>
      <c r="O29" s="426">
        <f t="shared" si="3"/>
        <v>401.73051477285509</v>
      </c>
      <c r="Q29" s="403">
        <f>Scenarios!AI28</f>
        <v>1567619.4886066185</v>
      </c>
      <c r="R29" s="426">
        <f t="shared" si="4"/>
        <v>1148.3067409525395</v>
      </c>
      <c r="T29" s="403">
        <f>Scenarios!AN28</f>
        <v>13063495.73838849</v>
      </c>
      <c r="U29" s="426">
        <f t="shared" si="5"/>
        <v>9569.2228412711647</v>
      </c>
      <c r="X29" s="403">
        <f>Scenarios!AY28</f>
        <v>385072.55206982803</v>
      </c>
      <c r="Y29" s="426">
        <f t="shared" si="6"/>
        <v>282.07189978903301</v>
      </c>
      <c r="AA29" s="403">
        <f>Scenarios!BD28</f>
        <v>1100691.6105130769</v>
      </c>
      <c r="AB29" s="426">
        <f t="shared" si="7"/>
        <v>806.27448513383888</v>
      </c>
      <c r="AD29" s="403">
        <f>Scenarios!BI28</f>
        <v>9172430.0876089744</v>
      </c>
      <c r="AE29" s="426">
        <f t="shared" si="8"/>
        <v>6718.9540427819911</v>
      </c>
    </row>
    <row r="30" spans="2:31">
      <c r="B30" s="360">
        <v>2039</v>
      </c>
      <c r="D30" s="403">
        <f>Scenarios!H29</f>
        <v>672862.67734967649</v>
      </c>
      <c r="E30" s="426">
        <f t="shared" si="0"/>
        <v>492.88284162809236</v>
      </c>
      <c r="G30" s="403">
        <f>Scenarios!M29</f>
        <v>2185489.8664942221</v>
      </c>
      <c r="H30" s="426">
        <f t="shared" si="1"/>
        <v>1600.9068298898571</v>
      </c>
      <c r="J30" s="403">
        <f>Scenarios!R29</f>
        <v>18212415.554118518</v>
      </c>
      <c r="K30" s="426">
        <f t="shared" si="2"/>
        <v>13340.890249082144</v>
      </c>
      <c r="N30" s="403">
        <f>Scenarios!AD29</f>
        <v>590709.23281771259</v>
      </c>
      <c r="O30" s="426">
        <f t="shared" si="3"/>
        <v>432.70410894827819</v>
      </c>
      <c r="Q30" s="403">
        <f>Scenarios!AI29</f>
        <v>1918651.5849753094</v>
      </c>
      <c r="R30" s="426">
        <f t="shared" si="4"/>
        <v>1405.4434539626327</v>
      </c>
      <c r="T30" s="403">
        <f>Scenarios!AN29</f>
        <v>15988763.208127579</v>
      </c>
      <c r="U30" s="426">
        <f t="shared" si="5"/>
        <v>11712.028783021939</v>
      </c>
      <c r="X30" s="403">
        <f>Scenarios!AY29</f>
        <v>399205.86744967109</v>
      </c>
      <c r="Y30" s="426">
        <f t="shared" si="6"/>
        <v>292.42478289659601</v>
      </c>
      <c r="AA30" s="403">
        <f>Scenarios!BD29</f>
        <v>1296639.5779192364</v>
      </c>
      <c r="AB30" s="426">
        <f t="shared" si="7"/>
        <v>949.8095543797823</v>
      </c>
      <c r="AD30" s="403">
        <f>Scenarios!BI29</f>
        <v>10805329.815993637</v>
      </c>
      <c r="AE30" s="426">
        <f t="shared" si="8"/>
        <v>7915.0796198315202</v>
      </c>
    </row>
    <row r="31" spans="2:31">
      <c r="B31" s="360">
        <v>2040</v>
      </c>
      <c r="D31" s="403">
        <f>Scenarios!H30</f>
        <v>726619.70119438658</v>
      </c>
      <c r="E31" s="426">
        <f t="shared" si="0"/>
        <v>532.26073486243547</v>
      </c>
      <c r="G31" s="403">
        <f>Scenarios!M30</f>
        <v>2614208.9974382389</v>
      </c>
      <c r="H31" s="426">
        <f t="shared" si="1"/>
        <v>1914.9505577309237</v>
      </c>
      <c r="J31" s="403">
        <f>Scenarios!R30</f>
        <v>21785074.978651993</v>
      </c>
      <c r="K31" s="426">
        <f t="shared" si="2"/>
        <v>15957.921314424366</v>
      </c>
      <c r="N31" s="403">
        <f>Scenarios!AD30</f>
        <v>634815.53701153805</v>
      </c>
      <c r="O31" s="426">
        <f t="shared" si="3"/>
        <v>465.01269326505729</v>
      </c>
      <c r="Q31" s="403">
        <f>Scenarios!AI30</f>
        <v>2283918.9273856296</v>
      </c>
      <c r="R31" s="426">
        <f t="shared" si="4"/>
        <v>1673.0077159458831</v>
      </c>
      <c r="T31" s="403">
        <f>Scenarios!AN30</f>
        <v>19032657.728213582</v>
      </c>
      <c r="U31" s="426">
        <f t="shared" si="5"/>
        <v>13941.730966215693</v>
      </c>
      <c r="X31" s="403">
        <f>Scenarios!AY30</f>
        <v>412467.18282951415</v>
      </c>
      <c r="Y31" s="426">
        <f t="shared" si="6"/>
        <v>302.13891183875842</v>
      </c>
      <c r="AA31" s="403">
        <f>Scenarios!BD30</f>
        <v>1483961.1680339738</v>
      </c>
      <c r="AB31" s="426">
        <f t="shared" si="7"/>
        <v>1087.0256621266285</v>
      </c>
      <c r="AD31" s="403">
        <f>Scenarios!BI30</f>
        <v>12366343.066949783</v>
      </c>
      <c r="AE31" s="426">
        <f t="shared" si="8"/>
        <v>9058.5471843885716</v>
      </c>
    </row>
    <row r="32" spans="2:31">
      <c r="B32" s="360">
        <v>2041</v>
      </c>
      <c r="D32" s="403">
        <f>Scenarios!H31</f>
        <v>782948.05752159643</v>
      </c>
      <c r="E32" s="426">
        <f t="shared" si="0"/>
        <v>573.5221709107999</v>
      </c>
      <c r="G32" s="403">
        <f>Scenarios!M31</f>
        <v>3040857.5727146985</v>
      </c>
      <c r="H32" s="426">
        <f t="shared" si="1"/>
        <v>2227.4775699098964</v>
      </c>
      <c r="J32" s="403">
        <f>Scenarios!R31</f>
        <v>25340479.772622488</v>
      </c>
      <c r="K32" s="426">
        <f t="shared" si="2"/>
        <v>18562.31308258247</v>
      </c>
      <c r="N32" s="403">
        <f>Scenarios!AD31</f>
        <v>680919.72126319481</v>
      </c>
      <c r="O32" s="426">
        <f t="shared" si="3"/>
        <v>498.78475717921077</v>
      </c>
      <c r="Q32" s="403">
        <f>Scenarios!AI31</f>
        <v>2644594.1987113925</v>
      </c>
      <c r="R32" s="426">
        <f t="shared" si="4"/>
        <v>1937.2082112627609</v>
      </c>
      <c r="T32" s="403">
        <f>Scenarios!AN31</f>
        <v>22038284.989261605</v>
      </c>
      <c r="U32" s="426">
        <f t="shared" si="5"/>
        <v>16143.401760523009</v>
      </c>
      <c r="X32" s="403">
        <f>Scenarios!AY31</f>
        <v>444276.52110005723</v>
      </c>
      <c r="Y32" s="426">
        <f t="shared" si="6"/>
        <v>325.43976885589791</v>
      </c>
      <c r="AA32" s="403">
        <f>Scenarios!BD31</f>
        <v>1725506.0672133868</v>
      </c>
      <c r="AB32" s="426">
        <f t="shared" si="7"/>
        <v>1263.9612246061176</v>
      </c>
      <c r="AD32" s="403">
        <f>Scenarios!BI31</f>
        <v>14379217.226778224</v>
      </c>
      <c r="AE32" s="426">
        <f t="shared" si="8"/>
        <v>10533.010205050981</v>
      </c>
    </row>
    <row r="33" spans="2:31">
      <c r="B33" s="360">
        <v>2042</v>
      </c>
      <c r="D33" s="403">
        <f>Scenarios!H32</f>
        <v>841896.08301380649</v>
      </c>
      <c r="E33" s="426">
        <f t="shared" si="0"/>
        <v>616.70255717833334</v>
      </c>
      <c r="G33" s="403">
        <f>Scenarios!M32</f>
        <v>3444543.6315151397</v>
      </c>
      <c r="H33" s="426">
        <f t="shared" si="1"/>
        <v>2523.1841657504101</v>
      </c>
      <c r="J33" s="403">
        <f>Scenarios!R32</f>
        <v>28704530.262626164</v>
      </c>
      <c r="K33" s="426">
        <f t="shared" si="2"/>
        <v>21026.534714586749</v>
      </c>
      <c r="N33" s="403">
        <f>Scenarios!AD32</f>
        <v>728909.83470272913</v>
      </c>
      <c r="O33" s="426">
        <f t="shared" si="3"/>
        <v>533.93829485988647</v>
      </c>
      <c r="Q33" s="403">
        <f>Scenarios!AI32</f>
        <v>2982270.3534693415</v>
      </c>
      <c r="R33" s="426">
        <f t="shared" si="4"/>
        <v>2184.5614800793815</v>
      </c>
      <c r="T33" s="403">
        <f>Scenarios!AN32</f>
        <v>24852252.945577845</v>
      </c>
      <c r="U33" s="426">
        <f t="shared" si="5"/>
        <v>18204.679000661512</v>
      </c>
      <c r="X33" s="403">
        <f>Scenarios!AY32</f>
        <v>477551.45937060041</v>
      </c>
      <c r="Y33" s="426">
        <f t="shared" si="6"/>
        <v>349.81420168130711</v>
      </c>
      <c r="AA33" s="403">
        <f>Scenarios!BD32</f>
        <v>1953859.7117677606</v>
      </c>
      <c r="AB33" s="426">
        <f t="shared" si="7"/>
        <v>1431.2339787844562</v>
      </c>
      <c r="AD33" s="403">
        <f>Scenarios!BI32</f>
        <v>16282164.264731338</v>
      </c>
      <c r="AE33" s="426">
        <f t="shared" si="8"/>
        <v>11926.949823203802</v>
      </c>
    </row>
    <row r="34" spans="2:31">
      <c r="B34" s="360">
        <v>2043</v>
      </c>
      <c r="D34" s="403">
        <f>Scenarios!H33</f>
        <v>903512.11435351672</v>
      </c>
      <c r="E34" s="426">
        <f t="shared" si="0"/>
        <v>661.837301070183</v>
      </c>
      <c r="G34" s="403">
        <f>Scenarios!M33</f>
        <v>3809658.9611086412</v>
      </c>
      <c r="H34" s="426">
        <f t="shared" si="1"/>
        <v>2790.637075875934</v>
      </c>
      <c r="J34" s="403">
        <f>Scenarios!R33</f>
        <v>31747158.009238675</v>
      </c>
      <c r="K34" s="426">
        <f t="shared" si="2"/>
        <v>23255.308965632783</v>
      </c>
      <c r="N34" s="403">
        <f>Scenarios!AD33</f>
        <v>778808.60738226364</v>
      </c>
      <c r="O34" s="426">
        <f t="shared" si="3"/>
        <v>570.48995643950764</v>
      </c>
      <c r="Q34" s="403">
        <f>Scenarios!AI33</f>
        <v>3283846.6058923118</v>
      </c>
      <c r="R34" s="426">
        <f t="shared" si="4"/>
        <v>2405.470984002628</v>
      </c>
      <c r="T34" s="403">
        <f>Scenarios!AN33</f>
        <v>27365388.382435933</v>
      </c>
      <c r="U34" s="426">
        <f t="shared" si="5"/>
        <v>20045.591533355233</v>
      </c>
      <c r="X34" s="403">
        <f>Scenarios!AY33</f>
        <v>512318.3976411437</v>
      </c>
      <c r="Y34" s="426">
        <f t="shared" si="6"/>
        <v>375.28154874384677</v>
      </c>
      <c r="AA34" s="403">
        <f>Scenarios!BD33</f>
        <v>2160190.5978990998</v>
      </c>
      <c r="AB34" s="426">
        <f t="shared" si="7"/>
        <v>1582.3747046642577</v>
      </c>
      <c r="AD34" s="403">
        <f>Scenarios!BI33</f>
        <v>18001588.315825831</v>
      </c>
      <c r="AE34" s="426">
        <f t="shared" si="8"/>
        <v>13186.455872202148</v>
      </c>
    </row>
    <row r="35" spans="2:31">
      <c r="B35" s="360">
        <v>2044</v>
      </c>
      <c r="D35" s="403">
        <f>Scenarios!H34</f>
        <v>967844.48822322662</v>
      </c>
      <c r="E35" s="426">
        <f t="shared" si="0"/>
        <v>708.96180999149612</v>
      </c>
      <c r="G35" s="403">
        <f>Scenarios!M34</f>
        <v>4127768.0263600247</v>
      </c>
      <c r="H35" s="426">
        <f t="shared" si="1"/>
        <v>3023.6571337669984</v>
      </c>
      <c r="J35" s="403">
        <f>Scenarios!R34</f>
        <v>34398066.88633354</v>
      </c>
      <c r="K35" s="426">
        <f t="shared" si="2"/>
        <v>25197.142781391656</v>
      </c>
      <c r="N35" s="403">
        <f>Scenarios!AD34</f>
        <v>830638.78002179798</v>
      </c>
      <c r="O35" s="426">
        <f t="shared" si="3"/>
        <v>608.45639986489073</v>
      </c>
      <c r="Q35" s="403">
        <f>Scenarios!AI34</f>
        <v>3542598.2576220171</v>
      </c>
      <c r="R35" s="426">
        <f t="shared" si="4"/>
        <v>2595.0107722441767</v>
      </c>
      <c r="T35" s="403">
        <f>Scenarios!AN34</f>
        <v>29521652.146850143</v>
      </c>
      <c r="U35" s="426">
        <f t="shared" si="5"/>
        <v>21625.089768701477</v>
      </c>
      <c r="X35" s="403">
        <f>Scenarios!AY34</f>
        <v>548603.73591168679</v>
      </c>
      <c r="Y35" s="426">
        <f t="shared" si="6"/>
        <v>401.86114847237741</v>
      </c>
      <c r="AA35" s="403">
        <f>Scenarios!BD34</f>
        <v>2339744.6467821659</v>
      </c>
      <c r="AB35" s="426">
        <f t="shared" si="7"/>
        <v>1713.9009622773299</v>
      </c>
      <c r="AD35" s="403">
        <f>Scenarios!BI34</f>
        <v>19497872.056518052</v>
      </c>
      <c r="AE35" s="426">
        <f t="shared" si="8"/>
        <v>14282.508018977753</v>
      </c>
    </row>
    <row r="36" spans="2:31">
      <c r="B36" s="360">
        <v>2045</v>
      </c>
      <c r="D36" s="403">
        <f>Scenarios!H35</f>
        <v>1034941.5413054369</v>
      </c>
      <c r="E36" s="426">
        <f t="shared" si="0"/>
        <v>758.1114913474205</v>
      </c>
      <c r="G36" s="403">
        <f>Scenarios!M35</f>
        <v>4397193.9079187876</v>
      </c>
      <c r="H36" s="426">
        <f t="shared" si="1"/>
        <v>3221.015968758265</v>
      </c>
      <c r="J36" s="403">
        <f>Scenarios!R35</f>
        <v>36643282.565989897</v>
      </c>
      <c r="K36" s="426">
        <f t="shared" si="2"/>
        <v>26841.799739652211</v>
      </c>
      <c r="N36" s="403">
        <f>Scenarios!AD35</f>
        <v>884423.09334133239</v>
      </c>
      <c r="O36" s="426">
        <f t="shared" si="3"/>
        <v>647.8542830828527</v>
      </c>
      <c r="Q36" s="403">
        <f>Scenarios!AI35</f>
        <v>3757680.6832565456</v>
      </c>
      <c r="R36" s="426">
        <f t="shared" si="4"/>
        <v>2752.5621429764215</v>
      </c>
      <c r="T36" s="403">
        <f>Scenarios!AN35</f>
        <v>31314005.693804547</v>
      </c>
      <c r="U36" s="426">
        <f t="shared" si="5"/>
        <v>22938.017858136845</v>
      </c>
      <c r="X36" s="403">
        <f>Scenarios!AY35</f>
        <v>586433.87418223009</v>
      </c>
      <c r="Y36" s="426">
        <f t="shared" si="6"/>
        <v>429.57233929576006</v>
      </c>
      <c r="AA36" s="403">
        <f>Scenarios!BD35</f>
        <v>2491603.0094788587</v>
      </c>
      <c r="AB36" s="426">
        <f t="shared" si="7"/>
        <v>1825.1396798500657</v>
      </c>
      <c r="AD36" s="403">
        <f>Scenarios!BI35</f>
        <v>20763358.412323825</v>
      </c>
      <c r="AE36" s="426">
        <f t="shared" si="8"/>
        <v>15209.497332083884</v>
      </c>
    </row>
    <row r="37" spans="2:31">
      <c r="B37" s="360">
        <v>2046</v>
      </c>
      <c r="D37" s="403">
        <f>Scenarios!H36</f>
        <v>1104851.6102826467</v>
      </c>
      <c r="E37" s="426">
        <f t="shared" si="0"/>
        <v>809.32175254310289</v>
      </c>
      <c r="G37" s="403">
        <f>Scenarios!M36</f>
        <v>4621173.0903210826</v>
      </c>
      <c r="H37" s="426">
        <f t="shared" si="1"/>
        <v>3385.0843583482697</v>
      </c>
      <c r="J37" s="403">
        <f>Scenarios!R36</f>
        <v>38509775.75267569</v>
      </c>
      <c r="K37" s="426">
        <f t="shared" si="2"/>
        <v>28209.036319568913</v>
      </c>
      <c r="N37" s="403">
        <f>Scenarios!AD36</f>
        <v>940184.28806086665</v>
      </c>
      <c r="O37" s="426">
        <f t="shared" si="3"/>
        <v>688.70026404021007</v>
      </c>
      <c r="Q37" s="403">
        <f>Scenarios!AI36</f>
        <v>3932432.4565342064</v>
      </c>
      <c r="R37" s="426">
        <f t="shared" si="4"/>
        <v>2880.5706556968853</v>
      </c>
      <c r="T37" s="403">
        <f>Scenarios!AN36</f>
        <v>32770270.471118387</v>
      </c>
      <c r="U37" s="426">
        <f t="shared" si="5"/>
        <v>24004.755464140711</v>
      </c>
      <c r="X37" s="403">
        <f>Scenarios!AY36</f>
        <v>625835.21245277324</v>
      </c>
      <c r="Y37" s="426">
        <f t="shared" si="6"/>
        <v>458.43445964285519</v>
      </c>
      <c r="AA37" s="403">
        <f>Scenarios!BD36</f>
        <v>2617630.1105469437</v>
      </c>
      <c r="AB37" s="426">
        <f t="shared" si="7"/>
        <v>1917.4565786580931</v>
      </c>
      <c r="AD37" s="403">
        <f>Scenarios!BI36</f>
        <v>21813584.254557867</v>
      </c>
      <c r="AE37" s="426">
        <f t="shared" si="8"/>
        <v>15978.804822150778</v>
      </c>
    </row>
    <row r="38" spans="2:31">
      <c r="B38" s="360">
        <v>2047</v>
      </c>
      <c r="D38" s="403">
        <f>Scenarios!H37</f>
        <v>1177623.031837357</v>
      </c>
      <c r="E38" s="426">
        <f t="shared" si="0"/>
        <v>862.62800098369144</v>
      </c>
      <c r="G38" s="403">
        <f>Scenarios!M37</f>
        <v>4805674.1611540895</v>
      </c>
      <c r="H38" s="426">
        <f t="shared" si="1"/>
        <v>3520.2343899026864</v>
      </c>
      <c r="J38" s="403">
        <f>Scenarios!R37</f>
        <v>40047284.676284082</v>
      </c>
      <c r="K38" s="426">
        <f t="shared" si="2"/>
        <v>29335.286582522389</v>
      </c>
      <c r="N38" s="403">
        <f>Scenarios!AD37</f>
        <v>997945.1049004012</v>
      </c>
      <c r="O38" s="426">
        <f t="shared" si="3"/>
        <v>731.01100068378003</v>
      </c>
      <c r="Q38" s="403">
        <f>Scenarios!AI37</f>
        <v>4072439.8854424059</v>
      </c>
      <c r="R38" s="426">
        <f t="shared" si="4"/>
        <v>2983.1283717543843</v>
      </c>
      <c r="T38" s="403">
        <f>Scenarios!AN37</f>
        <v>33936999.045353383</v>
      </c>
      <c r="U38" s="426">
        <f t="shared" si="5"/>
        <v>24859.4030979532</v>
      </c>
      <c r="X38" s="403">
        <f>Scenarios!AY37</f>
        <v>666834.15072331647</v>
      </c>
      <c r="Y38" s="426">
        <f t="shared" si="6"/>
        <v>488.46684794252377</v>
      </c>
      <c r="AA38" s="403">
        <f>Scenarios!BD37</f>
        <v>2721233.8424684983</v>
      </c>
      <c r="AB38" s="426">
        <f t="shared" si="7"/>
        <v>1993.3479953048118</v>
      </c>
      <c r="AD38" s="403">
        <f>Scenarios!BI37</f>
        <v>22676948.687237486</v>
      </c>
      <c r="AE38" s="426">
        <f t="shared" si="8"/>
        <v>16611.233294206766</v>
      </c>
    </row>
    <row r="39" spans="2:31">
      <c r="B39" s="360">
        <v>2048</v>
      </c>
      <c r="D39" s="403">
        <f>Scenarios!H38</f>
        <v>1253304.1426520671</v>
      </c>
      <c r="E39" s="426">
        <f t="shared" si="0"/>
        <v>918.06564407433291</v>
      </c>
      <c r="G39" s="403">
        <f>Scenarios!M38</f>
        <v>4957603.3546686275</v>
      </c>
      <c r="H39" s="426">
        <f t="shared" si="1"/>
        <v>3631.5249922001208</v>
      </c>
      <c r="J39" s="403">
        <f>Scenarios!R38</f>
        <v>41313361.288905226</v>
      </c>
      <c r="K39" s="426">
        <f t="shared" si="2"/>
        <v>30262.70826833434</v>
      </c>
      <c r="N39" s="403">
        <f>Scenarios!AD38</f>
        <v>1057728.2845799355</v>
      </c>
      <c r="O39" s="426">
        <f t="shared" si="3"/>
        <v>774.80315096037884</v>
      </c>
      <c r="Q39" s="403">
        <f>Scenarios!AI38</f>
        <v>4183978.2647372331</v>
      </c>
      <c r="R39" s="426">
        <f t="shared" si="4"/>
        <v>3064.832046498193</v>
      </c>
      <c r="T39" s="403">
        <f>Scenarios!AN38</f>
        <v>34866485.539476939</v>
      </c>
      <c r="U39" s="426">
        <f t="shared" si="5"/>
        <v>25540.267054151605</v>
      </c>
      <c r="X39" s="403">
        <f>Scenarios!AY38</f>
        <v>709457.08899385971</v>
      </c>
      <c r="Y39" s="426">
        <f t="shared" si="6"/>
        <v>519.68884262362644</v>
      </c>
      <c r="AA39" s="403">
        <f>Scenarios!BD38</f>
        <v>2806347.4177519088</v>
      </c>
      <c r="AB39" s="426">
        <f t="shared" si="7"/>
        <v>2055.6950718465719</v>
      </c>
      <c r="AD39" s="403">
        <f>Scenarios!BI38</f>
        <v>23386228.481265903</v>
      </c>
      <c r="AE39" s="426">
        <f t="shared" si="8"/>
        <v>17130.792265388096</v>
      </c>
    </row>
    <row r="40" spans="2:31">
      <c r="B40" s="360">
        <v>2049</v>
      </c>
      <c r="D40" s="403">
        <f>Scenarios!H39</f>
        <v>1331943.2794092773</v>
      </c>
      <c r="E40" s="426">
        <f t="shared" si="0"/>
        <v>975.6700892201751</v>
      </c>
      <c r="G40" s="403">
        <f>Scenarios!M39</f>
        <v>5083640.9860426737</v>
      </c>
      <c r="H40" s="426">
        <f t="shared" si="1"/>
        <v>3723.8496046283267</v>
      </c>
      <c r="J40" s="403">
        <f>Scenarios!R39</f>
        <v>42363674.883688956</v>
      </c>
      <c r="K40" s="426">
        <f t="shared" si="2"/>
        <v>31032.080038569398</v>
      </c>
      <c r="N40" s="403">
        <f>Scenarios!AD39</f>
        <v>1119556.5678194701</v>
      </c>
      <c r="O40" s="426">
        <f t="shared" si="3"/>
        <v>820.09337281682383</v>
      </c>
      <c r="Q40" s="403">
        <f>Scenarios!AI39</f>
        <v>4273022.5395817859</v>
      </c>
      <c r="R40" s="426">
        <f t="shared" si="4"/>
        <v>3130.0584243216254</v>
      </c>
      <c r="T40" s="403">
        <f>Scenarios!AN39</f>
        <v>35608521.163181558</v>
      </c>
      <c r="U40" s="426">
        <f t="shared" si="5"/>
        <v>26083.820202680214</v>
      </c>
      <c r="X40" s="403">
        <f>Scenarios!AY39</f>
        <v>753730.42726440297</v>
      </c>
      <c r="Y40" s="426">
        <f t="shared" si="6"/>
        <v>552.11978211502412</v>
      </c>
      <c r="AA40" s="403">
        <f>Scenarios!BD39</f>
        <v>2876770.318754226</v>
      </c>
      <c r="AB40" s="426">
        <f t="shared" si="7"/>
        <v>2107.2809908314612</v>
      </c>
      <c r="AD40" s="403">
        <f>Scenarios!BI39</f>
        <v>23973085.989618551</v>
      </c>
      <c r="AE40" s="426">
        <f t="shared" si="8"/>
        <v>17560.67492359551</v>
      </c>
    </row>
    <row r="41" spans="2:31">
      <c r="B41" s="360">
        <v>2050</v>
      </c>
      <c r="D41" s="405">
        <f>Scenarios!H40</f>
        <v>1413588.7787914872</v>
      </c>
      <c r="E41" s="427">
        <f t="shared" si="0"/>
        <v>1035.476743826365</v>
      </c>
      <c r="G41" s="405">
        <f>Scenarios!M40</f>
        <v>5189645.1886209575</v>
      </c>
      <c r="H41" s="427">
        <f t="shared" si="1"/>
        <v>3801.4994050260866</v>
      </c>
      <c r="J41" s="405">
        <f>Scenarios!R40</f>
        <v>43247043.238507979</v>
      </c>
      <c r="K41" s="427">
        <f t="shared" si="2"/>
        <v>31679.161708550721</v>
      </c>
      <c r="N41" s="405">
        <f>Scenarios!AD40</f>
        <v>1183452.6953390043</v>
      </c>
      <c r="O41" s="427">
        <f t="shared" si="3"/>
        <v>866.89832419993104</v>
      </c>
      <c r="Q41" s="405">
        <f>Scenarios!AI40</f>
        <v>4344756.8900322355</v>
      </c>
      <c r="R41" s="427">
        <f t="shared" si="4"/>
        <v>3182.605001331407</v>
      </c>
      <c r="T41" s="405">
        <f>Scenarios!AN40</f>
        <v>36206307.416935295</v>
      </c>
      <c r="U41" s="427">
        <f t="shared" si="5"/>
        <v>26521.708344428393</v>
      </c>
      <c r="X41" s="405">
        <f>Scenarios!AY40</f>
        <v>799680.56553494604</v>
      </c>
      <c r="Y41" s="427">
        <f t="shared" si="6"/>
        <v>585.77900484557711</v>
      </c>
      <c r="AA41" s="405">
        <f>Scenarios!BD40</f>
        <v>2935831.4536920059</v>
      </c>
      <c r="AB41" s="427">
        <f t="shared" si="7"/>
        <v>2150.5442316053063</v>
      </c>
      <c r="AD41" s="405">
        <f>Scenarios!BI40</f>
        <v>24465262.11410005</v>
      </c>
      <c r="AE41" s="427">
        <f t="shared" si="8"/>
        <v>17921.201930044219</v>
      </c>
    </row>
    <row r="49" spans="4:21">
      <c r="D49" s="35"/>
      <c r="E49" s="35" t="s">
        <v>299</v>
      </c>
      <c r="F49" s="35" t="s">
        <v>298</v>
      </c>
      <c r="G49" s="35" t="s">
        <v>297</v>
      </c>
      <c r="H49" s="35" t="s">
        <v>296</v>
      </c>
      <c r="I49" s="35" t="s">
        <v>295</v>
      </c>
      <c r="J49" s="35" t="s">
        <v>294</v>
      </c>
      <c r="K49" s="35" t="s">
        <v>293</v>
      </c>
      <c r="N49" s="35"/>
      <c r="O49" s="35" t="s">
        <v>292</v>
      </c>
      <c r="P49" s="35"/>
      <c r="Q49" s="35"/>
      <c r="R49" s="35" t="s">
        <v>291</v>
      </c>
      <c r="S49" s="35" t="s">
        <v>290</v>
      </c>
      <c r="T49" s="35"/>
      <c r="U49" s="478" t="s">
        <v>289</v>
      </c>
    </row>
    <row r="50" spans="4:21">
      <c r="D50" s="481" t="s">
        <v>288</v>
      </c>
      <c r="E50" s="480">
        <v>1194</v>
      </c>
      <c r="F50" s="484">
        <v>1.246</v>
      </c>
      <c r="G50" s="481">
        <v>0.57950000000000002</v>
      </c>
      <c r="H50" s="481">
        <f>0.167*F50</f>
        <v>0.20808200000000002</v>
      </c>
      <c r="I50" s="8">
        <f>F50-G50-H50</f>
        <v>0.45841799999999999</v>
      </c>
      <c r="J50" s="481">
        <f>G50+H50</f>
        <v>0.787582</v>
      </c>
      <c r="K50" s="480">
        <v>12574298</v>
      </c>
      <c r="N50" s="35" t="s">
        <v>288</v>
      </c>
      <c r="O50" s="35">
        <v>10710000</v>
      </c>
      <c r="P50" s="35"/>
      <c r="Q50" s="35"/>
      <c r="R50" s="35">
        <v>12787740000</v>
      </c>
      <c r="S50" s="480">
        <f>R50*J50</f>
        <v>10071393844.68</v>
      </c>
      <c r="T50" s="480"/>
      <c r="U50" s="479">
        <f>S50/K50</f>
        <v>800.9507842648552</v>
      </c>
    </row>
    <row r="51" spans="4:21">
      <c r="D51" s="482" t="s">
        <v>69</v>
      </c>
      <c r="E51" s="480">
        <v>1368</v>
      </c>
      <c r="F51" s="483">
        <v>1.2110000000000001</v>
      </c>
      <c r="G51" s="482">
        <v>0.57950000000000002</v>
      </c>
      <c r="H51" s="481">
        <f>0.167*F51</f>
        <v>0.20223700000000003</v>
      </c>
      <c r="I51" s="8">
        <f>F51-G51-H51</f>
        <v>0.42926300000000006</v>
      </c>
      <c r="J51" s="481">
        <f>G51+H51</f>
        <v>0.78173700000000002</v>
      </c>
      <c r="K51" s="480">
        <v>18825207</v>
      </c>
      <c r="N51" s="35" t="s">
        <v>69</v>
      </c>
      <c r="O51" s="35">
        <v>11690000</v>
      </c>
      <c r="P51" s="35"/>
      <c r="Q51" s="35"/>
      <c r="R51" s="35">
        <v>15991920000</v>
      </c>
      <c r="S51" s="480">
        <f>J51*R51</f>
        <v>12501475565.040001</v>
      </c>
      <c r="T51" s="480"/>
      <c r="U51" s="479">
        <f>S51/K51</f>
        <v>664.08170518603072</v>
      </c>
    </row>
    <row r="52" spans="4:21">
      <c r="N52" s="35"/>
      <c r="O52" s="35"/>
      <c r="P52" s="35"/>
      <c r="Q52" s="35"/>
      <c r="R52" s="35">
        <f>R50+R51</f>
        <v>28779660000</v>
      </c>
      <c r="S52" s="478" t="s">
        <v>233</v>
      </c>
      <c r="T52" s="478"/>
      <c r="U52" s="478">
        <f>(U50+U51)/2</f>
        <v>732.5162447254429</v>
      </c>
    </row>
    <row r="53" spans="4:21">
      <c r="R53">
        <f>R52/1000000000</f>
        <v>28.77966</v>
      </c>
    </row>
    <row r="54" spans="4:21">
      <c r="E54" t="s">
        <v>287</v>
      </c>
      <c r="F54" t="s">
        <v>286</v>
      </c>
      <c r="G54" t="s">
        <v>285</v>
      </c>
      <c r="H54" t="s">
        <v>284</v>
      </c>
    </row>
    <row r="55" spans="4:21">
      <c r="E55">
        <v>0.8</v>
      </c>
      <c r="G55">
        <v>0.57950000000000002</v>
      </c>
      <c r="H55">
        <f t="shared" ref="H55:H62" si="9">E55*0.167</f>
        <v>0.13360000000000002</v>
      </c>
    </row>
    <row r="56" spans="4:21">
      <c r="E56">
        <v>0.9</v>
      </c>
      <c r="G56">
        <v>0.57950000000000002</v>
      </c>
      <c r="H56">
        <f t="shared" si="9"/>
        <v>0.15030000000000002</v>
      </c>
    </row>
    <row r="57" spans="4:21">
      <c r="E57">
        <v>1</v>
      </c>
      <c r="G57">
        <v>0.57950000000000002</v>
      </c>
      <c r="H57">
        <f t="shared" si="9"/>
        <v>0.16700000000000001</v>
      </c>
    </row>
    <row r="58" spans="4:21">
      <c r="E58">
        <v>1.1000000000000001</v>
      </c>
      <c r="G58">
        <v>0.57950000000000002</v>
      </c>
      <c r="H58">
        <f t="shared" si="9"/>
        <v>0.18370000000000003</v>
      </c>
    </row>
    <row r="59" spans="4:21">
      <c r="E59">
        <v>1.2</v>
      </c>
      <c r="G59">
        <v>0.57950000000000002</v>
      </c>
      <c r="H59">
        <f t="shared" si="9"/>
        <v>0.20039999999999999</v>
      </c>
    </row>
    <row r="60" spans="4:21">
      <c r="E60">
        <v>1.3</v>
      </c>
      <c r="G60">
        <v>0.57950000000000002</v>
      </c>
      <c r="H60">
        <f t="shared" si="9"/>
        <v>0.21710000000000002</v>
      </c>
    </row>
    <row r="61" spans="4:21">
      <c r="E61">
        <v>1.4</v>
      </c>
      <c r="G61">
        <v>0.57950000000000002</v>
      </c>
      <c r="H61">
        <f t="shared" si="9"/>
        <v>0.23380000000000001</v>
      </c>
    </row>
    <row r="62" spans="4:21">
      <c r="E62">
        <v>1.5</v>
      </c>
      <c r="G62">
        <v>0.57950000000000002</v>
      </c>
      <c r="H62">
        <f t="shared" si="9"/>
        <v>0.2505</v>
      </c>
    </row>
    <row r="64" spans="4:21">
      <c r="F64" t="s">
        <v>283</v>
      </c>
    </row>
    <row r="65" spans="6:6">
      <c r="F65" t="s">
        <v>282</v>
      </c>
    </row>
    <row r="66" spans="6:6">
      <c r="F66" t="s">
        <v>281</v>
      </c>
    </row>
  </sheetData>
  <mergeCells count="14">
    <mergeCell ref="A2:E2"/>
    <mergeCell ref="A3:E3"/>
    <mergeCell ref="AA5:AB5"/>
    <mergeCell ref="AD5:AE5"/>
    <mergeCell ref="D4:K4"/>
    <mergeCell ref="N4:U4"/>
    <mergeCell ref="X4:AE4"/>
    <mergeCell ref="D5:E5"/>
    <mergeCell ref="G5:H5"/>
    <mergeCell ref="J5:K5"/>
    <mergeCell ref="N5:O5"/>
    <mergeCell ref="Q5:R5"/>
    <mergeCell ref="T5:U5"/>
    <mergeCell ref="X5:Y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2"/>
  <sheetViews>
    <sheetView zoomScale="40" zoomScaleNormal="40" workbookViewId="0"/>
  </sheetViews>
  <sheetFormatPr defaultColWidth="8.8984375" defaultRowHeight="15.6"/>
  <cols>
    <col min="1" max="1" width="15.5" customWidth="1"/>
    <col min="2" max="2" width="45.09765625" bestFit="1" customWidth="1"/>
    <col min="3" max="3" width="15.59765625" customWidth="1"/>
    <col min="4" max="4" width="16.5" customWidth="1"/>
    <col min="5" max="5" width="12.8984375" bestFit="1" customWidth="1"/>
    <col min="6" max="6" width="23.09765625" bestFit="1" customWidth="1"/>
    <col min="7" max="7" width="25.19921875" bestFit="1" customWidth="1"/>
    <col min="8" max="8" width="25.09765625" bestFit="1" customWidth="1"/>
    <col min="9" max="9" width="44.19921875" bestFit="1" customWidth="1"/>
    <col min="10" max="10" width="12.8984375" bestFit="1" customWidth="1"/>
    <col min="11" max="11" width="19.19921875" style="278" bestFit="1" customWidth="1"/>
    <col min="12" max="12" width="21.69921875" bestFit="1" customWidth="1"/>
    <col min="13" max="13" width="21.19921875" bestFit="1" customWidth="1"/>
    <col min="14" max="14" width="19.19921875" customWidth="1"/>
    <col min="15" max="15" width="35.5" customWidth="1"/>
    <col min="16" max="16" width="35" customWidth="1"/>
    <col min="17" max="17" width="39.19921875" customWidth="1"/>
    <col min="18" max="18" width="21.19921875" bestFit="1" customWidth="1"/>
    <col min="19" max="19" width="19.59765625" customWidth="1"/>
    <col min="20" max="21" width="26.59765625" customWidth="1"/>
    <col min="22" max="22" width="12.8984375" bestFit="1" customWidth="1"/>
    <col min="23" max="23" width="19.19921875" bestFit="1" customWidth="1"/>
    <col min="24" max="24" width="21.69921875" bestFit="1" customWidth="1"/>
    <col min="25" max="26" width="26.8984375" customWidth="1"/>
    <col min="27" max="27" width="12.8984375" bestFit="1" customWidth="1"/>
    <col min="28" max="28" width="19.19921875" bestFit="1" customWidth="1"/>
    <col min="29" max="29" width="21.69921875" bestFit="1" customWidth="1"/>
    <col min="30" max="30" width="21.19921875" bestFit="1" customWidth="1"/>
    <col min="31" max="31" width="19.5" customWidth="1"/>
    <col min="32" max="34" width="27" customWidth="1"/>
    <col min="35" max="35" width="21.19921875" bestFit="1" customWidth="1"/>
    <col min="36" max="36" width="18.8984375" customWidth="1"/>
    <col min="37" max="39" width="26.8984375" customWidth="1"/>
    <col min="40" max="40" width="21.69921875" bestFit="1" customWidth="1"/>
    <col min="41" max="41" width="22.5" customWidth="1"/>
    <col min="42" max="44" width="28.59765625" customWidth="1"/>
    <col min="45" max="45" width="21.69921875" bestFit="1" customWidth="1"/>
    <col min="46" max="46" width="21.19921875" bestFit="1" customWidth="1"/>
    <col min="47" max="47" width="19.3984375" customWidth="1"/>
    <col min="48" max="50" width="30.59765625" customWidth="1"/>
    <col min="51" max="51" width="21.19921875" bestFit="1" customWidth="1"/>
    <col min="52" max="52" width="20.09765625" customWidth="1"/>
    <col min="53" max="55" width="26.09765625" customWidth="1"/>
    <col min="57" max="57" width="19.5" customWidth="1"/>
    <col min="58" max="58" width="28.09765625" customWidth="1"/>
    <col min="59" max="59" width="22.19921875" bestFit="1" customWidth="1"/>
    <col min="60" max="60" width="22.09765625" bestFit="1" customWidth="1"/>
  </cols>
  <sheetData>
    <row r="1" spans="2:51">
      <c r="B1" s="569" t="s">
        <v>270</v>
      </c>
      <c r="C1" s="570"/>
    </row>
    <row r="2" spans="2:51">
      <c r="B2" s="476" t="s">
        <v>267</v>
      </c>
      <c r="C2" s="477">
        <v>4</v>
      </c>
    </row>
    <row r="3" spans="2:51">
      <c r="B3" s="476" t="s">
        <v>268</v>
      </c>
      <c r="C3" s="477">
        <v>0.2</v>
      </c>
    </row>
    <row r="4" spans="2:51">
      <c r="B4" s="476" t="s">
        <v>269</v>
      </c>
      <c r="C4" s="477">
        <v>0.03</v>
      </c>
    </row>
    <row r="5" spans="2:51">
      <c r="B5" s="35"/>
      <c r="C5" s="35"/>
    </row>
    <row r="6" spans="2:51">
      <c r="B6" s="476" t="s">
        <v>280</v>
      </c>
      <c r="C6" s="471">
        <v>16000</v>
      </c>
    </row>
    <row r="7" spans="2:51" ht="16.2" thickBot="1">
      <c r="B7" s="278"/>
      <c r="K7"/>
    </row>
    <row r="8" spans="2:51" ht="16.2" thickBot="1">
      <c r="B8" s="278"/>
      <c r="E8" s="557" t="s">
        <v>271</v>
      </c>
      <c r="F8" s="558"/>
      <c r="G8" s="558"/>
      <c r="H8" s="559"/>
      <c r="J8" s="557" t="s">
        <v>181</v>
      </c>
      <c r="K8" s="558"/>
      <c r="L8" s="558"/>
      <c r="M8" s="559"/>
      <c r="O8" s="557" t="s">
        <v>264</v>
      </c>
      <c r="P8" s="558"/>
      <c r="Q8" s="558"/>
      <c r="R8" s="559"/>
      <c r="V8" s="557" t="s">
        <v>184</v>
      </c>
      <c r="W8" s="558"/>
      <c r="X8" s="558"/>
      <c r="Y8" s="559"/>
      <c r="AA8" s="557" t="s">
        <v>185</v>
      </c>
      <c r="AB8" s="558"/>
      <c r="AC8" s="558"/>
      <c r="AD8" s="559"/>
      <c r="AF8" s="557" t="s">
        <v>186</v>
      </c>
      <c r="AG8" s="558"/>
      <c r="AH8" s="558"/>
      <c r="AI8" s="559"/>
      <c r="AL8" s="557" t="s">
        <v>188</v>
      </c>
      <c r="AM8" s="558"/>
      <c r="AN8" s="558"/>
      <c r="AO8" s="559"/>
      <c r="AQ8" s="557" t="s">
        <v>189</v>
      </c>
      <c r="AR8" s="558"/>
      <c r="AS8" s="558"/>
      <c r="AT8" s="559"/>
      <c r="AV8" s="557" t="s">
        <v>190</v>
      </c>
      <c r="AW8" s="558"/>
      <c r="AX8" s="558"/>
      <c r="AY8" s="559"/>
    </row>
    <row r="9" spans="2:51">
      <c r="B9" s="278"/>
      <c r="C9" s="271" t="s">
        <v>43</v>
      </c>
      <c r="E9" s="456" t="s">
        <v>51</v>
      </c>
      <c r="F9" s="457" t="s">
        <v>272</v>
      </c>
      <c r="G9" s="458" t="s">
        <v>273</v>
      </c>
      <c r="H9" s="459" t="s">
        <v>274</v>
      </c>
      <c r="J9" s="456" t="str">
        <f>'Intermediate Limit PR'!I66</f>
        <v>Total EV Sales</v>
      </c>
      <c r="K9" s="457" t="s">
        <v>235</v>
      </c>
      <c r="L9" s="458" t="s">
        <v>236</v>
      </c>
      <c r="M9" s="459" t="s">
        <v>237</v>
      </c>
      <c r="O9" s="456" t="str">
        <f>'Upper Limit  PR'!I67</f>
        <v>Total EV Sales</v>
      </c>
      <c r="P9" s="457" t="s">
        <v>235</v>
      </c>
      <c r="Q9" s="458" t="s">
        <v>236</v>
      </c>
      <c r="R9" s="459" t="s">
        <v>237</v>
      </c>
      <c r="V9" s="456" t="s">
        <v>51</v>
      </c>
      <c r="W9" s="457" t="s">
        <v>235</v>
      </c>
      <c r="X9" s="458" t="s">
        <v>236</v>
      </c>
      <c r="Y9" s="459" t="s">
        <v>237</v>
      </c>
      <c r="AA9" s="456" t="s">
        <v>51</v>
      </c>
      <c r="AB9" s="457" t="s">
        <v>235</v>
      </c>
      <c r="AC9" s="458" t="s">
        <v>236</v>
      </c>
      <c r="AD9" s="459" t="s">
        <v>237</v>
      </c>
      <c r="AF9" s="456" t="s">
        <v>51</v>
      </c>
      <c r="AG9" s="457" t="s">
        <v>235</v>
      </c>
      <c r="AH9" s="458" t="s">
        <v>236</v>
      </c>
      <c r="AI9" s="459" t="s">
        <v>237</v>
      </c>
      <c r="AL9" s="456" t="s">
        <v>51</v>
      </c>
      <c r="AM9" s="457" t="s">
        <v>235</v>
      </c>
      <c r="AN9" s="458" t="s">
        <v>236</v>
      </c>
      <c r="AO9" s="459" t="s">
        <v>237</v>
      </c>
      <c r="AQ9" s="456" t="s">
        <v>51</v>
      </c>
      <c r="AR9" s="457" t="s">
        <v>235</v>
      </c>
      <c r="AS9" s="458" t="s">
        <v>236</v>
      </c>
      <c r="AT9" s="459" t="s">
        <v>237</v>
      </c>
      <c r="AV9" s="456" t="s">
        <v>51</v>
      </c>
      <c r="AW9" s="457" t="s">
        <v>235</v>
      </c>
      <c r="AX9" s="458" t="s">
        <v>236</v>
      </c>
      <c r="AY9" s="459" t="s">
        <v>237</v>
      </c>
    </row>
    <row r="10" spans="2:51">
      <c r="B10" s="278"/>
      <c r="C10" s="359">
        <v>2001</v>
      </c>
      <c r="E10" s="446">
        <v>51.000000000000014</v>
      </c>
      <c r="F10" s="438">
        <f t="shared" ref="F10:F41" si="0">PRODUCT(E10,$C$2)</f>
        <v>204.00000000000006</v>
      </c>
      <c r="G10" s="438">
        <f t="shared" ref="G10:G41" si="1">PRODUCT(E10,$C$3)</f>
        <v>10.200000000000003</v>
      </c>
      <c r="H10" s="447">
        <f t="shared" ref="H10:H41" si="2">PRODUCT(E10,$C$4)</f>
        <v>1.5300000000000005</v>
      </c>
      <c r="J10" s="446">
        <v>51.000000000000014</v>
      </c>
      <c r="K10" s="438">
        <f t="shared" ref="K10:K41" si="3">PRODUCT(J10,$C$2)</f>
        <v>204.00000000000006</v>
      </c>
      <c r="L10" s="438">
        <f t="shared" ref="L10:L41" si="4">PRODUCT(J10,$C$3)</f>
        <v>10.200000000000003</v>
      </c>
      <c r="M10" s="447">
        <f t="shared" ref="M10:M41" si="5">PRODUCT(J10,$C$4)</f>
        <v>1.5300000000000005</v>
      </c>
      <c r="O10" s="446">
        <v>51.000000000000014</v>
      </c>
      <c r="P10" s="438">
        <f t="shared" ref="P10:P41" si="6">PRODUCT(O10,$C$2)</f>
        <v>204.00000000000006</v>
      </c>
      <c r="Q10" s="438">
        <f t="shared" ref="Q10:Q41" si="7">PRODUCT(O10,$C$3)</f>
        <v>10.200000000000003</v>
      </c>
      <c r="R10" s="447">
        <f t="shared" ref="R10:R41" si="8">PRODUCT(O10,$C$4)</f>
        <v>1.5300000000000005</v>
      </c>
      <c r="V10" s="446">
        <v>51.000000000000014</v>
      </c>
      <c r="W10" s="438">
        <f t="shared" ref="W10:W41" si="9">PRODUCT(V10,$C$2)</f>
        <v>204.00000000000006</v>
      </c>
      <c r="X10" s="438">
        <f t="shared" ref="X10:X41" si="10">PRODUCT(V10,$C$3)</f>
        <v>10.200000000000003</v>
      </c>
      <c r="Y10" s="447">
        <f t="shared" ref="Y10:Y41" si="11">PRODUCT(V10,$C$4)</f>
        <v>1.5300000000000005</v>
      </c>
      <c r="AA10" s="446">
        <v>51.000000000000014</v>
      </c>
      <c r="AB10" s="438">
        <f t="shared" ref="AB10:AB41" si="12">PRODUCT(AA10,$C$2)</f>
        <v>204.00000000000006</v>
      </c>
      <c r="AC10" s="438">
        <f t="shared" ref="AC10:AC41" si="13">PRODUCT(AA10,$C$3)</f>
        <v>10.200000000000003</v>
      </c>
      <c r="AD10" s="447">
        <f t="shared" ref="AD10:AD41" si="14">PRODUCT(AA10,$C$4)</f>
        <v>1.5300000000000005</v>
      </c>
      <c r="AF10" s="446">
        <v>51.000000000000014</v>
      </c>
      <c r="AG10" s="438">
        <f t="shared" ref="AG10:AG41" si="15">PRODUCT(AF10,$C$2)</f>
        <v>204.00000000000006</v>
      </c>
      <c r="AH10" s="438">
        <f t="shared" ref="AH10:AH41" si="16">PRODUCT(AF10,$C$3)</f>
        <v>10.200000000000003</v>
      </c>
      <c r="AI10" s="447">
        <f t="shared" ref="AI10:AI41" si="17">PRODUCT(AF10,$C$4)</f>
        <v>1.5300000000000005</v>
      </c>
      <c r="AL10" s="446">
        <v>51.000000000000014</v>
      </c>
      <c r="AM10" s="438">
        <f t="shared" ref="AM10:AM41" si="18">PRODUCT(AL10,$C$2)</f>
        <v>204.00000000000006</v>
      </c>
      <c r="AN10" s="438">
        <f t="shared" ref="AN10:AN41" si="19">PRODUCT(AL10,$C$3)</f>
        <v>10.200000000000003</v>
      </c>
      <c r="AO10" s="447">
        <f t="shared" ref="AO10:AO41" si="20">PRODUCT(AL10,$C$4)</f>
        <v>1.5300000000000005</v>
      </c>
      <c r="AQ10" s="446">
        <v>51.000000000000014</v>
      </c>
      <c r="AR10" s="438">
        <f t="shared" ref="AR10:AR41" si="21">PRODUCT(AQ10,$C$2)</f>
        <v>204.00000000000006</v>
      </c>
      <c r="AS10" s="438">
        <f t="shared" ref="AS10:AS41" si="22">PRODUCT(AQ10,$C$3)</f>
        <v>10.200000000000003</v>
      </c>
      <c r="AT10" s="447">
        <f t="shared" ref="AT10:AT41" si="23">PRODUCT(AQ10,$C$4)</f>
        <v>1.5300000000000005</v>
      </c>
      <c r="AV10" s="446">
        <v>51.000000000000014</v>
      </c>
      <c r="AW10" s="438">
        <f t="shared" ref="AW10:AW41" si="24">PRODUCT(AV10,$C$2)</f>
        <v>204.00000000000006</v>
      </c>
      <c r="AX10" s="438">
        <f t="shared" ref="AX10:AX41" si="25">PRODUCT(AV10,$C$3)</f>
        <v>10.200000000000003</v>
      </c>
      <c r="AY10" s="447">
        <f t="shared" ref="AY10:AY41" si="26">PRODUCT(AV10,$C$4)</f>
        <v>1.5300000000000005</v>
      </c>
    </row>
    <row r="11" spans="2:51">
      <c r="B11" s="278"/>
      <c r="C11" s="359">
        <v>2002</v>
      </c>
      <c r="E11" s="448">
        <v>53.999999999999993</v>
      </c>
      <c r="F11" s="445">
        <f t="shared" si="0"/>
        <v>215.99999999999997</v>
      </c>
      <c r="G11" s="445">
        <f t="shared" si="1"/>
        <v>10.799999999999999</v>
      </c>
      <c r="H11" s="449">
        <f t="shared" si="2"/>
        <v>1.6199999999999997</v>
      </c>
      <c r="J11" s="448">
        <v>53.999999999999993</v>
      </c>
      <c r="K11" s="445">
        <f t="shared" si="3"/>
        <v>215.99999999999997</v>
      </c>
      <c r="L11" s="445">
        <f t="shared" si="4"/>
        <v>10.799999999999999</v>
      </c>
      <c r="M11" s="449">
        <f t="shared" si="5"/>
        <v>1.6199999999999997</v>
      </c>
      <c r="O11" s="448">
        <v>53.999999999999993</v>
      </c>
      <c r="P11" s="445">
        <f t="shared" si="6"/>
        <v>215.99999999999997</v>
      </c>
      <c r="Q11" s="445">
        <f t="shared" si="7"/>
        <v>10.799999999999999</v>
      </c>
      <c r="R11" s="449">
        <f t="shared" si="8"/>
        <v>1.6199999999999997</v>
      </c>
      <c r="V11" s="448">
        <v>52</v>
      </c>
      <c r="W11" s="445">
        <f t="shared" si="9"/>
        <v>208</v>
      </c>
      <c r="X11" s="445">
        <f t="shared" si="10"/>
        <v>10.4</v>
      </c>
      <c r="Y11" s="449">
        <f t="shared" si="11"/>
        <v>1.56</v>
      </c>
      <c r="AA11" s="448">
        <v>53.999999999999993</v>
      </c>
      <c r="AB11" s="445">
        <f t="shared" si="12"/>
        <v>215.99999999999997</v>
      </c>
      <c r="AC11" s="445">
        <f t="shared" si="13"/>
        <v>10.799999999999999</v>
      </c>
      <c r="AD11" s="449">
        <f t="shared" si="14"/>
        <v>1.6199999999999997</v>
      </c>
      <c r="AF11" s="448">
        <v>53.999999999999993</v>
      </c>
      <c r="AG11" s="445">
        <f t="shared" si="15"/>
        <v>215.99999999999997</v>
      </c>
      <c r="AH11" s="445">
        <f t="shared" si="16"/>
        <v>10.799999999999999</v>
      </c>
      <c r="AI11" s="449">
        <f t="shared" si="17"/>
        <v>1.6199999999999997</v>
      </c>
      <c r="AL11" s="448">
        <v>53.999999999999993</v>
      </c>
      <c r="AM11" s="445">
        <f t="shared" si="18"/>
        <v>215.99999999999997</v>
      </c>
      <c r="AN11" s="445">
        <f t="shared" si="19"/>
        <v>10.799999999999999</v>
      </c>
      <c r="AO11" s="449">
        <f t="shared" si="20"/>
        <v>1.6199999999999997</v>
      </c>
      <c r="AQ11" s="448">
        <v>53.999999999999993</v>
      </c>
      <c r="AR11" s="445">
        <f t="shared" si="21"/>
        <v>215.99999999999997</v>
      </c>
      <c r="AS11" s="445">
        <f t="shared" si="22"/>
        <v>10.799999999999999</v>
      </c>
      <c r="AT11" s="449">
        <f t="shared" si="23"/>
        <v>1.6199999999999997</v>
      </c>
      <c r="AV11" s="448">
        <v>53.999999999999993</v>
      </c>
      <c r="AW11" s="445">
        <f t="shared" si="24"/>
        <v>215.99999999999997</v>
      </c>
      <c r="AX11" s="445">
        <f t="shared" si="25"/>
        <v>10.799999999999999</v>
      </c>
      <c r="AY11" s="449">
        <f t="shared" si="26"/>
        <v>1.6199999999999997</v>
      </c>
    </row>
    <row r="12" spans="2:51">
      <c r="B12" s="278"/>
      <c r="C12" s="359">
        <v>2003</v>
      </c>
      <c r="E12" s="448">
        <v>22.999999999999964</v>
      </c>
      <c r="F12" s="445">
        <f t="shared" si="0"/>
        <v>91.999999999999858</v>
      </c>
      <c r="G12" s="445">
        <f t="shared" si="1"/>
        <v>4.5999999999999934</v>
      </c>
      <c r="H12" s="449">
        <f t="shared" si="2"/>
        <v>0.68999999999999895</v>
      </c>
      <c r="J12" s="448">
        <v>22.999999999999964</v>
      </c>
      <c r="K12" s="445">
        <f t="shared" si="3"/>
        <v>91.999999999999858</v>
      </c>
      <c r="L12" s="445">
        <f t="shared" si="4"/>
        <v>4.5999999999999934</v>
      </c>
      <c r="M12" s="449">
        <f t="shared" si="5"/>
        <v>0.68999999999999895</v>
      </c>
      <c r="O12" s="448">
        <v>22.999999999999964</v>
      </c>
      <c r="P12" s="445">
        <f t="shared" si="6"/>
        <v>91.999999999999858</v>
      </c>
      <c r="Q12" s="445">
        <f t="shared" si="7"/>
        <v>4.5999999999999934</v>
      </c>
      <c r="R12" s="449">
        <f t="shared" si="8"/>
        <v>0.68999999999999895</v>
      </c>
      <c r="V12" s="448">
        <v>53</v>
      </c>
      <c r="W12" s="445">
        <f t="shared" si="9"/>
        <v>212</v>
      </c>
      <c r="X12" s="445">
        <f t="shared" si="10"/>
        <v>10.600000000000001</v>
      </c>
      <c r="Y12" s="449">
        <f t="shared" si="11"/>
        <v>1.5899999999999999</v>
      </c>
      <c r="AA12" s="448">
        <v>22.999999999999964</v>
      </c>
      <c r="AB12" s="445">
        <f t="shared" si="12"/>
        <v>91.999999999999858</v>
      </c>
      <c r="AC12" s="445">
        <f t="shared" si="13"/>
        <v>4.5999999999999934</v>
      </c>
      <c r="AD12" s="449">
        <f t="shared" si="14"/>
        <v>0.68999999999999895</v>
      </c>
      <c r="AF12" s="448">
        <v>22.999999999999964</v>
      </c>
      <c r="AG12" s="445">
        <f t="shared" si="15"/>
        <v>91.999999999999858</v>
      </c>
      <c r="AH12" s="445">
        <f t="shared" si="16"/>
        <v>4.5999999999999934</v>
      </c>
      <c r="AI12" s="449">
        <f t="shared" si="17"/>
        <v>0.68999999999999895</v>
      </c>
      <c r="AL12" s="448">
        <v>22.999999999999964</v>
      </c>
      <c r="AM12" s="445">
        <f t="shared" si="18"/>
        <v>91.999999999999858</v>
      </c>
      <c r="AN12" s="445">
        <f t="shared" si="19"/>
        <v>4.5999999999999934</v>
      </c>
      <c r="AO12" s="449">
        <f t="shared" si="20"/>
        <v>0.68999999999999895</v>
      </c>
      <c r="AQ12" s="448">
        <v>22.999999999999964</v>
      </c>
      <c r="AR12" s="445">
        <f t="shared" si="21"/>
        <v>91.999999999999858</v>
      </c>
      <c r="AS12" s="445">
        <f t="shared" si="22"/>
        <v>4.5999999999999934</v>
      </c>
      <c r="AT12" s="449">
        <f t="shared" si="23"/>
        <v>0.68999999999999895</v>
      </c>
      <c r="AV12" s="448">
        <v>22.999999999999964</v>
      </c>
      <c r="AW12" s="445">
        <f t="shared" si="24"/>
        <v>91.999999999999858</v>
      </c>
      <c r="AX12" s="445">
        <f t="shared" si="25"/>
        <v>4.5999999999999934</v>
      </c>
      <c r="AY12" s="449">
        <f t="shared" si="26"/>
        <v>0.68999999999999895</v>
      </c>
    </row>
    <row r="13" spans="2:51">
      <c r="B13" s="278"/>
      <c r="C13" s="359">
        <v>2004</v>
      </c>
      <c r="E13" s="448">
        <v>50.000000000000043</v>
      </c>
      <c r="F13" s="445">
        <f t="shared" si="0"/>
        <v>200.00000000000017</v>
      </c>
      <c r="G13" s="445">
        <f t="shared" si="1"/>
        <v>10.000000000000009</v>
      </c>
      <c r="H13" s="449">
        <f t="shared" si="2"/>
        <v>1.5000000000000013</v>
      </c>
      <c r="J13" s="448">
        <v>50.000000000000043</v>
      </c>
      <c r="K13" s="445">
        <f t="shared" si="3"/>
        <v>200.00000000000017</v>
      </c>
      <c r="L13" s="445">
        <f t="shared" si="4"/>
        <v>10.000000000000009</v>
      </c>
      <c r="M13" s="449">
        <f t="shared" si="5"/>
        <v>1.5000000000000013</v>
      </c>
      <c r="O13" s="448">
        <v>50.000000000000043</v>
      </c>
      <c r="P13" s="445">
        <f t="shared" si="6"/>
        <v>200.00000000000017</v>
      </c>
      <c r="Q13" s="445">
        <f t="shared" si="7"/>
        <v>10.000000000000009</v>
      </c>
      <c r="R13" s="449">
        <f t="shared" si="8"/>
        <v>1.5000000000000013</v>
      </c>
      <c r="V13" s="448">
        <v>54</v>
      </c>
      <c r="W13" s="445">
        <f t="shared" si="9"/>
        <v>216</v>
      </c>
      <c r="X13" s="445">
        <f t="shared" si="10"/>
        <v>10.8</v>
      </c>
      <c r="Y13" s="449">
        <f t="shared" si="11"/>
        <v>1.6199999999999999</v>
      </c>
      <c r="AA13" s="448">
        <v>50.000000000000043</v>
      </c>
      <c r="AB13" s="445">
        <f t="shared" si="12"/>
        <v>200.00000000000017</v>
      </c>
      <c r="AC13" s="445">
        <f t="shared" si="13"/>
        <v>10.000000000000009</v>
      </c>
      <c r="AD13" s="449">
        <f t="shared" si="14"/>
        <v>1.5000000000000013</v>
      </c>
      <c r="AF13" s="448">
        <v>50.000000000000043</v>
      </c>
      <c r="AG13" s="445">
        <f t="shared" si="15"/>
        <v>200.00000000000017</v>
      </c>
      <c r="AH13" s="445">
        <f t="shared" si="16"/>
        <v>10.000000000000009</v>
      </c>
      <c r="AI13" s="449">
        <f t="shared" si="17"/>
        <v>1.5000000000000013</v>
      </c>
      <c r="AL13" s="448">
        <v>50.000000000000043</v>
      </c>
      <c r="AM13" s="445">
        <f t="shared" si="18"/>
        <v>200.00000000000017</v>
      </c>
      <c r="AN13" s="445">
        <f t="shared" si="19"/>
        <v>10.000000000000009</v>
      </c>
      <c r="AO13" s="449">
        <f t="shared" si="20"/>
        <v>1.5000000000000013</v>
      </c>
      <c r="AQ13" s="448">
        <v>50.000000000000043</v>
      </c>
      <c r="AR13" s="445">
        <f t="shared" si="21"/>
        <v>200.00000000000017</v>
      </c>
      <c r="AS13" s="445">
        <f t="shared" si="22"/>
        <v>10.000000000000009</v>
      </c>
      <c r="AT13" s="449">
        <f t="shared" si="23"/>
        <v>1.5000000000000013</v>
      </c>
      <c r="AV13" s="448">
        <v>50.000000000000043</v>
      </c>
      <c r="AW13" s="445">
        <f t="shared" si="24"/>
        <v>200.00000000000017</v>
      </c>
      <c r="AX13" s="445">
        <f t="shared" si="25"/>
        <v>10.000000000000009</v>
      </c>
      <c r="AY13" s="449">
        <f t="shared" si="26"/>
        <v>1.5000000000000013</v>
      </c>
    </row>
    <row r="14" spans="2:51">
      <c r="B14" s="278"/>
      <c r="C14" s="359">
        <v>2005</v>
      </c>
      <c r="E14" s="448">
        <v>164.99999999999991</v>
      </c>
      <c r="F14" s="445">
        <f t="shared" si="0"/>
        <v>659.99999999999966</v>
      </c>
      <c r="G14" s="445">
        <f t="shared" si="1"/>
        <v>32.999999999999986</v>
      </c>
      <c r="H14" s="449">
        <f t="shared" si="2"/>
        <v>4.9499999999999975</v>
      </c>
      <c r="J14" s="448">
        <v>164.99999999999991</v>
      </c>
      <c r="K14" s="445">
        <f t="shared" si="3"/>
        <v>659.99999999999966</v>
      </c>
      <c r="L14" s="445">
        <f t="shared" si="4"/>
        <v>32.999999999999986</v>
      </c>
      <c r="M14" s="449">
        <f t="shared" si="5"/>
        <v>4.9499999999999975</v>
      </c>
      <c r="O14" s="448">
        <v>164.99999999999991</v>
      </c>
      <c r="P14" s="445">
        <f t="shared" si="6"/>
        <v>659.99999999999966</v>
      </c>
      <c r="Q14" s="445">
        <f t="shared" si="7"/>
        <v>32.999999999999986</v>
      </c>
      <c r="R14" s="449">
        <f t="shared" si="8"/>
        <v>4.9499999999999975</v>
      </c>
      <c r="V14" s="448">
        <v>55</v>
      </c>
      <c r="W14" s="445">
        <f t="shared" si="9"/>
        <v>220</v>
      </c>
      <c r="X14" s="445">
        <f t="shared" si="10"/>
        <v>11</v>
      </c>
      <c r="Y14" s="449">
        <f t="shared" si="11"/>
        <v>1.65</v>
      </c>
      <c r="AA14" s="448">
        <v>164.99999999999991</v>
      </c>
      <c r="AB14" s="445">
        <f t="shared" si="12"/>
        <v>659.99999999999966</v>
      </c>
      <c r="AC14" s="445">
        <f t="shared" si="13"/>
        <v>32.999999999999986</v>
      </c>
      <c r="AD14" s="449">
        <f t="shared" si="14"/>
        <v>4.9499999999999975</v>
      </c>
      <c r="AF14" s="448">
        <v>164.99999999999991</v>
      </c>
      <c r="AG14" s="445">
        <f t="shared" si="15"/>
        <v>659.99999999999966</v>
      </c>
      <c r="AH14" s="445">
        <f t="shared" si="16"/>
        <v>32.999999999999986</v>
      </c>
      <c r="AI14" s="449">
        <f t="shared" si="17"/>
        <v>4.9499999999999975</v>
      </c>
      <c r="AL14" s="448">
        <v>164.99999999999991</v>
      </c>
      <c r="AM14" s="445">
        <f t="shared" si="18"/>
        <v>659.99999999999966</v>
      </c>
      <c r="AN14" s="445">
        <f t="shared" si="19"/>
        <v>32.999999999999986</v>
      </c>
      <c r="AO14" s="449">
        <f t="shared" si="20"/>
        <v>4.9499999999999975</v>
      </c>
      <c r="AQ14" s="448">
        <v>164.99999999999991</v>
      </c>
      <c r="AR14" s="445">
        <f t="shared" si="21"/>
        <v>659.99999999999966</v>
      </c>
      <c r="AS14" s="445">
        <f t="shared" si="22"/>
        <v>32.999999999999986</v>
      </c>
      <c r="AT14" s="449">
        <f t="shared" si="23"/>
        <v>4.9499999999999975</v>
      </c>
      <c r="AV14" s="448">
        <v>164.99999999999991</v>
      </c>
      <c r="AW14" s="445">
        <f t="shared" si="24"/>
        <v>659.99999999999966</v>
      </c>
      <c r="AX14" s="445">
        <f t="shared" si="25"/>
        <v>32.999999999999986</v>
      </c>
      <c r="AY14" s="449">
        <f t="shared" si="26"/>
        <v>4.9499999999999975</v>
      </c>
    </row>
    <row r="15" spans="2:51">
      <c r="B15" s="278"/>
      <c r="C15" s="359">
        <v>2006</v>
      </c>
      <c r="E15" s="448">
        <v>243.00000000000011</v>
      </c>
      <c r="F15" s="445">
        <f t="shared" si="0"/>
        <v>972.00000000000045</v>
      </c>
      <c r="G15" s="445">
        <f t="shared" si="1"/>
        <v>48.600000000000023</v>
      </c>
      <c r="H15" s="449">
        <f t="shared" si="2"/>
        <v>7.2900000000000027</v>
      </c>
      <c r="J15" s="448">
        <v>243.00000000000011</v>
      </c>
      <c r="K15" s="445">
        <f t="shared" si="3"/>
        <v>972.00000000000045</v>
      </c>
      <c r="L15" s="445">
        <f t="shared" si="4"/>
        <v>48.600000000000023</v>
      </c>
      <c r="M15" s="449">
        <f t="shared" si="5"/>
        <v>7.2900000000000027</v>
      </c>
      <c r="O15" s="448">
        <v>243.00000000000011</v>
      </c>
      <c r="P15" s="445">
        <f t="shared" si="6"/>
        <v>972.00000000000045</v>
      </c>
      <c r="Q15" s="445">
        <f t="shared" si="7"/>
        <v>48.600000000000023</v>
      </c>
      <c r="R15" s="449">
        <f t="shared" si="8"/>
        <v>7.2900000000000027</v>
      </c>
      <c r="V15" s="448">
        <v>56</v>
      </c>
      <c r="W15" s="445">
        <f t="shared" si="9"/>
        <v>224</v>
      </c>
      <c r="X15" s="445">
        <f t="shared" si="10"/>
        <v>11.200000000000001</v>
      </c>
      <c r="Y15" s="449">
        <f t="shared" si="11"/>
        <v>1.68</v>
      </c>
      <c r="AA15" s="448">
        <v>243.00000000000011</v>
      </c>
      <c r="AB15" s="445">
        <f t="shared" si="12"/>
        <v>972.00000000000045</v>
      </c>
      <c r="AC15" s="445">
        <f t="shared" si="13"/>
        <v>48.600000000000023</v>
      </c>
      <c r="AD15" s="449">
        <f t="shared" si="14"/>
        <v>7.2900000000000027</v>
      </c>
      <c r="AF15" s="448">
        <v>243.00000000000011</v>
      </c>
      <c r="AG15" s="445">
        <f t="shared" si="15"/>
        <v>972.00000000000045</v>
      </c>
      <c r="AH15" s="445">
        <f t="shared" si="16"/>
        <v>48.600000000000023</v>
      </c>
      <c r="AI15" s="449">
        <f t="shared" si="17"/>
        <v>7.2900000000000027</v>
      </c>
      <c r="AL15" s="448">
        <v>243.00000000000011</v>
      </c>
      <c r="AM15" s="445">
        <f t="shared" si="18"/>
        <v>972.00000000000045</v>
      </c>
      <c r="AN15" s="445">
        <f t="shared" si="19"/>
        <v>48.600000000000023</v>
      </c>
      <c r="AO15" s="449">
        <f t="shared" si="20"/>
        <v>7.2900000000000027</v>
      </c>
      <c r="AQ15" s="448">
        <v>243.00000000000011</v>
      </c>
      <c r="AR15" s="445">
        <f t="shared" si="21"/>
        <v>972.00000000000045</v>
      </c>
      <c r="AS15" s="445">
        <f t="shared" si="22"/>
        <v>48.600000000000023</v>
      </c>
      <c r="AT15" s="449">
        <f t="shared" si="23"/>
        <v>7.2900000000000027</v>
      </c>
      <c r="AV15" s="448">
        <v>243.00000000000011</v>
      </c>
      <c r="AW15" s="445">
        <f t="shared" si="24"/>
        <v>972.00000000000045</v>
      </c>
      <c r="AX15" s="445">
        <f t="shared" si="25"/>
        <v>48.600000000000023</v>
      </c>
      <c r="AY15" s="449">
        <f t="shared" si="26"/>
        <v>7.2900000000000027</v>
      </c>
    </row>
    <row r="16" spans="2:51">
      <c r="B16" s="278"/>
      <c r="C16" s="359">
        <v>2007</v>
      </c>
      <c r="E16" s="448">
        <v>384.99999999999989</v>
      </c>
      <c r="F16" s="445">
        <f t="shared" si="0"/>
        <v>1539.9999999999995</v>
      </c>
      <c r="G16" s="445">
        <f t="shared" si="1"/>
        <v>76.999999999999986</v>
      </c>
      <c r="H16" s="449">
        <f t="shared" si="2"/>
        <v>11.549999999999995</v>
      </c>
      <c r="J16" s="448">
        <v>384.99999999999989</v>
      </c>
      <c r="K16" s="445">
        <f t="shared" si="3"/>
        <v>1539.9999999999995</v>
      </c>
      <c r="L16" s="445">
        <f t="shared" si="4"/>
        <v>76.999999999999986</v>
      </c>
      <c r="M16" s="449">
        <f t="shared" si="5"/>
        <v>11.549999999999995</v>
      </c>
      <c r="O16" s="448">
        <v>384.99999999999989</v>
      </c>
      <c r="P16" s="445">
        <f t="shared" si="6"/>
        <v>1539.9999999999995</v>
      </c>
      <c r="Q16" s="445">
        <f t="shared" si="7"/>
        <v>76.999999999999986</v>
      </c>
      <c r="R16" s="449">
        <f t="shared" si="8"/>
        <v>11.549999999999995</v>
      </c>
      <c r="V16" s="448">
        <v>57</v>
      </c>
      <c r="W16" s="445">
        <f t="shared" si="9"/>
        <v>228</v>
      </c>
      <c r="X16" s="445">
        <f t="shared" si="10"/>
        <v>11.4</v>
      </c>
      <c r="Y16" s="449">
        <f t="shared" si="11"/>
        <v>1.71</v>
      </c>
      <c r="AA16" s="448">
        <v>384.99999999999989</v>
      </c>
      <c r="AB16" s="445">
        <f t="shared" si="12"/>
        <v>1539.9999999999995</v>
      </c>
      <c r="AC16" s="445">
        <f t="shared" si="13"/>
        <v>76.999999999999986</v>
      </c>
      <c r="AD16" s="449">
        <f t="shared" si="14"/>
        <v>11.549999999999995</v>
      </c>
      <c r="AF16" s="448">
        <v>384.99999999999989</v>
      </c>
      <c r="AG16" s="445">
        <f t="shared" si="15"/>
        <v>1539.9999999999995</v>
      </c>
      <c r="AH16" s="445">
        <f t="shared" si="16"/>
        <v>76.999999999999986</v>
      </c>
      <c r="AI16" s="449">
        <f t="shared" si="17"/>
        <v>11.549999999999995</v>
      </c>
      <c r="AL16" s="448">
        <v>384.99999999999989</v>
      </c>
      <c r="AM16" s="445">
        <f t="shared" si="18"/>
        <v>1539.9999999999995</v>
      </c>
      <c r="AN16" s="445">
        <f t="shared" si="19"/>
        <v>76.999999999999986</v>
      </c>
      <c r="AO16" s="449">
        <f t="shared" si="20"/>
        <v>11.549999999999995</v>
      </c>
      <c r="AQ16" s="448">
        <v>384.99999999999989</v>
      </c>
      <c r="AR16" s="445">
        <f t="shared" si="21"/>
        <v>1539.9999999999995</v>
      </c>
      <c r="AS16" s="445">
        <f t="shared" si="22"/>
        <v>76.999999999999986</v>
      </c>
      <c r="AT16" s="449">
        <f t="shared" si="23"/>
        <v>11.549999999999995</v>
      </c>
      <c r="AV16" s="448">
        <v>384.99999999999989</v>
      </c>
      <c r="AW16" s="445">
        <f t="shared" si="24"/>
        <v>1539.9999999999995</v>
      </c>
      <c r="AX16" s="445">
        <f t="shared" si="25"/>
        <v>76.999999999999986</v>
      </c>
      <c r="AY16" s="449">
        <f t="shared" si="26"/>
        <v>11.549999999999995</v>
      </c>
    </row>
    <row r="17" spans="2:51">
      <c r="B17" s="278"/>
      <c r="C17" s="359">
        <v>2008</v>
      </c>
      <c r="E17" s="448">
        <v>133</v>
      </c>
      <c r="F17" s="445">
        <f t="shared" si="0"/>
        <v>532</v>
      </c>
      <c r="G17" s="445">
        <f t="shared" si="1"/>
        <v>26.6</v>
      </c>
      <c r="H17" s="449">
        <f t="shared" si="2"/>
        <v>3.9899999999999998</v>
      </c>
      <c r="J17" s="448">
        <v>133</v>
      </c>
      <c r="K17" s="445">
        <f t="shared" si="3"/>
        <v>532</v>
      </c>
      <c r="L17" s="445">
        <f t="shared" si="4"/>
        <v>26.6</v>
      </c>
      <c r="M17" s="449">
        <f t="shared" si="5"/>
        <v>3.9899999999999998</v>
      </c>
      <c r="O17" s="448">
        <v>133</v>
      </c>
      <c r="P17" s="445">
        <f t="shared" si="6"/>
        <v>532</v>
      </c>
      <c r="Q17" s="445">
        <f t="shared" si="7"/>
        <v>26.6</v>
      </c>
      <c r="R17" s="449">
        <f t="shared" si="8"/>
        <v>3.9899999999999998</v>
      </c>
      <c r="V17" s="448">
        <v>58</v>
      </c>
      <c r="W17" s="445">
        <f t="shared" si="9"/>
        <v>232</v>
      </c>
      <c r="X17" s="445">
        <f t="shared" si="10"/>
        <v>11.600000000000001</v>
      </c>
      <c r="Y17" s="449">
        <f t="shared" si="11"/>
        <v>1.74</v>
      </c>
      <c r="AA17" s="448">
        <v>133</v>
      </c>
      <c r="AB17" s="445">
        <f t="shared" si="12"/>
        <v>532</v>
      </c>
      <c r="AC17" s="445">
        <f t="shared" si="13"/>
        <v>26.6</v>
      </c>
      <c r="AD17" s="449">
        <f t="shared" si="14"/>
        <v>3.9899999999999998</v>
      </c>
      <c r="AF17" s="448">
        <v>133</v>
      </c>
      <c r="AG17" s="445">
        <f t="shared" si="15"/>
        <v>532</v>
      </c>
      <c r="AH17" s="445">
        <f t="shared" si="16"/>
        <v>26.6</v>
      </c>
      <c r="AI17" s="449">
        <f t="shared" si="17"/>
        <v>3.9899999999999998</v>
      </c>
      <c r="AL17" s="448">
        <v>133</v>
      </c>
      <c r="AM17" s="445">
        <f t="shared" si="18"/>
        <v>532</v>
      </c>
      <c r="AN17" s="445">
        <f t="shared" si="19"/>
        <v>26.6</v>
      </c>
      <c r="AO17" s="449">
        <f t="shared" si="20"/>
        <v>3.9899999999999998</v>
      </c>
      <c r="AQ17" s="448">
        <v>133</v>
      </c>
      <c r="AR17" s="445">
        <f t="shared" si="21"/>
        <v>532</v>
      </c>
      <c r="AS17" s="445">
        <f t="shared" si="22"/>
        <v>26.6</v>
      </c>
      <c r="AT17" s="449">
        <f t="shared" si="23"/>
        <v>3.9899999999999998</v>
      </c>
      <c r="AV17" s="448">
        <v>133</v>
      </c>
      <c r="AW17" s="445">
        <f t="shared" si="24"/>
        <v>532</v>
      </c>
      <c r="AX17" s="445">
        <f t="shared" si="25"/>
        <v>26.6</v>
      </c>
      <c r="AY17" s="449">
        <f t="shared" si="26"/>
        <v>3.9899999999999998</v>
      </c>
    </row>
    <row r="18" spans="2:51">
      <c r="B18" s="278"/>
      <c r="C18" s="359">
        <v>2009</v>
      </c>
      <c r="E18" s="448">
        <v>128.00000000000011</v>
      </c>
      <c r="F18" s="445">
        <f t="shared" si="0"/>
        <v>512.00000000000045</v>
      </c>
      <c r="G18" s="445">
        <f t="shared" si="1"/>
        <v>25.600000000000023</v>
      </c>
      <c r="H18" s="449">
        <f t="shared" si="2"/>
        <v>3.8400000000000034</v>
      </c>
      <c r="J18" s="448">
        <v>128.00000000000011</v>
      </c>
      <c r="K18" s="445">
        <f t="shared" si="3"/>
        <v>512.00000000000045</v>
      </c>
      <c r="L18" s="445">
        <f t="shared" si="4"/>
        <v>25.600000000000023</v>
      </c>
      <c r="M18" s="449">
        <f t="shared" si="5"/>
        <v>3.8400000000000034</v>
      </c>
      <c r="O18" s="448">
        <v>128.00000000000011</v>
      </c>
      <c r="P18" s="445">
        <f t="shared" si="6"/>
        <v>512.00000000000045</v>
      </c>
      <c r="Q18" s="445">
        <f t="shared" si="7"/>
        <v>25.600000000000023</v>
      </c>
      <c r="R18" s="449">
        <f t="shared" si="8"/>
        <v>3.8400000000000034</v>
      </c>
      <c r="V18" s="448">
        <v>59</v>
      </c>
      <c r="W18" s="445">
        <f t="shared" si="9"/>
        <v>236</v>
      </c>
      <c r="X18" s="445">
        <f t="shared" si="10"/>
        <v>11.8</v>
      </c>
      <c r="Y18" s="449">
        <f t="shared" si="11"/>
        <v>1.77</v>
      </c>
      <c r="AA18" s="448">
        <v>128.00000000000011</v>
      </c>
      <c r="AB18" s="445">
        <f t="shared" si="12"/>
        <v>512.00000000000045</v>
      </c>
      <c r="AC18" s="445">
        <f t="shared" si="13"/>
        <v>25.600000000000023</v>
      </c>
      <c r="AD18" s="449">
        <f t="shared" si="14"/>
        <v>3.8400000000000034</v>
      </c>
      <c r="AF18" s="448">
        <v>128.00000000000011</v>
      </c>
      <c r="AG18" s="445">
        <f t="shared" si="15"/>
        <v>512.00000000000045</v>
      </c>
      <c r="AH18" s="445">
        <f t="shared" si="16"/>
        <v>25.600000000000023</v>
      </c>
      <c r="AI18" s="449">
        <f t="shared" si="17"/>
        <v>3.8400000000000034</v>
      </c>
      <c r="AL18" s="448">
        <v>128.00000000000011</v>
      </c>
      <c r="AM18" s="445">
        <f t="shared" si="18"/>
        <v>512.00000000000045</v>
      </c>
      <c r="AN18" s="445">
        <f t="shared" si="19"/>
        <v>25.600000000000023</v>
      </c>
      <c r="AO18" s="449">
        <f t="shared" si="20"/>
        <v>3.8400000000000034</v>
      </c>
      <c r="AQ18" s="448">
        <v>128.00000000000011</v>
      </c>
      <c r="AR18" s="445">
        <f t="shared" si="21"/>
        <v>512.00000000000045</v>
      </c>
      <c r="AS18" s="445">
        <f t="shared" si="22"/>
        <v>25.600000000000023</v>
      </c>
      <c r="AT18" s="449">
        <f t="shared" si="23"/>
        <v>3.8400000000000034</v>
      </c>
      <c r="AV18" s="448">
        <v>128.00000000000011</v>
      </c>
      <c r="AW18" s="445">
        <f t="shared" si="24"/>
        <v>512.00000000000045</v>
      </c>
      <c r="AX18" s="445">
        <f t="shared" si="25"/>
        <v>25.600000000000023</v>
      </c>
      <c r="AY18" s="449">
        <f t="shared" si="26"/>
        <v>3.8400000000000034</v>
      </c>
    </row>
    <row r="19" spans="2:51">
      <c r="B19" s="278"/>
      <c r="C19" s="359">
        <v>2010</v>
      </c>
      <c r="E19" s="448">
        <v>89.999999999999858</v>
      </c>
      <c r="F19" s="445">
        <f t="shared" si="0"/>
        <v>359.99999999999943</v>
      </c>
      <c r="G19" s="445">
        <f t="shared" si="1"/>
        <v>17.999999999999972</v>
      </c>
      <c r="H19" s="449">
        <f t="shared" si="2"/>
        <v>2.6999999999999957</v>
      </c>
      <c r="J19" s="448">
        <v>89.999999999999858</v>
      </c>
      <c r="K19" s="445">
        <f t="shared" si="3"/>
        <v>359.99999999999943</v>
      </c>
      <c r="L19" s="445">
        <f t="shared" si="4"/>
        <v>17.999999999999972</v>
      </c>
      <c r="M19" s="449">
        <f t="shared" si="5"/>
        <v>2.6999999999999957</v>
      </c>
      <c r="O19" s="448">
        <v>89.999999999999858</v>
      </c>
      <c r="P19" s="445">
        <f t="shared" si="6"/>
        <v>359.99999999999943</v>
      </c>
      <c r="Q19" s="445">
        <f t="shared" si="7"/>
        <v>17.999999999999972</v>
      </c>
      <c r="R19" s="449">
        <f t="shared" si="8"/>
        <v>2.6999999999999957</v>
      </c>
      <c r="V19" s="448">
        <v>60</v>
      </c>
      <c r="W19" s="445">
        <f t="shared" si="9"/>
        <v>240</v>
      </c>
      <c r="X19" s="445">
        <f t="shared" si="10"/>
        <v>12</v>
      </c>
      <c r="Y19" s="449">
        <f t="shared" si="11"/>
        <v>1.7999999999999998</v>
      </c>
      <c r="AA19" s="448">
        <v>89.999999999999858</v>
      </c>
      <c r="AB19" s="445">
        <f t="shared" si="12"/>
        <v>359.99999999999943</v>
      </c>
      <c r="AC19" s="445">
        <f t="shared" si="13"/>
        <v>17.999999999999972</v>
      </c>
      <c r="AD19" s="449">
        <f t="shared" si="14"/>
        <v>2.6999999999999957</v>
      </c>
      <c r="AF19" s="448">
        <v>89.999999999999858</v>
      </c>
      <c r="AG19" s="445">
        <f t="shared" si="15"/>
        <v>359.99999999999943</v>
      </c>
      <c r="AH19" s="445">
        <f t="shared" si="16"/>
        <v>17.999999999999972</v>
      </c>
      <c r="AI19" s="449">
        <f t="shared" si="17"/>
        <v>2.6999999999999957</v>
      </c>
      <c r="AL19" s="448">
        <v>89.999999999999858</v>
      </c>
      <c r="AM19" s="445">
        <f t="shared" si="18"/>
        <v>359.99999999999943</v>
      </c>
      <c r="AN19" s="445">
        <f t="shared" si="19"/>
        <v>17.999999999999972</v>
      </c>
      <c r="AO19" s="449">
        <f t="shared" si="20"/>
        <v>2.6999999999999957</v>
      </c>
      <c r="AQ19" s="448">
        <v>89.999999999999858</v>
      </c>
      <c r="AR19" s="445">
        <f t="shared" si="21"/>
        <v>359.99999999999943</v>
      </c>
      <c r="AS19" s="445">
        <f t="shared" si="22"/>
        <v>17.999999999999972</v>
      </c>
      <c r="AT19" s="449">
        <f t="shared" si="23"/>
        <v>2.6999999999999957</v>
      </c>
      <c r="AV19" s="448">
        <v>89.999999999999858</v>
      </c>
      <c r="AW19" s="445">
        <f t="shared" si="24"/>
        <v>359.99999999999943</v>
      </c>
      <c r="AX19" s="445">
        <f t="shared" si="25"/>
        <v>17.999999999999972</v>
      </c>
      <c r="AY19" s="449">
        <f t="shared" si="26"/>
        <v>2.6999999999999957</v>
      </c>
    </row>
    <row r="20" spans="2:51">
      <c r="B20" s="278"/>
      <c r="C20" s="359">
        <v>2011</v>
      </c>
      <c r="E20" s="448">
        <v>1067</v>
      </c>
      <c r="F20" s="445">
        <f t="shared" si="0"/>
        <v>4268</v>
      </c>
      <c r="G20" s="445">
        <f t="shared" si="1"/>
        <v>213.4</v>
      </c>
      <c r="H20" s="449">
        <f t="shared" si="2"/>
        <v>32.01</v>
      </c>
      <c r="J20" s="448">
        <v>1067</v>
      </c>
      <c r="K20" s="445">
        <f t="shared" si="3"/>
        <v>4268</v>
      </c>
      <c r="L20" s="445">
        <f t="shared" si="4"/>
        <v>213.4</v>
      </c>
      <c r="M20" s="449">
        <f t="shared" si="5"/>
        <v>32.01</v>
      </c>
      <c r="O20" s="448">
        <v>1067</v>
      </c>
      <c r="P20" s="445">
        <f t="shared" si="6"/>
        <v>4268</v>
      </c>
      <c r="Q20" s="445">
        <f t="shared" si="7"/>
        <v>213.4</v>
      </c>
      <c r="R20" s="449">
        <f t="shared" si="8"/>
        <v>32.01</v>
      </c>
      <c r="V20" s="448">
        <v>61</v>
      </c>
      <c r="W20" s="445">
        <f t="shared" si="9"/>
        <v>244</v>
      </c>
      <c r="X20" s="445">
        <f t="shared" si="10"/>
        <v>12.200000000000001</v>
      </c>
      <c r="Y20" s="449">
        <f t="shared" si="11"/>
        <v>1.8299999999999998</v>
      </c>
      <c r="AA20" s="448">
        <v>1067</v>
      </c>
      <c r="AB20" s="445">
        <f t="shared" si="12"/>
        <v>4268</v>
      </c>
      <c r="AC20" s="445">
        <f t="shared" si="13"/>
        <v>213.4</v>
      </c>
      <c r="AD20" s="449">
        <f t="shared" si="14"/>
        <v>32.01</v>
      </c>
      <c r="AF20" s="448">
        <v>1067</v>
      </c>
      <c r="AG20" s="445">
        <f t="shared" si="15"/>
        <v>4268</v>
      </c>
      <c r="AH20" s="445">
        <f t="shared" si="16"/>
        <v>213.4</v>
      </c>
      <c r="AI20" s="449">
        <f t="shared" si="17"/>
        <v>32.01</v>
      </c>
      <c r="AL20" s="448">
        <v>1067</v>
      </c>
      <c r="AM20" s="445">
        <f t="shared" si="18"/>
        <v>4268</v>
      </c>
      <c r="AN20" s="445">
        <f t="shared" si="19"/>
        <v>213.4</v>
      </c>
      <c r="AO20" s="449">
        <f t="shared" si="20"/>
        <v>32.01</v>
      </c>
      <c r="AQ20" s="448">
        <v>1067</v>
      </c>
      <c r="AR20" s="445">
        <f t="shared" si="21"/>
        <v>4268</v>
      </c>
      <c r="AS20" s="445">
        <f t="shared" si="22"/>
        <v>213.4</v>
      </c>
      <c r="AT20" s="449">
        <f t="shared" si="23"/>
        <v>32.01</v>
      </c>
      <c r="AV20" s="448">
        <v>1067</v>
      </c>
      <c r="AW20" s="445">
        <f t="shared" si="24"/>
        <v>4268</v>
      </c>
      <c r="AX20" s="445">
        <f t="shared" si="25"/>
        <v>213.4</v>
      </c>
      <c r="AY20" s="449">
        <f t="shared" si="26"/>
        <v>32.01</v>
      </c>
    </row>
    <row r="21" spans="2:51">
      <c r="B21" s="278"/>
      <c r="C21" s="359">
        <v>2012</v>
      </c>
      <c r="E21" s="448">
        <v>1521.9999999999998</v>
      </c>
      <c r="F21" s="445">
        <f t="shared" si="0"/>
        <v>6087.9999999999991</v>
      </c>
      <c r="G21" s="445">
        <f t="shared" si="1"/>
        <v>304.39999999999998</v>
      </c>
      <c r="H21" s="449">
        <f t="shared" si="2"/>
        <v>45.659999999999989</v>
      </c>
      <c r="J21" s="448">
        <v>1521.9999999999998</v>
      </c>
      <c r="K21" s="445">
        <f t="shared" si="3"/>
        <v>6087.9999999999991</v>
      </c>
      <c r="L21" s="445">
        <f t="shared" si="4"/>
        <v>304.39999999999998</v>
      </c>
      <c r="M21" s="449">
        <f t="shared" si="5"/>
        <v>45.659999999999989</v>
      </c>
      <c r="O21" s="448">
        <v>1521.9999999999998</v>
      </c>
      <c r="P21" s="445">
        <f t="shared" si="6"/>
        <v>6087.9999999999991</v>
      </c>
      <c r="Q21" s="445">
        <f t="shared" si="7"/>
        <v>304.39999999999998</v>
      </c>
      <c r="R21" s="449">
        <f t="shared" si="8"/>
        <v>45.659999999999989</v>
      </c>
      <c r="V21" s="448">
        <v>62</v>
      </c>
      <c r="W21" s="445">
        <f t="shared" si="9"/>
        <v>248</v>
      </c>
      <c r="X21" s="445">
        <f t="shared" si="10"/>
        <v>12.4</v>
      </c>
      <c r="Y21" s="449">
        <f t="shared" si="11"/>
        <v>1.8599999999999999</v>
      </c>
      <c r="AA21" s="448">
        <v>1521.9999999999998</v>
      </c>
      <c r="AB21" s="445">
        <f t="shared" si="12"/>
        <v>6087.9999999999991</v>
      </c>
      <c r="AC21" s="445">
        <f t="shared" si="13"/>
        <v>304.39999999999998</v>
      </c>
      <c r="AD21" s="449">
        <f t="shared" si="14"/>
        <v>45.659999999999989</v>
      </c>
      <c r="AF21" s="448">
        <v>1521.9999999999998</v>
      </c>
      <c r="AG21" s="445">
        <f t="shared" si="15"/>
        <v>6087.9999999999991</v>
      </c>
      <c r="AH21" s="445">
        <f t="shared" si="16"/>
        <v>304.39999999999998</v>
      </c>
      <c r="AI21" s="449">
        <f t="shared" si="17"/>
        <v>45.659999999999989</v>
      </c>
      <c r="AL21" s="448">
        <v>1521.9999999999998</v>
      </c>
      <c r="AM21" s="445">
        <f t="shared" si="18"/>
        <v>6087.9999999999991</v>
      </c>
      <c r="AN21" s="445">
        <f t="shared" si="19"/>
        <v>304.39999999999998</v>
      </c>
      <c r="AO21" s="449">
        <f t="shared" si="20"/>
        <v>45.659999999999989</v>
      </c>
      <c r="AQ21" s="448">
        <v>1521.9999999999998</v>
      </c>
      <c r="AR21" s="445">
        <f t="shared" si="21"/>
        <v>6087.9999999999991</v>
      </c>
      <c r="AS21" s="445">
        <f t="shared" si="22"/>
        <v>304.39999999999998</v>
      </c>
      <c r="AT21" s="449">
        <f t="shared" si="23"/>
        <v>45.659999999999989</v>
      </c>
      <c r="AV21" s="448">
        <v>1521.9999999999998</v>
      </c>
      <c r="AW21" s="445">
        <f t="shared" si="24"/>
        <v>6087.9999999999991</v>
      </c>
      <c r="AX21" s="445">
        <f t="shared" si="25"/>
        <v>304.39999999999998</v>
      </c>
      <c r="AY21" s="449">
        <f t="shared" si="26"/>
        <v>45.659999999999989</v>
      </c>
    </row>
    <row r="22" spans="2:51">
      <c r="B22" s="278"/>
      <c r="C22" s="359">
        <v>2013</v>
      </c>
      <c r="E22" s="448">
        <v>2123</v>
      </c>
      <c r="F22" s="445">
        <f t="shared" si="0"/>
        <v>8492</v>
      </c>
      <c r="G22" s="445">
        <f t="shared" si="1"/>
        <v>424.6</v>
      </c>
      <c r="H22" s="449">
        <f t="shared" si="2"/>
        <v>63.69</v>
      </c>
      <c r="J22" s="448">
        <v>2123</v>
      </c>
      <c r="K22" s="445">
        <f t="shared" si="3"/>
        <v>8492</v>
      </c>
      <c r="L22" s="445">
        <f t="shared" si="4"/>
        <v>424.6</v>
      </c>
      <c r="M22" s="449">
        <f t="shared" si="5"/>
        <v>63.69</v>
      </c>
      <c r="O22" s="448">
        <v>2123</v>
      </c>
      <c r="P22" s="445">
        <f t="shared" si="6"/>
        <v>8492</v>
      </c>
      <c r="Q22" s="445">
        <f t="shared" si="7"/>
        <v>424.6</v>
      </c>
      <c r="R22" s="449">
        <f t="shared" si="8"/>
        <v>63.69</v>
      </c>
      <c r="V22" s="448">
        <v>63</v>
      </c>
      <c r="W22" s="445">
        <f t="shared" si="9"/>
        <v>252</v>
      </c>
      <c r="X22" s="445">
        <f t="shared" si="10"/>
        <v>12.600000000000001</v>
      </c>
      <c r="Y22" s="449">
        <f t="shared" si="11"/>
        <v>1.89</v>
      </c>
      <c r="AA22" s="448">
        <v>2123</v>
      </c>
      <c r="AB22" s="445">
        <f t="shared" si="12"/>
        <v>8492</v>
      </c>
      <c r="AC22" s="445">
        <f t="shared" si="13"/>
        <v>424.6</v>
      </c>
      <c r="AD22" s="449">
        <f t="shared" si="14"/>
        <v>63.69</v>
      </c>
      <c r="AF22" s="448">
        <v>2123</v>
      </c>
      <c r="AG22" s="445">
        <f t="shared" si="15"/>
        <v>8492</v>
      </c>
      <c r="AH22" s="445">
        <f t="shared" si="16"/>
        <v>424.6</v>
      </c>
      <c r="AI22" s="449">
        <f t="shared" si="17"/>
        <v>63.69</v>
      </c>
      <c r="AL22" s="448">
        <v>2123</v>
      </c>
      <c r="AM22" s="445">
        <f t="shared" si="18"/>
        <v>8492</v>
      </c>
      <c r="AN22" s="445">
        <f t="shared" si="19"/>
        <v>424.6</v>
      </c>
      <c r="AO22" s="449">
        <f t="shared" si="20"/>
        <v>63.69</v>
      </c>
      <c r="AQ22" s="448">
        <v>2123</v>
      </c>
      <c r="AR22" s="445">
        <f t="shared" si="21"/>
        <v>8492</v>
      </c>
      <c r="AS22" s="445">
        <f t="shared" si="22"/>
        <v>424.6</v>
      </c>
      <c r="AT22" s="449">
        <f t="shared" si="23"/>
        <v>63.69</v>
      </c>
      <c r="AV22" s="448">
        <v>2123</v>
      </c>
      <c r="AW22" s="445">
        <f t="shared" si="24"/>
        <v>8492</v>
      </c>
      <c r="AX22" s="445">
        <f t="shared" si="25"/>
        <v>424.6</v>
      </c>
      <c r="AY22" s="449">
        <f t="shared" si="26"/>
        <v>63.69</v>
      </c>
    </row>
    <row r="23" spans="2:51">
      <c r="B23" s="278"/>
      <c r="C23" s="359">
        <v>2014</v>
      </c>
      <c r="E23" s="448">
        <v>9953</v>
      </c>
      <c r="F23" s="445">
        <f t="shared" si="0"/>
        <v>39812</v>
      </c>
      <c r="G23" s="445">
        <f t="shared" si="1"/>
        <v>1990.6000000000001</v>
      </c>
      <c r="H23" s="449">
        <f t="shared" si="2"/>
        <v>298.58999999999997</v>
      </c>
      <c r="J23" s="448">
        <v>9953</v>
      </c>
      <c r="K23" s="445">
        <f t="shared" si="3"/>
        <v>39812</v>
      </c>
      <c r="L23" s="445">
        <f t="shared" si="4"/>
        <v>1990.6000000000001</v>
      </c>
      <c r="M23" s="449">
        <f t="shared" si="5"/>
        <v>298.58999999999997</v>
      </c>
      <c r="O23" s="448">
        <v>9953</v>
      </c>
      <c r="P23" s="445">
        <f t="shared" si="6"/>
        <v>39812</v>
      </c>
      <c r="Q23" s="445">
        <f t="shared" si="7"/>
        <v>1990.6000000000001</v>
      </c>
      <c r="R23" s="449">
        <f t="shared" si="8"/>
        <v>298.58999999999997</v>
      </c>
      <c r="V23" s="448">
        <v>64</v>
      </c>
      <c r="W23" s="445">
        <f t="shared" si="9"/>
        <v>256</v>
      </c>
      <c r="X23" s="445">
        <f t="shared" si="10"/>
        <v>12.8</v>
      </c>
      <c r="Y23" s="449">
        <f t="shared" si="11"/>
        <v>1.92</v>
      </c>
      <c r="AA23" s="448">
        <v>9953</v>
      </c>
      <c r="AB23" s="445">
        <f t="shared" si="12"/>
        <v>39812</v>
      </c>
      <c r="AC23" s="445">
        <f t="shared" si="13"/>
        <v>1990.6000000000001</v>
      </c>
      <c r="AD23" s="449">
        <f t="shared" si="14"/>
        <v>298.58999999999997</v>
      </c>
      <c r="AF23" s="448">
        <v>9953</v>
      </c>
      <c r="AG23" s="445">
        <f t="shared" si="15"/>
        <v>39812</v>
      </c>
      <c r="AH23" s="445">
        <f t="shared" si="16"/>
        <v>1990.6000000000001</v>
      </c>
      <c r="AI23" s="449">
        <f t="shared" si="17"/>
        <v>298.58999999999997</v>
      </c>
      <c r="AL23" s="448">
        <v>9953</v>
      </c>
      <c r="AM23" s="445">
        <f t="shared" si="18"/>
        <v>39812</v>
      </c>
      <c r="AN23" s="445">
        <f t="shared" si="19"/>
        <v>1990.6000000000001</v>
      </c>
      <c r="AO23" s="449">
        <f t="shared" si="20"/>
        <v>298.58999999999997</v>
      </c>
      <c r="AQ23" s="448">
        <v>9953</v>
      </c>
      <c r="AR23" s="445">
        <f t="shared" si="21"/>
        <v>39812</v>
      </c>
      <c r="AS23" s="445">
        <f t="shared" si="22"/>
        <v>1990.6000000000001</v>
      </c>
      <c r="AT23" s="449">
        <f t="shared" si="23"/>
        <v>298.58999999999997</v>
      </c>
      <c r="AV23" s="448">
        <v>9953</v>
      </c>
      <c r="AW23" s="445">
        <f t="shared" si="24"/>
        <v>39812</v>
      </c>
      <c r="AX23" s="445">
        <f t="shared" si="25"/>
        <v>1990.6000000000001</v>
      </c>
      <c r="AY23" s="449">
        <f t="shared" si="26"/>
        <v>298.58999999999997</v>
      </c>
    </row>
    <row r="24" spans="2:51">
      <c r="B24" s="278"/>
      <c r="C24" s="359">
        <v>2015</v>
      </c>
      <c r="E24" s="448">
        <v>8395.0000000000036</v>
      </c>
      <c r="F24" s="445">
        <f t="shared" si="0"/>
        <v>33580.000000000015</v>
      </c>
      <c r="G24" s="445">
        <f t="shared" si="1"/>
        <v>1679.0000000000009</v>
      </c>
      <c r="H24" s="449">
        <f t="shared" si="2"/>
        <v>251.85000000000011</v>
      </c>
      <c r="J24" s="448">
        <v>8395.0000000000036</v>
      </c>
      <c r="K24" s="445">
        <f t="shared" si="3"/>
        <v>33580.000000000015</v>
      </c>
      <c r="L24" s="445">
        <f t="shared" si="4"/>
        <v>1679.0000000000009</v>
      </c>
      <c r="M24" s="449">
        <f t="shared" si="5"/>
        <v>251.85000000000011</v>
      </c>
      <c r="O24" s="448">
        <v>8395.0000000000036</v>
      </c>
      <c r="P24" s="445">
        <f t="shared" si="6"/>
        <v>33580.000000000015</v>
      </c>
      <c r="Q24" s="445">
        <f t="shared" si="7"/>
        <v>1679.0000000000009</v>
      </c>
      <c r="R24" s="449">
        <f t="shared" si="8"/>
        <v>251.85000000000011</v>
      </c>
      <c r="V24" s="448">
        <v>65</v>
      </c>
      <c r="W24" s="445">
        <f t="shared" si="9"/>
        <v>260</v>
      </c>
      <c r="X24" s="445">
        <f t="shared" si="10"/>
        <v>13</v>
      </c>
      <c r="Y24" s="449">
        <f t="shared" si="11"/>
        <v>1.95</v>
      </c>
      <c r="AA24" s="448">
        <v>8395.0000000000036</v>
      </c>
      <c r="AB24" s="445">
        <f t="shared" si="12"/>
        <v>33580.000000000015</v>
      </c>
      <c r="AC24" s="445">
        <f t="shared" si="13"/>
        <v>1679.0000000000009</v>
      </c>
      <c r="AD24" s="449">
        <f t="shared" si="14"/>
        <v>251.85000000000011</v>
      </c>
      <c r="AF24" s="448">
        <v>8395.0000000000036</v>
      </c>
      <c r="AG24" s="445">
        <f t="shared" si="15"/>
        <v>33580.000000000015</v>
      </c>
      <c r="AH24" s="445">
        <f t="shared" si="16"/>
        <v>1679.0000000000009</v>
      </c>
      <c r="AI24" s="449">
        <f t="shared" si="17"/>
        <v>251.85000000000011</v>
      </c>
      <c r="AL24" s="448">
        <v>8395.0000000000036</v>
      </c>
      <c r="AM24" s="445">
        <f t="shared" si="18"/>
        <v>33580.000000000015</v>
      </c>
      <c r="AN24" s="445">
        <f t="shared" si="19"/>
        <v>1679.0000000000009</v>
      </c>
      <c r="AO24" s="449">
        <f t="shared" si="20"/>
        <v>251.85000000000011</v>
      </c>
      <c r="AQ24" s="448">
        <v>8395.0000000000036</v>
      </c>
      <c r="AR24" s="445">
        <f t="shared" si="21"/>
        <v>33580.000000000015</v>
      </c>
      <c r="AS24" s="445">
        <f t="shared" si="22"/>
        <v>1679.0000000000009</v>
      </c>
      <c r="AT24" s="449">
        <f t="shared" si="23"/>
        <v>251.85000000000011</v>
      </c>
      <c r="AV24" s="448">
        <v>8395.0000000000036</v>
      </c>
      <c r="AW24" s="445">
        <f t="shared" si="24"/>
        <v>33580.000000000015</v>
      </c>
      <c r="AX24" s="445">
        <f t="shared" si="25"/>
        <v>1679.0000000000009</v>
      </c>
      <c r="AY24" s="449">
        <f t="shared" si="26"/>
        <v>251.85000000000011</v>
      </c>
    </row>
    <row r="25" spans="2:51">
      <c r="B25" s="278"/>
      <c r="C25" s="359">
        <v>2016</v>
      </c>
      <c r="E25" s="448">
        <v>8830.9999999999964</v>
      </c>
      <c r="F25" s="445">
        <f t="shared" si="0"/>
        <v>35323.999999999985</v>
      </c>
      <c r="G25" s="445">
        <f t="shared" si="1"/>
        <v>1766.1999999999994</v>
      </c>
      <c r="H25" s="449">
        <f t="shared" si="2"/>
        <v>264.92999999999989</v>
      </c>
      <c r="J25" s="448">
        <v>8830.9999999999964</v>
      </c>
      <c r="K25" s="445">
        <f t="shared" si="3"/>
        <v>35323.999999999985</v>
      </c>
      <c r="L25" s="445">
        <f t="shared" si="4"/>
        <v>1766.1999999999994</v>
      </c>
      <c r="M25" s="449">
        <f t="shared" si="5"/>
        <v>264.92999999999989</v>
      </c>
      <c r="O25" s="448">
        <v>8830.9999999999964</v>
      </c>
      <c r="P25" s="445">
        <f t="shared" si="6"/>
        <v>35323.999999999985</v>
      </c>
      <c r="Q25" s="445">
        <f t="shared" si="7"/>
        <v>1766.1999999999994</v>
      </c>
      <c r="R25" s="449">
        <f t="shared" si="8"/>
        <v>264.92999999999989</v>
      </c>
      <c r="V25" s="448">
        <v>66</v>
      </c>
      <c r="W25" s="445">
        <f t="shared" si="9"/>
        <v>264</v>
      </c>
      <c r="X25" s="445">
        <f t="shared" si="10"/>
        <v>13.200000000000001</v>
      </c>
      <c r="Y25" s="449">
        <f t="shared" si="11"/>
        <v>1.98</v>
      </c>
      <c r="AA25" s="448">
        <v>8830.9999999999964</v>
      </c>
      <c r="AB25" s="445">
        <f t="shared" si="12"/>
        <v>35323.999999999985</v>
      </c>
      <c r="AC25" s="445">
        <f t="shared" si="13"/>
        <v>1766.1999999999994</v>
      </c>
      <c r="AD25" s="449">
        <f t="shared" si="14"/>
        <v>264.92999999999989</v>
      </c>
      <c r="AF25" s="448">
        <v>8830.9999999999964</v>
      </c>
      <c r="AG25" s="445">
        <f t="shared" si="15"/>
        <v>35323.999999999985</v>
      </c>
      <c r="AH25" s="445">
        <f t="shared" si="16"/>
        <v>1766.1999999999994</v>
      </c>
      <c r="AI25" s="449">
        <f t="shared" si="17"/>
        <v>264.92999999999989</v>
      </c>
      <c r="AL25" s="448">
        <v>8830.9999999999964</v>
      </c>
      <c r="AM25" s="445">
        <f t="shared" si="18"/>
        <v>35323.999999999985</v>
      </c>
      <c r="AN25" s="445">
        <f t="shared" si="19"/>
        <v>1766.1999999999994</v>
      </c>
      <c r="AO25" s="449">
        <f t="shared" si="20"/>
        <v>264.92999999999989</v>
      </c>
      <c r="AQ25" s="448">
        <v>8830.9999999999964</v>
      </c>
      <c r="AR25" s="445">
        <f t="shared" si="21"/>
        <v>35323.999999999985</v>
      </c>
      <c r="AS25" s="445">
        <f t="shared" si="22"/>
        <v>1766.1999999999994</v>
      </c>
      <c r="AT25" s="449">
        <f t="shared" si="23"/>
        <v>264.92999999999989</v>
      </c>
      <c r="AV25" s="448">
        <v>8830.9999999999964</v>
      </c>
      <c r="AW25" s="445">
        <f t="shared" si="24"/>
        <v>35323.999999999985</v>
      </c>
      <c r="AX25" s="445">
        <f t="shared" si="25"/>
        <v>1766.1999999999994</v>
      </c>
      <c r="AY25" s="449">
        <f t="shared" si="26"/>
        <v>264.92999999999989</v>
      </c>
    </row>
    <row r="26" spans="2:51">
      <c r="B26" s="278"/>
      <c r="C26" s="360">
        <v>2017</v>
      </c>
      <c r="E26" s="448">
        <v>8750.9087925000003</v>
      </c>
      <c r="F26" s="445">
        <f t="shared" si="0"/>
        <v>35003.635170000001</v>
      </c>
      <c r="G26" s="445">
        <f t="shared" si="1"/>
        <v>1750.1817585000001</v>
      </c>
      <c r="H26" s="449">
        <f t="shared" si="2"/>
        <v>262.52726377499999</v>
      </c>
      <c r="J26" s="448">
        <v>8620.0649225111301</v>
      </c>
      <c r="K26" s="445">
        <f t="shared" si="3"/>
        <v>34480.259690044521</v>
      </c>
      <c r="L26" s="445">
        <f t="shared" si="4"/>
        <v>1724.0129845022261</v>
      </c>
      <c r="M26" s="449">
        <f t="shared" si="5"/>
        <v>258.60194767533392</v>
      </c>
      <c r="O26" s="448">
        <v>8620.0649225111301</v>
      </c>
      <c r="P26" s="445">
        <f t="shared" si="6"/>
        <v>34480.259690044521</v>
      </c>
      <c r="Q26" s="445">
        <f t="shared" si="7"/>
        <v>1724.0129845022261</v>
      </c>
      <c r="R26" s="449">
        <f t="shared" si="8"/>
        <v>258.60194767533392</v>
      </c>
      <c r="V26" s="448">
        <v>67</v>
      </c>
      <c r="W26" s="445">
        <f t="shared" si="9"/>
        <v>268</v>
      </c>
      <c r="X26" s="445">
        <f t="shared" si="10"/>
        <v>13.4</v>
      </c>
      <c r="Y26" s="449">
        <f t="shared" si="11"/>
        <v>2.0099999999999998</v>
      </c>
      <c r="AA26" s="448">
        <v>8548.3940612208753</v>
      </c>
      <c r="AB26" s="445">
        <f t="shared" si="12"/>
        <v>34193.576244883501</v>
      </c>
      <c r="AC26" s="445">
        <f t="shared" si="13"/>
        <v>1709.6788122441751</v>
      </c>
      <c r="AD26" s="449">
        <f t="shared" si="14"/>
        <v>256.45182183662627</v>
      </c>
      <c r="AF26" s="448">
        <v>8548.3940612208753</v>
      </c>
      <c r="AG26" s="445">
        <f t="shared" si="15"/>
        <v>34193.576244883501</v>
      </c>
      <c r="AH26" s="445">
        <f t="shared" si="16"/>
        <v>1709.6788122441751</v>
      </c>
      <c r="AI26" s="449">
        <f t="shared" si="17"/>
        <v>256.45182183662627</v>
      </c>
      <c r="AL26" s="448">
        <v>8627.5923999999995</v>
      </c>
      <c r="AM26" s="445">
        <f t="shared" si="18"/>
        <v>34510.369599999998</v>
      </c>
      <c r="AN26" s="445">
        <f t="shared" si="19"/>
        <v>1725.51848</v>
      </c>
      <c r="AO26" s="449">
        <f t="shared" si="20"/>
        <v>258.82777199999998</v>
      </c>
      <c r="AQ26" s="448">
        <v>8498.5923606817905</v>
      </c>
      <c r="AR26" s="445">
        <f t="shared" si="21"/>
        <v>33994.369442727162</v>
      </c>
      <c r="AS26" s="445">
        <f t="shared" si="22"/>
        <v>1699.7184721363583</v>
      </c>
      <c r="AT26" s="449">
        <f t="shared" si="23"/>
        <v>254.9577708204537</v>
      </c>
      <c r="AV26" s="448">
        <v>8498.5923606817905</v>
      </c>
      <c r="AW26" s="445">
        <f t="shared" si="24"/>
        <v>33994.369442727162</v>
      </c>
      <c r="AX26" s="445">
        <f t="shared" si="25"/>
        <v>1699.7184721363583</v>
      </c>
      <c r="AY26" s="449">
        <f t="shared" si="26"/>
        <v>254.9577708204537</v>
      </c>
    </row>
    <row r="27" spans="2:51">
      <c r="B27" s="278"/>
      <c r="C27" s="360">
        <v>2018</v>
      </c>
      <c r="E27" s="448">
        <v>10129.936439999999</v>
      </c>
      <c r="F27" s="445">
        <f t="shared" si="0"/>
        <v>40519.745759999998</v>
      </c>
      <c r="G27" s="445">
        <f t="shared" si="1"/>
        <v>2025.987288</v>
      </c>
      <c r="H27" s="449">
        <f t="shared" si="2"/>
        <v>303.89809319999995</v>
      </c>
      <c r="J27" s="448">
        <v>8731.1641412010922</v>
      </c>
      <c r="K27" s="445">
        <f t="shared" si="3"/>
        <v>34924.656564804369</v>
      </c>
      <c r="L27" s="445">
        <f t="shared" si="4"/>
        <v>1746.2328282402186</v>
      </c>
      <c r="M27" s="449">
        <f t="shared" si="5"/>
        <v>261.93492423603277</v>
      </c>
      <c r="O27" s="448">
        <v>8731.1641412010922</v>
      </c>
      <c r="P27" s="445">
        <f t="shared" si="6"/>
        <v>34924.656564804369</v>
      </c>
      <c r="Q27" s="445">
        <f t="shared" si="7"/>
        <v>1746.2328282402186</v>
      </c>
      <c r="R27" s="449">
        <f t="shared" si="8"/>
        <v>261.93492423603277</v>
      </c>
      <c r="V27" s="448">
        <v>68</v>
      </c>
      <c r="W27" s="445">
        <f t="shared" si="9"/>
        <v>272</v>
      </c>
      <c r="X27" s="445">
        <f t="shared" si="10"/>
        <v>13.600000000000001</v>
      </c>
      <c r="Y27" s="449">
        <f t="shared" si="11"/>
        <v>2.04</v>
      </c>
      <c r="AA27" s="448">
        <v>8587.8226944340186</v>
      </c>
      <c r="AB27" s="445">
        <f t="shared" si="12"/>
        <v>34351.290777736074</v>
      </c>
      <c r="AC27" s="445">
        <f t="shared" si="13"/>
        <v>1717.5645388868038</v>
      </c>
      <c r="AD27" s="449">
        <f t="shared" si="14"/>
        <v>257.63468083302052</v>
      </c>
      <c r="AF27" s="448">
        <v>8587.8226944340186</v>
      </c>
      <c r="AG27" s="445">
        <f t="shared" si="15"/>
        <v>34351.290777736074</v>
      </c>
      <c r="AH27" s="445">
        <f t="shared" si="16"/>
        <v>1717.5645388868038</v>
      </c>
      <c r="AI27" s="449">
        <f t="shared" si="17"/>
        <v>257.63468083302052</v>
      </c>
      <c r="AL27" s="448">
        <v>9848.0704000000005</v>
      </c>
      <c r="AM27" s="445">
        <f t="shared" si="18"/>
        <v>39392.281600000002</v>
      </c>
      <c r="AN27" s="445">
        <f t="shared" si="19"/>
        <v>1969.6140800000003</v>
      </c>
      <c r="AO27" s="449">
        <f t="shared" si="20"/>
        <v>295.44211200000001</v>
      </c>
      <c r="AQ27" s="448">
        <v>8488.2190175424148</v>
      </c>
      <c r="AR27" s="445">
        <f t="shared" si="21"/>
        <v>33952.876070169659</v>
      </c>
      <c r="AS27" s="445">
        <f t="shared" si="22"/>
        <v>1697.643803508483</v>
      </c>
      <c r="AT27" s="449">
        <f t="shared" si="23"/>
        <v>254.64657052627243</v>
      </c>
      <c r="AV27" s="448">
        <v>8488.2190175424148</v>
      </c>
      <c r="AW27" s="445">
        <f t="shared" si="24"/>
        <v>33952.876070169659</v>
      </c>
      <c r="AX27" s="445">
        <f t="shared" si="25"/>
        <v>1697.643803508483</v>
      </c>
      <c r="AY27" s="449">
        <f t="shared" si="26"/>
        <v>254.64657052627243</v>
      </c>
    </row>
    <row r="28" spans="2:51">
      <c r="B28" s="278"/>
      <c r="C28" s="360">
        <v>2019</v>
      </c>
      <c r="E28" s="448">
        <v>11541.188542499998</v>
      </c>
      <c r="F28" s="445">
        <f t="shared" si="0"/>
        <v>46164.754169999993</v>
      </c>
      <c r="G28" s="445">
        <f t="shared" si="1"/>
        <v>2308.2377084999998</v>
      </c>
      <c r="H28" s="449">
        <f t="shared" si="2"/>
        <v>346.23565627499994</v>
      </c>
      <c r="J28" s="448">
        <v>8842.2633598910561</v>
      </c>
      <c r="K28" s="445">
        <f t="shared" si="3"/>
        <v>35369.053439564224</v>
      </c>
      <c r="L28" s="445">
        <f t="shared" si="4"/>
        <v>1768.4526719782114</v>
      </c>
      <c r="M28" s="449">
        <f t="shared" si="5"/>
        <v>265.26790079673168</v>
      </c>
      <c r="O28" s="448">
        <v>8842.2633598910561</v>
      </c>
      <c r="P28" s="445">
        <f t="shared" si="6"/>
        <v>35369.053439564224</v>
      </c>
      <c r="Q28" s="445">
        <f t="shared" si="7"/>
        <v>1768.4526719782114</v>
      </c>
      <c r="R28" s="449">
        <f t="shared" si="8"/>
        <v>265.26790079673168</v>
      </c>
      <c r="V28" s="448">
        <v>69</v>
      </c>
      <c r="W28" s="445">
        <f t="shared" si="9"/>
        <v>276</v>
      </c>
      <c r="X28" s="445">
        <f t="shared" si="10"/>
        <v>13.8</v>
      </c>
      <c r="Y28" s="449">
        <f t="shared" si="11"/>
        <v>2.0699999999999998</v>
      </c>
      <c r="AA28" s="448">
        <v>8627.25132764716</v>
      </c>
      <c r="AB28" s="445">
        <f t="shared" si="12"/>
        <v>34509.00531058864</v>
      </c>
      <c r="AC28" s="445">
        <f t="shared" si="13"/>
        <v>1725.450265529432</v>
      </c>
      <c r="AD28" s="449">
        <f t="shared" si="14"/>
        <v>258.81753982941478</v>
      </c>
      <c r="AF28" s="448">
        <v>8627.25132764716</v>
      </c>
      <c r="AG28" s="445">
        <f t="shared" si="15"/>
        <v>34509.00531058864</v>
      </c>
      <c r="AH28" s="445">
        <f t="shared" si="16"/>
        <v>1725.450265529432</v>
      </c>
      <c r="AI28" s="449">
        <f t="shared" si="17"/>
        <v>258.81753982941478</v>
      </c>
      <c r="AL28" s="448">
        <v>11065.5396</v>
      </c>
      <c r="AM28" s="445">
        <f t="shared" si="18"/>
        <v>44262.1584</v>
      </c>
      <c r="AN28" s="445">
        <f t="shared" si="19"/>
        <v>2213.1079199999999</v>
      </c>
      <c r="AO28" s="449">
        <f t="shared" si="20"/>
        <v>331.96618799999999</v>
      </c>
      <c r="AQ28" s="448">
        <v>8477.8456744030391</v>
      </c>
      <c r="AR28" s="445">
        <f t="shared" si="21"/>
        <v>33911.382697612156</v>
      </c>
      <c r="AS28" s="445">
        <f t="shared" si="22"/>
        <v>1695.5691348806079</v>
      </c>
      <c r="AT28" s="449">
        <f t="shared" si="23"/>
        <v>254.33537023209115</v>
      </c>
      <c r="AV28" s="448">
        <v>8477.8456744030391</v>
      </c>
      <c r="AW28" s="445">
        <f t="shared" si="24"/>
        <v>33911.382697612156</v>
      </c>
      <c r="AX28" s="445">
        <f t="shared" si="25"/>
        <v>1695.5691348806079</v>
      </c>
      <c r="AY28" s="449">
        <f t="shared" si="26"/>
        <v>254.33537023209115</v>
      </c>
    </row>
    <row r="29" spans="2:51">
      <c r="B29" s="278"/>
      <c r="C29" s="360">
        <v>2020</v>
      </c>
      <c r="E29" s="448">
        <v>12984.6651</v>
      </c>
      <c r="F29" s="445">
        <f t="shared" si="0"/>
        <v>51938.660400000001</v>
      </c>
      <c r="G29" s="445">
        <f t="shared" si="1"/>
        <v>2596.9330200000004</v>
      </c>
      <c r="H29" s="449">
        <f t="shared" si="2"/>
        <v>389.53995299999997</v>
      </c>
      <c r="J29" s="448">
        <v>8953.3625785810218</v>
      </c>
      <c r="K29" s="445">
        <f t="shared" si="3"/>
        <v>35813.450314324087</v>
      </c>
      <c r="L29" s="445">
        <f t="shared" si="4"/>
        <v>1790.6725157162045</v>
      </c>
      <c r="M29" s="449">
        <f t="shared" si="5"/>
        <v>268.60087735743065</v>
      </c>
      <c r="O29" s="448">
        <v>8953.3625785810218</v>
      </c>
      <c r="P29" s="445">
        <f t="shared" si="6"/>
        <v>35813.450314324087</v>
      </c>
      <c r="Q29" s="445">
        <f t="shared" si="7"/>
        <v>1790.6725157162045</v>
      </c>
      <c r="R29" s="449">
        <f t="shared" si="8"/>
        <v>268.60087735743065</v>
      </c>
      <c r="V29" s="448">
        <v>70</v>
      </c>
      <c r="W29" s="445">
        <f t="shared" si="9"/>
        <v>280</v>
      </c>
      <c r="X29" s="445">
        <f t="shared" si="10"/>
        <v>14</v>
      </c>
      <c r="Y29" s="449">
        <f t="shared" si="11"/>
        <v>2.1</v>
      </c>
      <c r="AA29" s="448">
        <v>8666.6802240866546</v>
      </c>
      <c r="AB29" s="445">
        <f t="shared" si="12"/>
        <v>34666.720896346618</v>
      </c>
      <c r="AC29" s="445">
        <f t="shared" si="13"/>
        <v>1733.336044817331</v>
      </c>
      <c r="AD29" s="449">
        <f t="shared" si="14"/>
        <v>260.00040672259962</v>
      </c>
      <c r="AF29" s="448">
        <v>8666.6802240866546</v>
      </c>
      <c r="AG29" s="445">
        <f t="shared" si="15"/>
        <v>34666.720896346618</v>
      </c>
      <c r="AH29" s="445">
        <f t="shared" si="16"/>
        <v>1733.336044817331</v>
      </c>
      <c r="AI29" s="449">
        <f t="shared" si="17"/>
        <v>260.00040672259962</v>
      </c>
      <c r="AL29" s="448">
        <v>12280</v>
      </c>
      <c r="AM29" s="445">
        <f t="shared" si="18"/>
        <v>49120</v>
      </c>
      <c r="AN29" s="445">
        <f t="shared" si="19"/>
        <v>2456</v>
      </c>
      <c r="AO29" s="449">
        <f t="shared" si="20"/>
        <v>368.4</v>
      </c>
      <c r="AQ29" s="448">
        <v>8467.4723312636634</v>
      </c>
      <c r="AR29" s="445">
        <f t="shared" si="21"/>
        <v>33869.889325054653</v>
      </c>
      <c r="AS29" s="445">
        <f t="shared" si="22"/>
        <v>1693.4944662527328</v>
      </c>
      <c r="AT29" s="449">
        <f t="shared" si="23"/>
        <v>254.0241699379099</v>
      </c>
      <c r="AV29" s="448">
        <v>8467.4723312636634</v>
      </c>
      <c r="AW29" s="445">
        <f t="shared" si="24"/>
        <v>33869.889325054653</v>
      </c>
      <c r="AX29" s="445">
        <f t="shared" si="25"/>
        <v>1693.4944662527328</v>
      </c>
      <c r="AY29" s="449">
        <f t="shared" si="26"/>
        <v>254.0241699379099</v>
      </c>
    </row>
    <row r="30" spans="2:51">
      <c r="B30" s="278"/>
      <c r="C30" s="360">
        <v>2021</v>
      </c>
      <c r="E30" s="446">
        <v>14460.366112499998</v>
      </c>
      <c r="F30" s="438">
        <f t="shared" si="0"/>
        <v>57841.464449999992</v>
      </c>
      <c r="G30" s="438">
        <f t="shared" si="1"/>
        <v>2892.0732224999997</v>
      </c>
      <c r="H30" s="447">
        <f t="shared" si="2"/>
        <v>433.81098337499992</v>
      </c>
      <c r="J30" s="446">
        <v>9064.4617972709839</v>
      </c>
      <c r="K30" s="438">
        <f t="shared" si="3"/>
        <v>36257.847189083936</v>
      </c>
      <c r="L30" s="438">
        <f t="shared" si="4"/>
        <v>1812.8923594541968</v>
      </c>
      <c r="M30" s="447">
        <f t="shared" si="5"/>
        <v>271.9338539181295</v>
      </c>
      <c r="O30" s="446">
        <v>9064.4617972709839</v>
      </c>
      <c r="P30" s="438">
        <f t="shared" si="6"/>
        <v>36257.847189083936</v>
      </c>
      <c r="Q30" s="438">
        <f t="shared" si="7"/>
        <v>1812.8923594541968</v>
      </c>
      <c r="R30" s="447">
        <f t="shared" si="8"/>
        <v>271.9338539181295</v>
      </c>
      <c r="V30" s="446">
        <v>71</v>
      </c>
      <c r="W30" s="438">
        <f t="shared" si="9"/>
        <v>284</v>
      </c>
      <c r="X30" s="438">
        <f t="shared" si="10"/>
        <v>14.200000000000001</v>
      </c>
      <c r="Y30" s="447">
        <f t="shared" si="11"/>
        <v>2.13</v>
      </c>
      <c r="AA30" s="446">
        <v>8726.381157064332</v>
      </c>
      <c r="AB30" s="438">
        <f t="shared" si="12"/>
        <v>34905.524628257328</v>
      </c>
      <c r="AC30" s="438">
        <f t="shared" si="13"/>
        <v>1745.2762314128665</v>
      </c>
      <c r="AD30" s="447">
        <f t="shared" si="14"/>
        <v>261.79143471192992</v>
      </c>
      <c r="AF30" s="446">
        <v>8726.381157064332</v>
      </c>
      <c r="AG30" s="438">
        <f t="shared" si="15"/>
        <v>34905.524628257328</v>
      </c>
      <c r="AH30" s="438">
        <f t="shared" si="16"/>
        <v>1745.2762314128665</v>
      </c>
      <c r="AI30" s="447">
        <f t="shared" si="17"/>
        <v>261.79143471192992</v>
      </c>
      <c r="AL30" s="446">
        <v>13516.8</v>
      </c>
      <c r="AM30" s="438">
        <f t="shared" si="18"/>
        <v>54067.199999999997</v>
      </c>
      <c r="AN30" s="438">
        <f t="shared" si="19"/>
        <v>2703.36</v>
      </c>
      <c r="AO30" s="447">
        <f t="shared" si="20"/>
        <v>405.50399999999996</v>
      </c>
      <c r="AQ30" s="446">
        <v>8472.9885998833797</v>
      </c>
      <c r="AR30" s="438">
        <f t="shared" si="21"/>
        <v>33891.954399533519</v>
      </c>
      <c r="AS30" s="438">
        <f t="shared" si="22"/>
        <v>1694.597719976676</v>
      </c>
      <c r="AT30" s="447">
        <f t="shared" si="23"/>
        <v>254.18965799650138</v>
      </c>
      <c r="AV30" s="446">
        <v>8472.9885998833797</v>
      </c>
      <c r="AW30" s="438">
        <f t="shared" si="24"/>
        <v>33891.954399533519</v>
      </c>
      <c r="AX30" s="438">
        <f t="shared" si="25"/>
        <v>1694.597719976676</v>
      </c>
      <c r="AY30" s="447">
        <f t="shared" si="26"/>
        <v>254.18965799650138</v>
      </c>
    </row>
    <row r="31" spans="2:51">
      <c r="B31" s="278"/>
      <c r="C31" s="360">
        <v>2022</v>
      </c>
      <c r="E31" s="446">
        <v>15968.291580000001</v>
      </c>
      <c r="F31" s="438">
        <f t="shared" si="0"/>
        <v>63873.166320000004</v>
      </c>
      <c r="G31" s="438">
        <f t="shared" si="1"/>
        <v>3193.6583160000005</v>
      </c>
      <c r="H31" s="447">
        <f t="shared" si="2"/>
        <v>479.04874740000002</v>
      </c>
      <c r="J31" s="446">
        <v>9175.5610159609387</v>
      </c>
      <c r="K31" s="438">
        <f t="shared" si="3"/>
        <v>36702.244063843755</v>
      </c>
      <c r="L31" s="438">
        <f t="shared" si="4"/>
        <v>1835.1122031921877</v>
      </c>
      <c r="M31" s="447">
        <f t="shared" si="5"/>
        <v>275.26683047882813</v>
      </c>
      <c r="O31" s="446">
        <v>9660.5639393974343</v>
      </c>
      <c r="P31" s="438">
        <f t="shared" si="6"/>
        <v>38642.255757589737</v>
      </c>
      <c r="Q31" s="438">
        <f t="shared" si="7"/>
        <v>1932.1127878794869</v>
      </c>
      <c r="R31" s="447">
        <f t="shared" si="8"/>
        <v>289.81691818192303</v>
      </c>
      <c r="V31" s="446">
        <v>72</v>
      </c>
      <c r="W31" s="438">
        <f t="shared" si="9"/>
        <v>288</v>
      </c>
      <c r="X31" s="438">
        <f t="shared" si="10"/>
        <v>14.4</v>
      </c>
      <c r="Y31" s="447">
        <f t="shared" si="11"/>
        <v>2.16</v>
      </c>
      <c r="AA31" s="446">
        <v>8786.0820774549211</v>
      </c>
      <c r="AB31" s="438">
        <f t="shared" si="12"/>
        <v>35144.328309819684</v>
      </c>
      <c r="AC31" s="438">
        <f t="shared" si="13"/>
        <v>1757.2164154909842</v>
      </c>
      <c r="AD31" s="447">
        <f t="shared" si="14"/>
        <v>263.58246232364763</v>
      </c>
      <c r="AF31" s="446">
        <v>9250.4978756503788</v>
      </c>
      <c r="AG31" s="438">
        <f t="shared" si="15"/>
        <v>37001.991502601515</v>
      </c>
      <c r="AH31" s="438">
        <f t="shared" si="16"/>
        <v>1850.0995751300759</v>
      </c>
      <c r="AI31" s="447">
        <f t="shared" si="17"/>
        <v>277.51493626951134</v>
      </c>
      <c r="AL31" s="446">
        <v>14755.2</v>
      </c>
      <c r="AM31" s="438">
        <f t="shared" si="18"/>
        <v>59020.800000000003</v>
      </c>
      <c r="AN31" s="438">
        <f t="shared" si="19"/>
        <v>2951.0400000000004</v>
      </c>
      <c r="AO31" s="447">
        <f t="shared" si="20"/>
        <v>442.65600000000001</v>
      </c>
      <c r="AQ31" s="446">
        <v>8478.5048685030852</v>
      </c>
      <c r="AR31" s="438">
        <f t="shared" si="21"/>
        <v>33914.019474012341</v>
      </c>
      <c r="AS31" s="438">
        <f t="shared" si="22"/>
        <v>1695.7009737006172</v>
      </c>
      <c r="AT31" s="447">
        <f t="shared" si="23"/>
        <v>254.35514605509255</v>
      </c>
      <c r="AV31" s="446">
        <v>8926.6627130688339</v>
      </c>
      <c r="AW31" s="438">
        <f t="shared" si="24"/>
        <v>35706.650852275336</v>
      </c>
      <c r="AX31" s="438">
        <f t="shared" si="25"/>
        <v>1785.3325426137669</v>
      </c>
      <c r="AY31" s="447">
        <f t="shared" si="26"/>
        <v>267.799881392065</v>
      </c>
    </row>
    <row r="32" spans="2:51">
      <c r="B32" s="278"/>
      <c r="C32" s="360">
        <v>2023</v>
      </c>
      <c r="E32" s="446">
        <v>17508.441502499998</v>
      </c>
      <c r="F32" s="438">
        <f t="shared" si="0"/>
        <v>70033.766009999992</v>
      </c>
      <c r="G32" s="438">
        <f t="shared" si="1"/>
        <v>3501.6883005</v>
      </c>
      <c r="H32" s="447">
        <f t="shared" si="2"/>
        <v>525.25324507499988</v>
      </c>
      <c r="J32" s="446">
        <v>9286.6602346509026</v>
      </c>
      <c r="K32" s="438">
        <f t="shared" si="3"/>
        <v>37146.64093860361</v>
      </c>
      <c r="L32" s="438">
        <f t="shared" si="4"/>
        <v>1857.3320469301807</v>
      </c>
      <c r="M32" s="447">
        <f t="shared" si="5"/>
        <v>278.59980703952709</v>
      </c>
      <c r="O32" s="446">
        <v>36989.80266900875</v>
      </c>
      <c r="P32" s="438">
        <f t="shared" si="6"/>
        <v>147959.210676035</v>
      </c>
      <c r="Q32" s="438">
        <f t="shared" si="7"/>
        <v>7397.96053380175</v>
      </c>
      <c r="R32" s="447">
        <f t="shared" si="8"/>
        <v>1109.6940800702625</v>
      </c>
      <c r="V32" s="446">
        <v>73</v>
      </c>
      <c r="W32" s="438">
        <f t="shared" si="9"/>
        <v>292</v>
      </c>
      <c r="X32" s="438">
        <f t="shared" si="10"/>
        <v>14.600000000000001</v>
      </c>
      <c r="Y32" s="447">
        <f t="shared" si="11"/>
        <v>2.19</v>
      </c>
      <c r="AA32" s="446">
        <v>8845.7829978455193</v>
      </c>
      <c r="AB32" s="438">
        <f t="shared" si="12"/>
        <v>35383.131991382077</v>
      </c>
      <c r="AC32" s="438">
        <f t="shared" si="13"/>
        <v>1769.1565995691039</v>
      </c>
      <c r="AD32" s="447">
        <f t="shared" si="14"/>
        <v>265.37348993536557</v>
      </c>
      <c r="AF32" s="446">
        <v>35233.739501128453</v>
      </c>
      <c r="AG32" s="438">
        <f t="shared" si="15"/>
        <v>140934.95800451381</v>
      </c>
      <c r="AH32" s="438">
        <f t="shared" si="16"/>
        <v>7046.7479002256914</v>
      </c>
      <c r="AI32" s="447">
        <f t="shared" si="17"/>
        <v>1057.0121850338535</v>
      </c>
      <c r="AL32" s="446">
        <v>15995.2</v>
      </c>
      <c r="AM32" s="438">
        <f t="shared" si="18"/>
        <v>63980.800000000003</v>
      </c>
      <c r="AN32" s="438">
        <f t="shared" si="19"/>
        <v>3199.0400000000004</v>
      </c>
      <c r="AO32" s="447">
        <f t="shared" si="20"/>
        <v>479.85599999999999</v>
      </c>
      <c r="AQ32" s="446">
        <v>8484.0211371228033</v>
      </c>
      <c r="AR32" s="438">
        <f t="shared" si="21"/>
        <v>33936.084548491213</v>
      </c>
      <c r="AS32" s="438">
        <f t="shared" si="22"/>
        <v>1696.8042274245608</v>
      </c>
      <c r="AT32" s="447">
        <f t="shared" si="23"/>
        <v>254.52063411368408</v>
      </c>
      <c r="AV32" s="446">
        <v>33792.801693220194</v>
      </c>
      <c r="AW32" s="438">
        <f t="shared" si="24"/>
        <v>135171.20677288077</v>
      </c>
      <c r="AX32" s="438">
        <f t="shared" si="25"/>
        <v>6758.5603386440389</v>
      </c>
      <c r="AY32" s="447">
        <f t="shared" si="26"/>
        <v>1013.7840507966058</v>
      </c>
    </row>
    <row r="33" spans="2:51">
      <c r="B33" s="278"/>
      <c r="C33" s="360">
        <v>2024</v>
      </c>
      <c r="E33" s="446">
        <v>19080.815879999998</v>
      </c>
      <c r="F33" s="438">
        <f t="shared" si="0"/>
        <v>76323.263519999993</v>
      </c>
      <c r="G33" s="438">
        <f t="shared" si="1"/>
        <v>3816.163176</v>
      </c>
      <c r="H33" s="447">
        <f t="shared" si="2"/>
        <v>572.42447639999989</v>
      </c>
      <c r="J33" s="446">
        <v>9397.7594533408665</v>
      </c>
      <c r="K33" s="438">
        <f t="shared" si="3"/>
        <v>37591.037813363466</v>
      </c>
      <c r="L33" s="438">
        <f t="shared" si="4"/>
        <v>1879.5518906681734</v>
      </c>
      <c r="M33" s="447">
        <f t="shared" si="5"/>
        <v>281.932783600226</v>
      </c>
      <c r="O33" s="446">
        <v>52213.805096697986</v>
      </c>
      <c r="P33" s="438">
        <f t="shared" si="6"/>
        <v>208855.22038679195</v>
      </c>
      <c r="Q33" s="438">
        <f t="shared" si="7"/>
        <v>10442.761019339598</v>
      </c>
      <c r="R33" s="447">
        <f t="shared" si="8"/>
        <v>1566.4141529009396</v>
      </c>
      <c r="V33" s="446">
        <v>74</v>
      </c>
      <c r="W33" s="438">
        <f t="shared" si="9"/>
        <v>296</v>
      </c>
      <c r="X33" s="438">
        <f t="shared" si="10"/>
        <v>14.8</v>
      </c>
      <c r="Y33" s="447">
        <f t="shared" si="11"/>
        <v>2.2199999999999998</v>
      </c>
      <c r="AA33" s="446">
        <v>8905.4839182361156</v>
      </c>
      <c r="AB33" s="438">
        <f t="shared" si="12"/>
        <v>35621.935672944463</v>
      </c>
      <c r="AC33" s="438">
        <f t="shared" si="13"/>
        <v>1781.0967836472232</v>
      </c>
      <c r="AD33" s="447">
        <f t="shared" si="14"/>
        <v>267.16451754708345</v>
      </c>
      <c r="AF33" s="446">
        <v>49478.729893778778</v>
      </c>
      <c r="AG33" s="438">
        <f t="shared" si="15"/>
        <v>197914.91957511511</v>
      </c>
      <c r="AH33" s="438">
        <f t="shared" si="16"/>
        <v>9895.7459787557564</v>
      </c>
      <c r="AI33" s="447">
        <f t="shared" si="17"/>
        <v>1484.3618968133633</v>
      </c>
      <c r="AL33" s="446">
        <v>17236.8</v>
      </c>
      <c r="AM33" s="438">
        <f t="shared" si="18"/>
        <v>68947.199999999997</v>
      </c>
      <c r="AN33" s="438">
        <f t="shared" si="19"/>
        <v>3447.36</v>
      </c>
      <c r="AO33" s="447">
        <f t="shared" si="20"/>
        <v>517.10399999999993</v>
      </c>
      <c r="AQ33" s="446">
        <v>8489.5374057425179</v>
      </c>
      <c r="AR33" s="438">
        <f t="shared" si="21"/>
        <v>33958.149622970072</v>
      </c>
      <c r="AS33" s="438">
        <f t="shared" si="22"/>
        <v>1697.9074811485036</v>
      </c>
      <c r="AT33" s="447">
        <f t="shared" si="23"/>
        <v>254.68612217227553</v>
      </c>
      <c r="AV33" s="446">
        <v>47167.737551208091</v>
      </c>
      <c r="AW33" s="438">
        <f t="shared" si="24"/>
        <v>188670.95020483236</v>
      </c>
      <c r="AX33" s="438">
        <f t="shared" si="25"/>
        <v>9433.5475102416185</v>
      </c>
      <c r="AY33" s="447">
        <f t="shared" si="26"/>
        <v>1415.0321265362427</v>
      </c>
    </row>
    <row r="34" spans="2:51">
      <c r="B34" s="278"/>
      <c r="C34" s="360">
        <v>2025</v>
      </c>
      <c r="E34" s="446">
        <v>20685.414712499998</v>
      </c>
      <c r="F34" s="438">
        <f t="shared" si="0"/>
        <v>82741.658849999993</v>
      </c>
      <c r="G34" s="438">
        <f t="shared" si="1"/>
        <v>4137.0829425000002</v>
      </c>
      <c r="H34" s="447">
        <f t="shared" si="2"/>
        <v>620.56244137499993</v>
      </c>
      <c r="J34" s="446">
        <v>9508.8586720308303</v>
      </c>
      <c r="K34" s="438">
        <f t="shared" si="3"/>
        <v>38035.434688123321</v>
      </c>
      <c r="L34" s="438">
        <f t="shared" si="4"/>
        <v>1901.7717344061662</v>
      </c>
      <c r="M34" s="447">
        <f t="shared" si="5"/>
        <v>285.26576016092491</v>
      </c>
      <c r="O34" s="446">
        <v>73616.181603473728</v>
      </c>
      <c r="P34" s="438">
        <f t="shared" si="6"/>
        <v>294464.72641389491</v>
      </c>
      <c r="Q34" s="438">
        <f t="shared" si="7"/>
        <v>14723.236320694747</v>
      </c>
      <c r="R34" s="447">
        <f t="shared" si="8"/>
        <v>2208.4854481042116</v>
      </c>
      <c r="V34" s="446">
        <v>75</v>
      </c>
      <c r="W34" s="438">
        <f t="shared" si="9"/>
        <v>300</v>
      </c>
      <c r="X34" s="438">
        <f t="shared" si="10"/>
        <v>15</v>
      </c>
      <c r="Y34" s="447">
        <f t="shared" si="11"/>
        <v>2.25</v>
      </c>
      <c r="AA34" s="446">
        <v>8965.1853385892955</v>
      </c>
      <c r="AB34" s="438">
        <f t="shared" si="12"/>
        <v>35860.741354357182</v>
      </c>
      <c r="AC34" s="438">
        <f t="shared" si="13"/>
        <v>1793.0370677178591</v>
      </c>
      <c r="AD34" s="447">
        <f t="shared" si="14"/>
        <v>268.95556015767886</v>
      </c>
      <c r="AF34" s="446">
        <v>69407.142829417557</v>
      </c>
      <c r="AG34" s="438">
        <f t="shared" si="15"/>
        <v>277628.57131767023</v>
      </c>
      <c r="AH34" s="438">
        <f t="shared" si="16"/>
        <v>13881.428565883512</v>
      </c>
      <c r="AI34" s="447">
        <f t="shared" si="17"/>
        <v>2082.2142848825265</v>
      </c>
      <c r="AL34" s="446">
        <v>18480</v>
      </c>
      <c r="AM34" s="438">
        <f t="shared" si="18"/>
        <v>73920</v>
      </c>
      <c r="AN34" s="438">
        <f t="shared" si="19"/>
        <v>3696</v>
      </c>
      <c r="AO34" s="447">
        <f t="shared" si="20"/>
        <v>554.4</v>
      </c>
      <c r="AQ34" s="446">
        <v>8495.0536743622342</v>
      </c>
      <c r="AR34" s="438">
        <f t="shared" si="21"/>
        <v>33980.214697448937</v>
      </c>
      <c r="AS34" s="438">
        <f t="shared" si="22"/>
        <v>1699.0107348724468</v>
      </c>
      <c r="AT34" s="447">
        <f t="shared" si="23"/>
        <v>254.85161023086701</v>
      </c>
      <c r="AV34" s="446">
        <v>65767.452813508309</v>
      </c>
      <c r="AW34" s="438">
        <f t="shared" si="24"/>
        <v>263069.81125403324</v>
      </c>
      <c r="AX34" s="438">
        <f t="shared" si="25"/>
        <v>13153.490562701663</v>
      </c>
      <c r="AY34" s="447">
        <f t="shared" si="26"/>
        <v>1973.0235844052493</v>
      </c>
    </row>
    <row r="35" spans="2:51">
      <c r="B35" s="278"/>
      <c r="C35" s="360">
        <v>2026</v>
      </c>
      <c r="E35" s="446">
        <v>22322.237999999998</v>
      </c>
      <c r="F35" s="438">
        <f t="shared" si="0"/>
        <v>89288.95199999999</v>
      </c>
      <c r="G35" s="438">
        <f t="shared" si="1"/>
        <v>4464.4475999999995</v>
      </c>
      <c r="H35" s="447">
        <f t="shared" si="2"/>
        <v>669.6671399999999</v>
      </c>
      <c r="J35" s="446">
        <v>9619.9578907207942</v>
      </c>
      <c r="K35" s="438">
        <f t="shared" si="3"/>
        <v>38479.831562883177</v>
      </c>
      <c r="L35" s="438">
        <f t="shared" si="4"/>
        <v>1923.9915781441589</v>
      </c>
      <c r="M35" s="447">
        <f t="shared" si="5"/>
        <v>288.59873672162382</v>
      </c>
      <c r="O35" s="446">
        <v>103625.94419416178</v>
      </c>
      <c r="P35" s="438">
        <f t="shared" si="6"/>
        <v>414503.77677664714</v>
      </c>
      <c r="Q35" s="438">
        <f t="shared" si="7"/>
        <v>20725.188838832357</v>
      </c>
      <c r="R35" s="447">
        <f t="shared" si="8"/>
        <v>3108.7783258248533</v>
      </c>
      <c r="V35" s="446">
        <v>76</v>
      </c>
      <c r="W35" s="438">
        <f t="shared" si="9"/>
        <v>304</v>
      </c>
      <c r="X35" s="438">
        <f t="shared" si="10"/>
        <v>15.200000000000001</v>
      </c>
      <c r="Y35" s="447">
        <f t="shared" si="11"/>
        <v>2.2799999999999998</v>
      </c>
      <c r="AA35" s="446">
        <v>9030.3617588761026</v>
      </c>
      <c r="AB35" s="438">
        <f t="shared" si="12"/>
        <v>36121.44703550441</v>
      </c>
      <c r="AC35" s="438">
        <f t="shared" si="13"/>
        <v>1806.0723517752206</v>
      </c>
      <c r="AD35" s="447">
        <f t="shared" si="14"/>
        <v>270.91085276628309</v>
      </c>
      <c r="AF35" s="446">
        <v>97274.829506376627</v>
      </c>
      <c r="AG35" s="438">
        <f t="shared" si="15"/>
        <v>389099.31802550651</v>
      </c>
      <c r="AH35" s="438">
        <f t="shared" si="16"/>
        <v>19454.965901275325</v>
      </c>
      <c r="AI35" s="447">
        <f t="shared" si="17"/>
        <v>2918.2448851912986</v>
      </c>
      <c r="AL35" s="446">
        <v>19737.599999999999</v>
      </c>
      <c r="AM35" s="438">
        <f t="shared" si="18"/>
        <v>78950.399999999994</v>
      </c>
      <c r="AN35" s="438">
        <f t="shared" si="19"/>
        <v>3947.52</v>
      </c>
      <c r="AO35" s="447">
        <f t="shared" si="20"/>
        <v>592.12799999999993</v>
      </c>
      <c r="AQ35" s="446">
        <v>8506.0862116016651</v>
      </c>
      <c r="AR35" s="438">
        <f t="shared" si="21"/>
        <v>34024.344846406661</v>
      </c>
      <c r="AS35" s="438">
        <f t="shared" si="22"/>
        <v>1701.2172423203331</v>
      </c>
      <c r="AT35" s="447">
        <f t="shared" si="23"/>
        <v>255.18258634804994</v>
      </c>
      <c r="AV35" s="446">
        <v>91627.346510985488</v>
      </c>
      <c r="AW35" s="438">
        <f t="shared" si="24"/>
        <v>366509.38604394195</v>
      </c>
      <c r="AX35" s="438">
        <f t="shared" si="25"/>
        <v>18325.4693021971</v>
      </c>
      <c r="AY35" s="447">
        <f t="shared" si="26"/>
        <v>2748.8203953295647</v>
      </c>
    </row>
    <row r="36" spans="2:51">
      <c r="B36" s="278"/>
      <c r="C36" s="360">
        <v>2027</v>
      </c>
      <c r="E36" s="446">
        <v>23991.2857425</v>
      </c>
      <c r="F36" s="438">
        <f t="shared" si="0"/>
        <v>95965.142970000001</v>
      </c>
      <c r="G36" s="438">
        <f t="shared" si="1"/>
        <v>4798.2571484999999</v>
      </c>
      <c r="H36" s="447">
        <f t="shared" si="2"/>
        <v>719.73857227500002</v>
      </c>
      <c r="J36" s="446">
        <v>9731.0571094107563</v>
      </c>
      <c r="K36" s="438">
        <f t="shared" si="3"/>
        <v>38924.228437643025</v>
      </c>
      <c r="L36" s="438">
        <f t="shared" si="4"/>
        <v>1946.2114218821514</v>
      </c>
      <c r="M36" s="447">
        <f t="shared" si="5"/>
        <v>291.93171328232268</v>
      </c>
      <c r="O36" s="446">
        <v>145554.17648078327</v>
      </c>
      <c r="P36" s="438">
        <f t="shared" si="6"/>
        <v>582216.70592313306</v>
      </c>
      <c r="Q36" s="438">
        <f t="shared" si="7"/>
        <v>29110.835296156656</v>
      </c>
      <c r="R36" s="447">
        <f t="shared" si="8"/>
        <v>4366.6252944234975</v>
      </c>
      <c r="V36" s="446">
        <v>77</v>
      </c>
      <c r="W36" s="438">
        <f t="shared" si="9"/>
        <v>308</v>
      </c>
      <c r="X36" s="438">
        <f t="shared" si="10"/>
        <v>15.4</v>
      </c>
      <c r="Y36" s="447">
        <f t="shared" si="11"/>
        <v>2.31</v>
      </c>
      <c r="AA36" s="446">
        <v>9095.5384033120608</v>
      </c>
      <c r="AB36" s="438">
        <f t="shared" si="12"/>
        <v>36382.153613248243</v>
      </c>
      <c r="AC36" s="438">
        <f t="shared" si="13"/>
        <v>1819.1076806624123</v>
      </c>
      <c r="AD36" s="447">
        <f t="shared" si="14"/>
        <v>272.86615209936184</v>
      </c>
      <c r="AF36" s="446">
        <v>136048.28201687441</v>
      </c>
      <c r="AG36" s="438">
        <f t="shared" si="15"/>
        <v>544193.12806749763</v>
      </c>
      <c r="AH36" s="438">
        <f t="shared" si="16"/>
        <v>27209.656403374884</v>
      </c>
      <c r="AI36" s="447">
        <f t="shared" si="17"/>
        <v>4081.4484605062321</v>
      </c>
      <c r="AL36" s="446">
        <v>20998.400000000001</v>
      </c>
      <c r="AM36" s="438">
        <f t="shared" si="18"/>
        <v>83993.600000000006</v>
      </c>
      <c r="AN36" s="438">
        <f t="shared" si="19"/>
        <v>4199.68</v>
      </c>
      <c r="AO36" s="447">
        <f t="shared" si="20"/>
        <v>629.952</v>
      </c>
      <c r="AQ36" s="446">
        <v>8517.1187488410978</v>
      </c>
      <c r="AR36" s="438">
        <f t="shared" si="21"/>
        <v>34068.474995364391</v>
      </c>
      <c r="AS36" s="438">
        <f t="shared" si="22"/>
        <v>1703.4237497682197</v>
      </c>
      <c r="AT36" s="447">
        <f t="shared" si="23"/>
        <v>255.51356246523292</v>
      </c>
      <c r="AV36" s="446">
        <v>127396.45770629667</v>
      </c>
      <c r="AW36" s="438">
        <f t="shared" si="24"/>
        <v>509585.83082518668</v>
      </c>
      <c r="AX36" s="438">
        <f t="shared" si="25"/>
        <v>25479.291541259336</v>
      </c>
      <c r="AY36" s="447">
        <f t="shared" si="26"/>
        <v>3821.8937311888999</v>
      </c>
    </row>
    <row r="37" spans="2:51">
      <c r="B37" s="278"/>
      <c r="C37" s="360">
        <v>2028</v>
      </c>
      <c r="E37" s="446">
        <v>25692.557939999999</v>
      </c>
      <c r="F37" s="438">
        <f t="shared" si="0"/>
        <v>102770.23176</v>
      </c>
      <c r="G37" s="438">
        <f t="shared" si="1"/>
        <v>5138.5115880000003</v>
      </c>
      <c r="H37" s="447">
        <f t="shared" si="2"/>
        <v>770.77673819999995</v>
      </c>
      <c r="J37" s="446">
        <v>9842.1563281007202</v>
      </c>
      <c r="K37" s="438">
        <f t="shared" si="3"/>
        <v>39368.625312402881</v>
      </c>
      <c r="L37" s="438">
        <f t="shared" si="4"/>
        <v>1968.4312656201441</v>
      </c>
      <c r="M37" s="447">
        <f t="shared" si="5"/>
        <v>295.26468984302159</v>
      </c>
      <c r="O37" s="446">
        <v>203845.54173151319</v>
      </c>
      <c r="P37" s="438">
        <f t="shared" si="6"/>
        <v>815382.16692605277</v>
      </c>
      <c r="Q37" s="438">
        <f t="shared" si="7"/>
        <v>40769.108346302644</v>
      </c>
      <c r="R37" s="447">
        <f t="shared" si="8"/>
        <v>6115.3662519453956</v>
      </c>
      <c r="V37" s="446">
        <v>78</v>
      </c>
      <c r="W37" s="438">
        <f t="shared" si="9"/>
        <v>312</v>
      </c>
      <c r="X37" s="438">
        <f t="shared" si="10"/>
        <v>15.600000000000001</v>
      </c>
      <c r="Y37" s="447">
        <f t="shared" si="11"/>
        <v>2.34</v>
      </c>
      <c r="AA37" s="446">
        <v>9160.7150477480191</v>
      </c>
      <c r="AB37" s="438">
        <f t="shared" si="12"/>
        <v>36642.860190992076</v>
      </c>
      <c r="AC37" s="438">
        <f t="shared" si="13"/>
        <v>1832.1430095496039</v>
      </c>
      <c r="AD37" s="447">
        <f t="shared" si="14"/>
        <v>274.82145143244054</v>
      </c>
      <c r="AF37" s="446">
        <v>189731.88997462037</v>
      </c>
      <c r="AG37" s="438">
        <f t="shared" si="15"/>
        <v>758927.55989848147</v>
      </c>
      <c r="AH37" s="438">
        <f t="shared" si="16"/>
        <v>37946.377994924078</v>
      </c>
      <c r="AI37" s="447">
        <f t="shared" si="17"/>
        <v>5691.9566992386108</v>
      </c>
      <c r="AL37" s="446">
        <v>22262.400000000001</v>
      </c>
      <c r="AM37" s="438">
        <f t="shared" si="18"/>
        <v>89049.600000000006</v>
      </c>
      <c r="AN37" s="438">
        <f t="shared" si="19"/>
        <v>4452.4800000000005</v>
      </c>
      <c r="AO37" s="447">
        <f t="shared" si="20"/>
        <v>667.87200000000007</v>
      </c>
      <c r="AQ37" s="446">
        <v>8528.1512860805287</v>
      </c>
      <c r="AR37" s="438">
        <f t="shared" si="21"/>
        <v>34112.605144322115</v>
      </c>
      <c r="AS37" s="438">
        <f t="shared" si="22"/>
        <v>1705.6302572161057</v>
      </c>
      <c r="AT37" s="447">
        <f t="shared" si="23"/>
        <v>255.84453858241585</v>
      </c>
      <c r="AV37" s="446">
        <v>176630.56356013569</v>
      </c>
      <c r="AW37" s="438">
        <f t="shared" si="24"/>
        <v>706522.25424054277</v>
      </c>
      <c r="AX37" s="438">
        <f t="shared" si="25"/>
        <v>35326.112712027141</v>
      </c>
      <c r="AY37" s="447">
        <f t="shared" si="26"/>
        <v>5298.916906804071</v>
      </c>
    </row>
    <row r="38" spans="2:51">
      <c r="B38" s="278"/>
      <c r="C38" s="360">
        <v>2029</v>
      </c>
      <c r="E38" s="446">
        <v>27426.054592499997</v>
      </c>
      <c r="F38" s="438">
        <f t="shared" si="0"/>
        <v>109704.21836999999</v>
      </c>
      <c r="G38" s="438">
        <f t="shared" si="1"/>
        <v>5485.2109184999999</v>
      </c>
      <c r="H38" s="447">
        <f t="shared" si="2"/>
        <v>822.78163777499992</v>
      </c>
      <c r="J38" s="446">
        <v>9953.2555467906841</v>
      </c>
      <c r="K38" s="438">
        <f t="shared" si="3"/>
        <v>39813.022187162736</v>
      </c>
      <c r="L38" s="438">
        <f t="shared" si="4"/>
        <v>1990.6511093581369</v>
      </c>
      <c r="M38" s="447">
        <f t="shared" si="5"/>
        <v>298.5976664037205</v>
      </c>
      <c r="O38" s="446">
        <v>284334.70364765718</v>
      </c>
      <c r="P38" s="438">
        <f t="shared" si="6"/>
        <v>1137338.8145906287</v>
      </c>
      <c r="Q38" s="438">
        <f t="shared" si="7"/>
        <v>56866.940729531438</v>
      </c>
      <c r="R38" s="447">
        <f t="shared" si="8"/>
        <v>8530.041109429716</v>
      </c>
      <c r="V38" s="446">
        <v>79</v>
      </c>
      <c r="W38" s="438">
        <f t="shared" si="9"/>
        <v>316</v>
      </c>
      <c r="X38" s="438">
        <f t="shared" si="10"/>
        <v>15.8</v>
      </c>
      <c r="Y38" s="447">
        <f t="shared" si="11"/>
        <v>2.37</v>
      </c>
      <c r="AA38" s="446">
        <v>9225.8916921839773</v>
      </c>
      <c r="AB38" s="438">
        <f t="shared" si="12"/>
        <v>36903.566768735909</v>
      </c>
      <c r="AC38" s="438">
        <f t="shared" si="13"/>
        <v>1845.1783384367955</v>
      </c>
      <c r="AD38" s="447">
        <f t="shared" si="14"/>
        <v>276.7767507655193</v>
      </c>
      <c r="AF38" s="446">
        <v>263556.09658071608</v>
      </c>
      <c r="AG38" s="438">
        <f t="shared" si="15"/>
        <v>1054224.3863228643</v>
      </c>
      <c r="AH38" s="438">
        <f t="shared" si="16"/>
        <v>52711.219316143222</v>
      </c>
      <c r="AI38" s="447">
        <f t="shared" si="17"/>
        <v>7906.6828974214823</v>
      </c>
      <c r="AL38" s="446">
        <v>23529.599999999999</v>
      </c>
      <c r="AM38" s="438">
        <f t="shared" si="18"/>
        <v>94118.399999999994</v>
      </c>
      <c r="AN38" s="438">
        <f t="shared" si="19"/>
        <v>4705.92</v>
      </c>
      <c r="AO38" s="447">
        <f t="shared" si="20"/>
        <v>705.88799999999992</v>
      </c>
      <c r="AQ38" s="446">
        <v>8539.1838233199596</v>
      </c>
      <c r="AR38" s="438">
        <f t="shared" si="21"/>
        <v>34156.735293279839</v>
      </c>
      <c r="AS38" s="438">
        <f t="shared" si="22"/>
        <v>1707.836764663992</v>
      </c>
      <c r="AT38" s="447">
        <f t="shared" si="23"/>
        <v>256.17551469959881</v>
      </c>
      <c r="AV38" s="446">
        <v>243938.90927269778</v>
      </c>
      <c r="AW38" s="438">
        <f t="shared" si="24"/>
        <v>975755.63709079113</v>
      </c>
      <c r="AX38" s="438">
        <f t="shared" si="25"/>
        <v>48787.781854539557</v>
      </c>
      <c r="AY38" s="447">
        <f t="shared" si="26"/>
        <v>7318.167278180933</v>
      </c>
    </row>
    <row r="39" spans="2:51">
      <c r="B39" s="278"/>
      <c r="C39" s="360">
        <v>2030</v>
      </c>
      <c r="E39" s="446">
        <v>29191.775699999998</v>
      </c>
      <c r="F39" s="438">
        <f t="shared" si="0"/>
        <v>116767.10279999999</v>
      </c>
      <c r="G39" s="438">
        <f t="shared" si="1"/>
        <v>5838.3551399999997</v>
      </c>
      <c r="H39" s="447">
        <f t="shared" si="2"/>
        <v>875.75327099999993</v>
      </c>
      <c r="J39" s="446">
        <v>10064.354765480648</v>
      </c>
      <c r="K39" s="438">
        <f t="shared" si="3"/>
        <v>40257.419061922592</v>
      </c>
      <c r="L39" s="438">
        <f t="shared" si="4"/>
        <v>2012.8709530961296</v>
      </c>
      <c r="M39" s="447">
        <f t="shared" si="5"/>
        <v>301.93064296441941</v>
      </c>
      <c r="O39" s="446">
        <v>394431.52537978755</v>
      </c>
      <c r="P39" s="438">
        <f t="shared" si="6"/>
        <v>1577726.1015191502</v>
      </c>
      <c r="Q39" s="438">
        <f t="shared" si="7"/>
        <v>78886.305075957513</v>
      </c>
      <c r="R39" s="447">
        <f t="shared" si="8"/>
        <v>11832.945761393627</v>
      </c>
      <c r="V39" s="446">
        <v>80</v>
      </c>
      <c r="W39" s="438">
        <f t="shared" si="9"/>
        <v>320</v>
      </c>
      <c r="X39" s="438">
        <f t="shared" si="10"/>
        <v>16</v>
      </c>
      <c r="Y39" s="447">
        <f t="shared" si="11"/>
        <v>2.4</v>
      </c>
      <c r="AA39" s="446">
        <v>9291.0686850580787</v>
      </c>
      <c r="AB39" s="438">
        <f t="shared" si="12"/>
        <v>37164.274740232315</v>
      </c>
      <c r="AC39" s="438">
        <f t="shared" si="13"/>
        <v>1858.2137370116159</v>
      </c>
      <c r="AD39" s="447">
        <f t="shared" si="14"/>
        <v>278.73206055174234</v>
      </c>
      <c r="AF39" s="446">
        <v>364125.71687409299</v>
      </c>
      <c r="AG39" s="438">
        <f t="shared" si="15"/>
        <v>1456502.867496372</v>
      </c>
      <c r="AH39" s="438">
        <f t="shared" si="16"/>
        <v>72825.143374818595</v>
      </c>
      <c r="AI39" s="447">
        <f t="shared" si="17"/>
        <v>10923.771506222789</v>
      </c>
      <c r="AL39" s="446">
        <v>24800</v>
      </c>
      <c r="AM39" s="438">
        <f t="shared" si="18"/>
        <v>99200</v>
      </c>
      <c r="AN39" s="438">
        <f t="shared" si="19"/>
        <v>4960</v>
      </c>
      <c r="AO39" s="447">
        <f t="shared" si="20"/>
        <v>744</v>
      </c>
      <c r="AQ39" s="446">
        <v>8550.2163605593905</v>
      </c>
      <c r="AR39" s="438">
        <f t="shared" si="21"/>
        <v>34200.865442237562</v>
      </c>
      <c r="AS39" s="438">
        <f t="shared" si="22"/>
        <v>1710.0432721118782</v>
      </c>
      <c r="AT39" s="447">
        <f t="shared" si="23"/>
        <v>256.50649081678171</v>
      </c>
      <c r="AV39" s="446">
        <v>335091.0177560295</v>
      </c>
      <c r="AW39" s="438">
        <f t="shared" si="24"/>
        <v>1340364.071024118</v>
      </c>
      <c r="AX39" s="438">
        <f t="shared" si="25"/>
        <v>67018.203551205908</v>
      </c>
      <c r="AY39" s="447">
        <f t="shared" si="26"/>
        <v>10052.730532680884</v>
      </c>
    </row>
    <row r="40" spans="2:51">
      <c r="B40" s="278"/>
      <c r="C40" s="360">
        <v>2031</v>
      </c>
      <c r="E40" s="446">
        <v>30989.721262500003</v>
      </c>
      <c r="F40" s="438">
        <f t="shared" si="0"/>
        <v>123958.88505000001</v>
      </c>
      <c r="G40" s="438">
        <f t="shared" si="1"/>
        <v>6197.9442525000013</v>
      </c>
      <c r="H40" s="447">
        <f t="shared" si="2"/>
        <v>929.69163787500008</v>
      </c>
      <c r="J40" s="446">
        <v>55016.144727901032</v>
      </c>
      <c r="K40" s="438">
        <f t="shared" si="3"/>
        <v>220064.57891160413</v>
      </c>
      <c r="L40" s="438">
        <f t="shared" si="4"/>
        <v>11003.228945580207</v>
      </c>
      <c r="M40" s="447">
        <f t="shared" si="5"/>
        <v>1650.4843418370308</v>
      </c>
      <c r="O40" s="446">
        <v>543079.3479715971</v>
      </c>
      <c r="P40" s="438">
        <f t="shared" si="6"/>
        <v>2172317.3918863884</v>
      </c>
      <c r="Q40" s="438">
        <f t="shared" si="7"/>
        <v>108615.86959431943</v>
      </c>
      <c r="R40" s="447">
        <f t="shared" si="8"/>
        <v>16292.380439147913</v>
      </c>
      <c r="V40" s="446">
        <v>81</v>
      </c>
      <c r="W40" s="438">
        <f t="shared" si="9"/>
        <v>324</v>
      </c>
      <c r="X40" s="438">
        <f t="shared" si="10"/>
        <v>16.2</v>
      </c>
      <c r="Y40" s="447">
        <f t="shared" si="11"/>
        <v>2.4299999999999997</v>
      </c>
      <c r="AA40" s="446">
        <v>50474.633041942587</v>
      </c>
      <c r="AB40" s="438">
        <f t="shared" si="12"/>
        <v>201898.53216777035</v>
      </c>
      <c r="AC40" s="438">
        <f t="shared" si="13"/>
        <v>10094.926608388518</v>
      </c>
      <c r="AD40" s="447">
        <f t="shared" si="14"/>
        <v>1514.2389912582776</v>
      </c>
      <c r="AF40" s="446">
        <v>498248.84926228115</v>
      </c>
      <c r="AG40" s="438">
        <f t="shared" si="15"/>
        <v>1992995.3970491246</v>
      </c>
      <c r="AH40" s="438">
        <f t="shared" si="16"/>
        <v>99649.769852456229</v>
      </c>
      <c r="AI40" s="447">
        <f t="shared" si="17"/>
        <v>14947.465477868434</v>
      </c>
      <c r="AL40" s="446">
        <v>25368</v>
      </c>
      <c r="AM40" s="438">
        <f t="shared" si="18"/>
        <v>101472</v>
      </c>
      <c r="AN40" s="438">
        <f t="shared" si="19"/>
        <v>5073.6000000000004</v>
      </c>
      <c r="AO40" s="447">
        <f t="shared" si="20"/>
        <v>761.04</v>
      </c>
      <c r="AQ40" s="446">
        <v>45035.886177725624</v>
      </c>
      <c r="AR40" s="438">
        <f t="shared" si="21"/>
        <v>180143.5447109025</v>
      </c>
      <c r="AS40" s="438">
        <f t="shared" si="22"/>
        <v>9007.1772355451249</v>
      </c>
      <c r="AT40" s="447">
        <f t="shared" si="23"/>
        <v>1351.0765853317687</v>
      </c>
      <c r="AV40" s="446">
        <v>444561.49775101501</v>
      </c>
      <c r="AW40" s="438">
        <f t="shared" si="24"/>
        <v>1778245.99100406</v>
      </c>
      <c r="AX40" s="438">
        <f t="shared" si="25"/>
        <v>88912.29955020301</v>
      </c>
      <c r="AY40" s="447">
        <f t="shared" si="26"/>
        <v>13336.84493253045</v>
      </c>
    </row>
    <row r="41" spans="2:51">
      <c r="B41" s="278"/>
      <c r="C41" s="360">
        <v>2032</v>
      </c>
      <c r="E41" s="446">
        <v>32819.891280000003</v>
      </c>
      <c r="F41" s="438">
        <f t="shared" si="0"/>
        <v>131279.56512000001</v>
      </c>
      <c r="G41" s="438">
        <f t="shared" si="1"/>
        <v>6563.9782560000012</v>
      </c>
      <c r="H41" s="447">
        <f t="shared" si="2"/>
        <v>984.59673840000005</v>
      </c>
      <c r="J41" s="446">
        <v>88825.203214414738</v>
      </c>
      <c r="K41" s="438">
        <f t="shared" si="3"/>
        <v>355300.81285765895</v>
      </c>
      <c r="L41" s="438">
        <f t="shared" si="4"/>
        <v>17765.040642882948</v>
      </c>
      <c r="M41" s="447">
        <f t="shared" si="5"/>
        <v>2664.7560964324421</v>
      </c>
      <c r="O41" s="446">
        <v>740210.0267867893</v>
      </c>
      <c r="P41" s="438">
        <f t="shared" si="6"/>
        <v>2960840.1071471572</v>
      </c>
      <c r="Q41" s="438">
        <f t="shared" si="7"/>
        <v>148042.00535735788</v>
      </c>
      <c r="R41" s="447">
        <f t="shared" si="8"/>
        <v>22206.300803603677</v>
      </c>
      <c r="V41" s="446">
        <v>82</v>
      </c>
      <c r="W41" s="438">
        <f t="shared" si="9"/>
        <v>328</v>
      </c>
      <c r="X41" s="438">
        <f t="shared" si="10"/>
        <v>16.400000000000002</v>
      </c>
      <c r="Y41" s="447">
        <f t="shared" si="11"/>
        <v>2.46</v>
      </c>
      <c r="AA41" s="446">
        <v>80996.165222843163</v>
      </c>
      <c r="AB41" s="438">
        <f t="shared" si="12"/>
        <v>323984.66089137265</v>
      </c>
      <c r="AC41" s="438">
        <f t="shared" si="13"/>
        <v>16199.233044568633</v>
      </c>
      <c r="AD41" s="447">
        <f t="shared" si="14"/>
        <v>2429.8849566852946</v>
      </c>
      <c r="AF41" s="446">
        <v>674968.04352369299</v>
      </c>
      <c r="AG41" s="438">
        <f t="shared" si="15"/>
        <v>2699872.174094772</v>
      </c>
      <c r="AH41" s="438">
        <f t="shared" si="16"/>
        <v>134993.60870473861</v>
      </c>
      <c r="AI41" s="447">
        <f t="shared" si="17"/>
        <v>20249.041305710791</v>
      </c>
      <c r="AL41" s="446">
        <v>25872</v>
      </c>
      <c r="AM41" s="438">
        <f t="shared" si="18"/>
        <v>103488</v>
      </c>
      <c r="AN41" s="438">
        <f t="shared" si="19"/>
        <v>5174.4000000000005</v>
      </c>
      <c r="AO41" s="447">
        <f t="shared" si="20"/>
        <v>776.16</v>
      </c>
      <c r="AQ41" s="446">
        <v>70021.12340828382</v>
      </c>
      <c r="AR41" s="438">
        <f t="shared" si="21"/>
        <v>280084.49363313528</v>
      </c>
      <c r="AS41" s="438">
        <f t="shared" si="22"/>
        <v>14004.224681656764</v>
      </c>
      <c r="AT41" s="447">
        <f t="shared" si="23"/>
        <v>2100.6337022485145</v>
      </c>
      <c r="AV41" s="446">
        <v>583509.36173569842</v>
      </c>
      <c r="AW41" s="438">
        <f t="shared" si="24"/>
        <v>2334037.4469427937</v>
      </c>
      <c r="AX41" s="438">
        <f t="shared" si="25"/>
        <v>116701.8723471397</v>
      </c>
      <c r="AY41" s="447">
        <f t="shared" si="26"/>
        <v>17505.280852070951</v>
      </c>
    </row>
    <row r="42" spans="2:51">
      <c r="B42" s="278"/>
      <c r="C42" s="360">
        <v>2033</v>
      </c>
      <c r="E42" s="446">
        <v>34682.2857525</v>
      </c>
      <c r="F42" s="438">
        <f t="shared" ref="F42:F59" si="27">PRODUCT(E42,$C$2)</f>
        <v>138729.14301</v>
      </c>
      <c r="G42" s="438">
        <f t="shared" ref="G42:G59" si="28">PRODUCT(E42,$C$3)</f>
        <v>6936.4571505000004</v>
      </c>
      <c r="H42" s="447">
        <f t="shared" ref="H42:H59" si="29">PRODUCT(E42,$C$4)</f>
        <v>1040.4685725750001</v>
      </c>
      <c r="J42" s="446">
        <v>119433.13492812483</v>
      </c>
      <c r="K42" s="438">
        <f t="shared" ref="K42:K59" si="30">PRODUCT(J42,$C$2)</f>
        <v>477732.5397124993</v>
      </c>
      <c r="L42" s="438">
        <f t="shared" ref="L42:L59" si="31">PRODUCT(J42,$C$3)</f>
        <v>23886.626985624967</v>
      </c>
      <c r="M42" s="447">
        <f t="shared" ref="M42:M59" si="32">PRODUCT(J42,$C$4)</f>
        <v>3582.9940478437447</v>
      </c>
      <c r="O42" s="446">
        <v>995276.12440104049</v>
      </c>
      <c r="P42" s="438">
        <f t="shared" ref="P42:P59" si="33">PRODUCT(O42,$C$2)</f>
        <v>3981104.497604162</v>
      </c>
      <c r="Q42" s="438">
        <f t="shared" ref="Q42:Q59" si="34">PRODUCT(O42,$C$3)</f>
        <v>199055.22488020812</v>
      </c>
      <c r="R42" s="447">
        <f t="shared" ref="R42:R59" si="35">PRODUCT(O42,$C$4)</f>
        <v>29858.283732031214</v>
      </c>
      <c r="V42" s="446">
        <v>83</v>
      </c>
      <c r="W42" s="438">
        <f t="shared" ref="W42:W59" si="36">PRODUCT(V42,$C$2)</f>
        <v>332</v>
      </c>
      <c r="X42" s="438">
        <f t="shared" ref="X42:X59" si="37">PRODUCT(V42,$C$3)</f>
        <v>16.600000000000001</v>
      </c>
      <c r="Y42" s="447">
        <f t="shared" ref="Y42:Y59" si="38">PRODUCT(V42,$C$4)</f>
        <v>2.4899999999999998</v>
      </c>
      <c r="AA42" s="446">
        <v>108252.82456415707</v>
      </c>
      <c r="AB42" s="438">
        <f t="shared" ref="AB42:AB59" si="39">PRODUCT(AA42,$C$2)</f>
        <v>433011.29825662827</v>
      </c>
      <c r="AC42" s="438">
        <f t="shared" ref="AC42:AC59" si="40">PRODUCT(AA42,$C$3)</f>
        <v>21650.564912831414</v>
      </c>
      <c r="AD42" s="447">
        <f t="shared" ref="AD42:AD59" si="41">PRODUCT(AA42,$C$4)</f>
        <v>3247.5847369247117</v>
      </c>
      <c r="AF42" s="446">
        <v>902106.87136797595</v>
      </c>
      <c r="AG42" s="438">
        <f t="shared" ref="AG42:AG59" si="42">PRODUCT(AF42,$C$2)</f>
        <v>3608427.4854719038</v>
      </c>
      <c r="AH42" s="438">
        <f t="shared" ref="AH42:AH59" si="43">PRODUCT(AF42,$C$3)</f>
        <v>180421.3742735952</v>
      </c>
      <c r="AI42" s="447">
        <f t="shared" ref="AI42:AI59" si="44">PRODUCT(AF42,$C$4)</f>
        <v>27063.206141039278</v>
      </c>
      <c r="AL42" s="446">
        <v>26312</v>
      </c>
      <c r="AM42" s="438">
        <f t="shared" ref="AM42:AM59" si="45">PRODUCT(AL42,$C$2)</f>
        <v>105248</v>
      </c>
      <c r="AN42" s="438">
        <f t="shared" ref="AN42:AN59" si="46">PRODUCT(AL42,$C$3)</f>
        <v>5262.4000000000005</v>
      </c>
      <c r="AO42" s="447">
        <f t="shared" ref="AO42:AO59" si="47">PRODUCT(AL42,$C$4)</f>
        <v>789.36</v>
      </c>
      <c r="AQ42" s="446">
        <v>90608.925508962406</v>
      </c>
      <c r="AR42" s="438">
        <f t="shared" ref="AR42:AR59" si="48">PRODUCT(AQ42,$C$2)</f>
        <v>362435.70203584962</v>
      </c>
      <c r="AS42" s="438">
        <f t="shared" ref="AS42:AS59" si="49">PRODUCT(AQ42,$C$3)</f>
        <v>18121.78510179248</v>
      </c>
      <c r="AT42" s="447">
        <f t="shared" ref="AT42:AT59" si="50">PRODUCT(AQ42,$C$4)</f>
        <v>2718.2677652688722</v>
      </c>
      <c r="AV42" s="446">
        <v>755074.3792413536</v>
      </c>
      <c r="AW42" s="438">
        <f t="shared" ref="AW42:AW59" si="51">PRODUCT(AV42,$C$2)</f>
        <v>3020297.5169654144</v>
      </c>
      <c r="AX42" s="438">
        <f t="shared" ref="AX42:AX59" si="52">PRODUCT(AV42,$C$3)</f>
        <v>151014.87584827072</v>
      </c>
      <c r="AY42" s="447">
        <f t="shared" ref="AY42:AY59" si="53">PRODUCT(AV42,$C$4)</f>
        <v>22652.231377240609</v>
      </c>
    </row>
    <row r="43" spans="2:51">
      <c r="B43" s="278"/>
      <c r="C43" s="360">
        <v>2034</v>
      </c>
      <c r="E43" s="448">
        <v>36576.90468</v>
      </c>
      <c r="F43" s="445">
        <f t="shared" si="27"/>
        <v>146307.61872</v>
      </c>
      <c r="G43" s="445">
        <f t="shared" si="28"/>
        <v>7315.3809360000005</v>
      </c>
      <c r="H43" s="449">
        <f t="shared" si="29"/>
        <v>1097.3071404</v>
      </c>
      <c r="J43" s="448">
        <v>157723.38859379489</v>
      </c>
      <c r="K43" s="445">
        <f t="shared" si="30"/>
        <v>630893.55437517958</v>
      </c>
      <c r="L43" s="445">
        <f t="shared" si="31"/>
        <v>31544.67771875898</v>
      </c>
      <c r="M43" s="449">
        <f t="shared" si="32"/>
        <v>4731.7016578138464</v>
      </c>
      <c r="O43" s="448">
        <v>1314361.5716149574</v>
      </c>
      <c r="P43" s="445">
        <f t="shared" si="33"/>
        <v>5257446.2864598297</v>
      </c>
      <c r="Q43" s="445">
        <f t="shared" si="34"/>
        <v>262872.31432299147</v>
      </c>
      <c r="R43" s="449">
        <f t="shared" si="35"/>
        <v>39430.847148448724</v>
      </c>
      <c r="V43" s="448">
        <v>84</v>
      </c>
      <c r="W43" s="445">
        <f t="shared" si="36"/>
        <v>336</v>
      </c>
      <c r="X43" s="445">
        <f t="shared" si="37"/>
        <v>16.8</v>
      </c>
      <c r="Y43" s="449">
        <f t="shared" si="38"/>
        <v>2.52</v>
      </c>
      <c r="AA43" s="448">
        <v>142113.91419927313</v>
      </c>
      <c r="AB43" s="445">
        <f t="shared" si="39"/>
        <v>568455.65679709252</v>
      </c>
      <c r="AC43" s="445">
        <f t="shared" si="40"/>
        <v>28422.782839854626</v>
      </c>
      <c r="AD43" s="449">
        <f t="shared" si="41"/>
        <v>4263.4174259781939</v>
      </c>
      <c r="AF43" s="448">
        <v>1184282.6183272761</v>
      </c>
      <c r="AG43" s="445">
        <f t="shared" si="42"/>
        <v>4737130.4733091043</v>
      </c>
      <c r="AH43" s="445">
        <f t="shared" si="43"/>
        <v>236856.52366545523</v>
      </c>
      <c r="AI43" s="449">
        <f t="shared" si="44"/>
        <v>35528.478549818283</v>
      </c>
      <c r="AL43" s="448">
        <v>26688</v>
      </c>
      <c r="AM43" s="445">
        <f t="shared" si="45"/>
        <v>106752</v>
      </c>
      <c r="AN43" s="445">
        <f t="shared" si="46"/>
        <v>5337.6</v>
      </c>
      <c r="AO43" s="449">
        <f t="shared" si="47"/>
        <v>800.64</v>
      </c>
      <c r="AQ43" s="448">
        <v>115081.4108415474</v>
      </c>
      <c r="AR43" s="445">
        <f t="shared" si="48"/>
        <v>460325.64336618962</v>
      </c>
      <c r="AS43" s="445">
        <f t="shared" si="49"/>
        <v>23016.282168309481</v>
      </c>
      <c r="AT43" s="449">
        <f t="shared" si="50"/>
        <v>3452.4423252464221</v>
      </c>
      <c r="AV43" s="448">
        <v>959011.75701289508</v>
      </c>
      <c r="AW43" s="445">
        <f t="shared" si="51"/>
        <v>3836047.0280515803</v>
      </c>
      <c r="AX43" s="445">
        <f t="shared" si="52"/>
        <v>191802.35140257902</v>
      </c>
      <c r="AY43" s="449">
        <f t="shared" si="53"/>
        <v>28770.352710386851</v>
      </c>
    </row>
    <row r="44" spans="2:51">
      <c r="B44" s="278"/>
      <c r="C44" s="360">
        <v>2035</v>
      </c>
      <c r="E44" s="446">
        <v>38503.748062500003</v>
      </c>
      <c r="F44" s="438">
        <f t="shared" si="27"/>
        <v>154014.99225000001</v>
      </c>
      <c r="G44" s="438">
        <f t="shared" si="28"/>
        <v>7700.7496125000007</v>
      </c>
      <c r="H44" s="447">
        <f t="shared" si="29"/>
        <v>1155.1124418750001</v>
      </c>
      <c r="J44" s="446">
        <v>203468.2852767107</v>
      </c>
      <c r="K44" s="438">
        <f t="shared" si="30"/>
        <v>813873.14110684278</v>
      </c>
      <c r="L44" s="438">
        <f t="shared" si="31"/>
        <v>40693.657055342141</v>
      </c>
      <c r="M44" s="447">
        <f t="shared" si="32"/>
        <v>6104.0485583013206</v>
      </c>
      <c r="O44" s="446">
        <v>1695569.0439725893</v>
      </c>
      <c r="P44" s="438">
        <f t="shared" si="33"/>
        <v>6782276.1758903572</v>
      </c>
      <c r="Q44" s="438">
        <f t="shared" si="34"/>
        <v>339113.80879451788</v>
      </c>
      <c r="R44" s="447">
        <f t="shared" si="35"/>
        <v>50867.071319177674</v>
      </c>
      <c r="V44" s="446">
        <v>85</v>
      </c>
      <c r="W44" s="438">
        <f t="shared" si="36"/>
        <v>340</v>
      </c>
      <c r="X44" s="438">
        <f t="shared" si="37"/>
        <v>17</v>
      </c>
      <c r="Y44" s="447">
        <f t="shared" si="38"/>
        <v>2.5499999999999998</v>
      </c>
      <c r="AA44" s="446">
        <v>182264.60284038715</v>
      </c>
      <c r="AB44" s="438">
        <f t="shared" si="39"/>
        <v>729058.41136154858</v>
      </c>
      <c r="AC44" s="438">
        <f t="shared" si="40"/>
        <v>36452.920568077432</v>
      </c>
      <c r="AD44" s="447">
        <f t="shared" si="41"/>
        <v>5467.9380852116137</v>
      </c>
      <c r="AF44" s="446">
        <v>1518871.6903365599</v>
      </c>
      <c r="AG44" s="438">
        <f t="shared" si="42"/>
        <v>6075486.7613462396</v>
      </c>
      <c r="AH44" s="438">
        <f t="shared" si="43"/>
        <v>303774.33806731197</v>
      </c>
      <c r="AI44" s="447">
        <f t="shared" si="44"/>
        <v>45566.150710096794</v>
      </c>
      <c r="AL44" s="446">
        <v>27000</v>
      </c>
      <c r="AM44" s="438">
        <f t="shared" si="45"/>
        <v>108000</v>
      </c>
      <c r="AN44" s="438">
        <f t="shared" si="46"/>
        <v>5400</v>
      </c>
      <c r="AO44" s="447">
        <f t="shared" si="47"/>
        <v>810</v>
      </c>
      <c r="AQ44" s="446">
        <v>142678.15417745317</v>
      </c>
      <c r="AR44" s="438">
        <f t="shared" si="48"/>
        <v>570712.61670981266</v>
      </c>
      <c r="AS44" s="438">
        <f t="shared" si="49"/>
        <v>28535.630835490636</v>
      </c>
      <c r="AT44" s="447">
        <f t="shared" si="50"/>
        <v>4280.3446253235952</v>
      </c>
      <c r="AV44" s="446">
        <v>1188984.6181454433</v>
      </c>
      <c r="AW44" s="438">
        <f t="shared" si="51"/>
        <v>4755938.4725817731</v>
      </c>
      <c r="AX44" s="438">
        <f t="shared" si="52"/>
        <v>237796.92362908868</v>
      </c>
      <c r="AY44" s="447">
        <f t="shared" si="53"/>
        <v>35669.538544363299</v>
      </c>
    </row>
    <row r="45" spans="2:51">
      <c r="B45" s="278"/>
      <c r="C45" s="360">
        <v>2036</v>
      </c>
      <c r="E45" s="446">
        <v>40462.815900000001</v>
      </c>
      <c r="F45" s="438">
        <f t="shared" si="27"/>
        <v>161851.26360000001</v>
      </c>
      <c r="G45" s="438">
        <f t="shared" si="28"/>
        <v>8092.563180000001</v>
      </c>
      <c r="H45" s="447">
        <f t="shared" si="29"/>
        <v>1213.8844770000001</v>
      </c>
      <c r="J45" s="446">
        <v>254782.58031922794</v>
      </c>
      <c r="K45" s="438">
        <f t="shared" si="30"/>
        <v>1019130.3212769118</v>
      </c>
      <c r="L45" s="438">
        <f t="shared" si="31"/>
        <v>50956.516063845593</v>
      </c>
      <c r="M45" s="447">
        <f t="shared" si="32"/>
        <v>7643.477409576838</v>
      </c>
      <c r="O45" s="446">
        <v>2123188.1693268986</v>
      </c>
      <c r="P45" s="438">
        <f t="shared" si="33"/>
        <v>8492752.6773075946</v>
      </c>
      <c r="Q45" s="438">
        <f t="shared" si="34"/>
        <v>424637.63386537973</v>
      </c>
      <c r="R45" s="447">
        <f t="shared" si="35"/>
        <v>63695.645079806956</v>
      </c>
      <c r="V45" s="446">
        <v>86</v>
      </c>
      <c r="W45" s="438">
        <f t="shared" si="36"/>
        <v>344</v>
      </c>
      <c r="X45" s="438">
        <f t="shared" si="37"/>
        <v>17.2</v>
      </c>
      <c r="Y45" s="447">
        <f t="shared" si="38"/>
        <v>2.58</v>
      </c>
      <c r="AA45" s="446">
        <v>227056.84805273544</v>
      </c>
      <c r="AB45" s="438">
        <f t="shared" si="39"/>
        <v>908227.39221094176</v>
      </c>
      <c r="AC45" s="438">
        <f t="shared" si="40"/>
        <v>45411.369610547088</v>
      </c>
      <c r="AD45" s="447">
        <f t="shared" si="41"/>
        <v>6811.705441582063</v>
      </c>
      <c r="AF45" s="446">
        <v>1892140.4004394608</v>
      </c>
      <c r="AG45" s="438">
        <f t="shared" si="42"/>
        <v>7568561.601757843</v>
      </c>
      <c r="AH45" s="438">
        <f t="shared" si="43"/>
        <v>378428.08008789219</v>
      </c>
      <c r="AI45" s="447">
        <f t="shared" si="44"/>
        <v>56764.212013183824</v>
      </c>
      <c r="AL45" s="446">
        <v>27248</v>
      </c>
      <c r="AM45" s="438">
        <f t="shared" si="45"/>
        <v>108992</v>
      </c>
      <c r="AN45" s="438">
        <f t="shared" si="46"/>
        <v>5449.6</v>
      </c>
      <c r="AO45" s="447">
        <f t="shared" si="47"/>
        <v>817.43999999999994</v>
      </c>
      <c r="AQ45" s="446">
        <v>171572.72903832485</v>
      </c>
      <c r="AR45" s="438">
        <f t="shared" si="48"/>
        <v>686290.91615329939</v>
      </c>
      <c r="AS45" s="438">
        <f t="shared" si="49"/>
        <v>34314.545807664974</v>
      </c>
      <c r="AT45" s="447">
        <f t="shared" si="50"/>
        <v>5147.1818711497453</v>
      </c>
      <c r="AV45" s="446">
        <v>1429772.7419860398</v>
      </c>
      <c r="AW45" s="438">
        <f t="shared" si="51"/>
        <v>5719090.9679441592</v>
      </c>
      <c r="AX45" s="438">
        <f t="shared" si="52"/>
        <v>285954.54839720798</v>
      </c>
      <c r="AY45" s="447">
        <f t="shared" si="53"/>
        <v>42893.18225958119</v>
      </c>
    </row>
    <row r="46" spans="2:51">
      <c r="B46" s="278"/>
      <c r="C46" s="360">
        <v>2037</v>
      </c>
      <c r="E46" s="446">
        <v>42454.108192499996</v>
      </c>
      <c r="F46" s="438">
        <f t="shared" si="27"/>
        <v>169816.43276999998</v>
      </c>
      <c r="G46" s="438">
        <f t="shared" si="28"/>
        <v>8490.8216384999996</v>
      </c>
      <c r="H46" s="447">
        <f t="shared" si="29"/>
        <v>1273.6232457749998</v>
      </c>
      <c r="J46" s="446">
        <v>307532.17045558675</v>
      </c>
      <c r="K46" s="438">
        <f t="shared" si="30"/>
        <v>1230128.681822347</v>
      </c>
      <c r="L46" s="438">
        <f t="shared" si="31"/>
        <v>61506.434091117349</v>
      </c>
      <c r="M46" s="447">
        <f t="shared" si="32"/>
        <v>9225.9651136676021</v>
      </c>
      <c r="O46" s="446">
        <v>2562768.08712989</v>
      </c>
      <c r="P46" s="438">
        <f t="shared" si="33"/>
        <v>10251072.34851956</v>
      </c>
      <c r="Q46" s="438">
        <f t="shared" si="34"/>
        <v>512553.61742597801</v>
      </c>
      <c r="R46" s="447">
        <f t="shared" si="35"/>
        <v>76883.042613896701</v>
      </c>
      <c r="V46" s="446">
        <v>87</v>
      </c>
      <c r="W46" s="438">
        <f t="shared" si="36"/>
        <v>348</v>
      </c>
      <c r="X46" s="438">
        <f t="shared" si="37"/>
        <v>17.400000000000002</v>
      </c>
      <c r="Y46" s="447">
        <f t="shared" si="38"/>
        <v>2.61</v>
      </c>
      <c r="AA46" s="446">
        <v>272677.52541484463</v>
      </c>
      <c r="AB46" s="438">
        <f t="shared" si="39"/>
        <v>1090710.1016593785</v>
      </c>
      <c r="AC46" s="438">
        <f t="shared" si="40"/>
        <v>54535.505082968928</v>
      </c>
      <c r="AD46" s="447">
        <f t="shared" si="41"/>
        <v>8180.3257624453381</v>
      </c>
      <c r="AF46" s="446">
        <v>2272312.7117903722</v>
      </c>
      <c r="AG46" s="438">
        <f t="shared" si="42"/>
        <v>9089250.8471614886</v>
      </c>
      <c r="AH46" s="438">
        <f t="shared" si="43"/>
        <v>454462.54235807445</v>
      </c>
      <c r="AI46" s="447">
        <f t="shared" si="44"/>
        <v>68169.381353711156</v>
      </c>
      <c r="AL46" s="446">
        <v>27432</v>
      </c>
      <c r="AM46" s="438">
        <f t="shared" si="45"/>
        <v>109728</v>
      </c>
      <c r="AN46" s="438">
        <f t="shared" si="46"/>
        <v>5486.4000000000005</v>
      </c>
      <c r="AO46" s="447">
        <f t="shared" si="47"/>
        <v>822.95999999999992</v>
      </c>
      <c r="AQ46" s="446">
        <v>198713.92567440646</v>
      </c>
      <c r="AR46" s="438">
        <f t="shared" si="48"/>
        <v>794855.70269762585</v>
      </c>
      <c r="AS46" s="438">
        <f t="shared" si="49"/>
        <v>39742.785134881298</v>
      </c>
      <c r="AT46" s="447">
        <f t="shared" si="50"/>
        <v>5961.417770232194</v>
      </c>
      <c r="AV46" s="446">
        <v>1655949.3806200542</v>
      </c>
      <c r="AW46" s="438">
        <f t="shared" si="51"/>
        <v>6623797.5224802168</v>
      </c>
      <c r="AX46" s="438">
        <f t="shared" si="52"/>
        <v>331189.87612401089</v>
      </c>
      <c r="AY46" s="447">
        <f t="shared" si="53"/>
        <v>49678.481418601623</v>
      </c>
    </row>
    <row r="47" spans="2:51">
      <c r="B47" s="278"/>
      <c r="C47" s="360">
        <v>2038</v>
      </c>
      <c r="E47" s="446">
        <v>44477.624940000002</v>
      </c>
      <c r="F47" s="438">
        <f t="shared" si="27"/>
        <v>177910.49976000001</v>
      </c>
      <c r="G47" s="438">
        <f t="shared" si="28"/>
        <v>8895.524988000001</v>
      </c>
      <c r="H47" s="447">
        <f t="shared" si="29"/>
        <v>1334.3287482000001</v>
      </c>
      <c r="J47" s="446">
        <v>355328.80228030501</v>
      </c>
      <c r="K47" s="438">
        <f t="shared" si="30"/>
        <v>1421315.20912122</v>
      </c>
      <c r="L47" s="438">
        <f t="shared" si="31"/>
        <v>71065.760456061005</v>
      </c>
      <c r="M47" s="447">
        <f t="shared" si="32"/>
        <v>10659.86406840915</v>
      </c>
      <c r="O47" s="446">
        <v>2961073.3523358759</v>
      </c>
      <c r="P47" s="438">
        <f t="shared" si="33"/>
        <v>11844293.409343503</v>
      </c>
      <c r="Q47" s="438">
        <f t="shared" si="34"/>
        <v>592214.67046717519</v>
      </c>
      <c r="R47" s="447">
        <f t="shared" si="35"/>
        <v>88832.200570076267</v>
      </c>
      <c r="V47" s="446">
        <v>88</v>
      </c>
      <c r="W47" s="438">
        <f t="shared" si="36"/>
        <v>352</v>
      </c>
      <c r="X47" s="438">
        <f t="shared" si="37"/>
        <v>17.600000000000001</v>
      </c>
      <c r="Y47" s="447">
        <f t="shared" si="38"/>
        <v>2.6399999999999997</v>
      </c>
      <c r="AA47" s="446">
        <v>313485.13435249665</v>
      </c>
      <c r="AB47" s="438">
        <f t="shared" si="39"/>
        <v>1253940.5374099866</v>
      </c>
      <c r="AC47" s="438">
        <f t="shared" si="40"/>
        <v>62697.026870499336</v>
      </c>
      <c r="AD47" s="447">
        <f t="shared" si="41"/>
        <v>9404.5540305749</v>
      </c>
      <c r="AF47" s="446">
        <v>2612376.1196041387</v>
      </c>
      <c r="AG47" s="438">
        <f t="shared" si="42"/>
        <v>10449504.478416555</v>
      </c>
      <c r="AH47" s="438">
        <f t="shared" si="43"/>
        <v>522475.22392082773</v>
      </c>
      <c r="AI47" s="447">
        <f t="shared" si="44"/>
        <v>78371.283588124163</v>
      </c>
      <c r="AL47" s="446">
        <v>27552</v>
      </c>
      <c r="AM47" s="438">
        <f t="shared" si="45"/>
        <v>110208</v>
      </c>
      <c r="AN47" s="438">
        <f t="shared" si="46"/>
        <v>5510.4000000000005</v>
      </c>
      <c r="AO47" s="447">
        <f t="shared" si="47"/>
        <v>826.56</v>
      </c>
      <c r="AQ47" s="446">
        <v>220111.10471014652</v>
      </c>
      <c r="AR47" s="438">
        <f t="shared" si="48"/>
        <v>880444.41884058609</v>
      </c>
      <c r="AS47" s="438">
        <f t="shared" si="49"/>
        <v>44022.220942029307</v>
      </c>
      <c r="AT47" s="447">
        <f t="shared" si="50"/>
        <v>6603.3331413043952</v>
      </c>
      <c r="AV47" s="446">
        <v>1834259.2059178881</v>
      </c>
      <c r="AW47" s="438">
        <f t="shared" si="51"/>
        <v>7337036.8236715524</v>
      </c>
      <c r="AX47" s="438">
        <f t="shared" si="52"/>
        <v>366851.84118357766</v>
      </c>
      <c r="AY47" s="447">
        <f t="shared" si="53"/>
        <v>55027.776177536638</v>
      </c>
    </row>
    <row r="48" spans="2:51">
      <c r="B48" s="278"/>
      <c r="C48" s="360">
        <v>2039</v>
      </c>
      <c r="E48" s="446">
        <v>46533.366142500003</v>
      </c>
      <c r="F48" s="438">
        <f t="shared" si="27"/>
        <v>186133.46457000001</v>
      </c>
      <c r="G48" s="438">
        <f t="shared" si="28"/>
        <v>9306.6732285000016</v>
      </c>
      <c r="H48" s="447">
        <f t="shared" si="29"/>
        <v>1396.0009842750001</v>
      </c>
      <c r="J48" s="446">
        <v>390603.20676675485</v>
      </c>
      <c r="K48" s="438">
        <f t="shared" si="30"/>
        <v>1562412.8270670194</v>
      </c>
      <c r="L48" s="438">
        <f t="shared" si="31"/>
        <v>78120.641353350977</v>
      </c>
      <c r="M48" s="447">
        <f t="shared" si="32"/>
        <v>11718.096203002646</v>
      </c>
      <c r="O48" s="446">
        <v>3255026.7230562889</v>
      </c>
      <c r="P48" s="438">
        <f t="shared" si="33"/>
        <v>13020106.892225156</v>
      </c>
      <c r="Q48" s="438">
        <f t="shared" si="34"/>
        <v>651005.34461125778</v>
      </c>
      <c r="R48" s="447">
        <f t="shared" si="35"/>
        <v>97650.80169168867</v>
      </c>
      <c r="V48" s="446">
        <v>89</v>
      </c>
      <c r="W48" s="438">
        <f t="shared" si="36"/>
        <v>356</v>
      </c>
      <c r="X48" s="438">
        <f t="shared" si="37"/>
        <v>17.8</v>
      </c>
      <c r="Y48" s="447">
        <f t="shared" si="38"/>
        <v>2.67</v>
      </c>
      <c r="AA48" s="446">
        <v>342912.34805020952</v>
      </c>
      <c r="AB48" s="438">
        <f t="shared" si="39"/>
        <v>1371649.3922008381</v>
      </c>
      <c r="AC48" s="438">
        <f t="shared" si="40"/>
        <v>68582.46961004191</v>
      </c>
      <c r="AD48" s="447">
        <f t="shared" si="41"/>
        <v>10287.370441506286</v>
      </c>
      <c r="AF48" s="446">
        <v>2857602.9004184115</v>
      </c>
      <c r="AG48" s="438">
        <f t="shared" si="42"/>
        <v>11430411.601673646</v>
      </c>
      <c r="AH48" s="438">
        <f t="shared" si="43"/>
        <v>571520.58008368232</v>
      </c>
      <c r="AI48" s="447">
        <f t="shared" si="44"/>
        <v>85728.087012552336</v>
      </c>
      <c r="AL48" s="446">
        <v>27608</v>
      </c>
      <c r="AM48" s="438">
        <f t="shared" si="45"/>
        <v>110432</v>
      </c>
      <c r="AN48" s="438">
        <f t="shared" si="46"/>
        <v>5521.6</v>
      </c>
      <c r="AO48" s="447">
        <f t="shared" si="47"/>
        <v>828.24</v>
      </c>
      <c r="AQ48" s="446">
        <v>231742.816528536</v>
      </c>
      <c r="AR48" s="438">
        <f t="shared" si="48"/>
        <v>926971.266114144</v>
      </c>
      <c r="AS48" s="438">
        <f t="shared" si="49"/>
        <v>46348.563305707205</v>
      </c>
      <c r="AT48" s="447">
        <f t="shared" si="50"/>
        <v>6952.28449585608</v>
      </c>
      <c r="AV48" s="446">
        <v>1931190.1377377997</v>
      </c>
      <c r="AW48" s="438">
        <f t="shared" si="51"/>
        <v>7724760.5509511987</v>
      </c>
      <c r="AX48" s="438">
        <f t="shared" si="52"/>
        <v>386238.02754755993</v>
      </c>
      <c r="AY48" s="447">
        <f t="shared" si="53"/>
        <v>57935.704132133986</v>
      </c>
    </row>
    <row r="49" spans="1:51">
      <c r="B49" s="278"/>
      <c r="C49" s="360">
        <v>2040</v>
      </c>
      <c r="E49" s="446">
        <v>48621.3318</v>
      </c>
      <c r="F49" s="438">
        <f t="shared" si="27"/>
        <v>194485.3272</v>
      </c>
      <c r="G49" s="438">
        <f t="shared" si="28"/>
        <v>9724.2663599999996</v>
      </c>
      <c r="H49" s="447">
        <f t="shared" si="29"/>
        <v>1458.639954</v>
      </c>
      <c r="J49" s="446">
        <v>406774.01343882934</v>
      </c>
      <c r="K49" s="438">
        <f t="shared" si="30"/>
        <v>1627096.0537553173</v>
      </c>
      <c r="L49" s="438">
        <f t="shared" si="31"/>
        <v>81354.80268776587</v>
      </c>
      <c r="M49" s="447">
        <f t="shared" si="32"/>
        <v>12203.22040316488</v>
      </c>
      <c r="O49" s="446">
        <v>3389783.4453235785</v>
      </c>
      <c r="P49" s="438">
        <f t="shared" si="33"/>
        <v>13559133.781294314</v>
      </c>
      <c r="Q49" s="438">
        <f t="shared" si="34"/>
        <v>677956.68906471576</v>
      </c>
      <c r="R49" s="447">
        <f t="shared" si="35"/>
        <v>101693.50335970735</v>
      </c>
      <c r="V49" s="446">
        <v>90</v>
      </c>
      <c r="W49" s="438">
        <f t="shared" si="36"/>
        <v>360</v>
      </c>
      <c r="X49" s="438">
        <f t="shared" si="37"/>
        <v>18</v>
      </c>
      <c r="Y49" s="447">
        <f t="shared" si="38"/>
        <v>2.6999999999999997</v>
      </c>
      <c r="AA49" s="446">
        <v>355380.4877008528</v>
      </c>
      <c r="AB49" s="438">
        <f t="shared" si="39"/>
        <v>1421521.9508034112</v>
      </c>
      <c r="AC49" s="438">
        <f t="shared" si="40"/>
        <v>71076.097540170565</v>
      </c>
      <c r="AD49" s="447">
        <f t="shared" si="41"/>
        <v>10661.414631025584</v>
      </c>
      <c r="AF49" s="446">
        <v>2961504.0641737743</v>
      </c>
      <c r="AG49" s="438">
        <f t="shared" si="42"/>
        <v>11846016.256695097</v>
      </c>
      <c r="AH49" s="438">
        <f t="shared" si="43"/>
        <v>592300.81283475494</v>
      </c>
      <c r="AI49" s="447">
        <f t="shared" si="44"/>
        <v>88845.121925213229</v>
      </c>
      <c r="AL49" s="446">
        <v>27600</v>
      </c>
      <c r="AM49" s="438">
        <f t="shared" si="45"/>
        <v>110400</v>
      </c>
      <c r="AN49" s="438">
        <f t="shared" si="46"/>
        <v>5520</v>
      </c>
      <c r="AO49" s="447">
        <f t="shared" si="47"/>
        <v>828</v>
      </c>
      <c r="AQ49" s="446">
        <v>230906.11374227493</v>
      </c>
      <c r="AR49" s="438">
        <f t="shared" si="48"/>
        <v>923624.45496909972</v>
      </c>
      <c r="AS49" s="438">
        <f t="shared" si="49"/>
        <v>46181.222748454988</v>
      </c>
      <c r="AT49" s="447">
        <f t="shared" si="50"/>
        <v>6927.1834122682476</v>
      </c>
      <c r="AV49" s="446">
        <v>1924217.6145189584</v>
      </c>
      <c r="AW49" s="438">
        <f t="shared" si="51"/>
        <v>7696870.4580758335</v>
      </c>
      <c r="AX49" s="438">
        <f t="shared" si="52"/>
        <v>384843.52290379169</v>
      </c>
      <c r="AY49" s="447">
        <f t="shared" si="53"/>
        <v>57726.528435568747</v>
      </c>
    </row>
    <row r="50" spans="1:51">
      <c r="B50" s="278"/>
      <c r="C50" s="360">
        <v>2041</v>
      </c>
      <c r="E50" s="446">
        <v>50741.5219125</v>
      </c>
      <c r="F50" s="438">
        <f t="shared" si="27"/>
        <v>202966.08765</v>
      </c>
      <c r="G50" s="438">
        <f t="shared" si="28"/>
        <v>10148.3043825</v>
      </c>
      <c r="H50" s="447">
        <f t="shared" si="29"/>
        <v>1522.2456573750001</v>
      </c>
      <c r="J50" s="446">
        <v>411120.79464240203</v>
      </c>
      <c r="K50" s="438">
        <f t="shared" si="30"/>
        <v>1644483.1785696081</v>
      </c>
      <c r="L50" s="438">
        <f t="shared" si="31"/>
        <v>82224.158928480407</v>
      </c>
      <c r="M50" s="447">
        <f t="shared" si="32"/>
        <v>12333.623839272061</v>
      </c>
      <c r="O50" s="446">
        <v>3426006.6220200169</v>
      </c>
      <c r="P50" s="438">
        <f t="shared" si="33"/>
        <v>13704026.488080068</v>
      </c>
      <c r="Q50" s="438">
        <f t="shared" si="34"/>
        <v>685201.32440400345</v>
      </c>
      <c r="R50" s="447">
        <f t="shared" si="35"/>
        <v>102780.19866060051</v>
      </c>
      <c r="V50" s="446">
        <v>91</v>
      </c>
      <c r="W50" s="438">
        <f t="shared" si="36"/>
        <v>364</v>
      </c>
      <c r="X50" s="438">
        <f t="shared" si="37"/>
        <v>18.2</v>
      </c>
      <c r="Y50" s="447">
        <f t="shared" si="38"/>
        <v>2.73</v>
      </c>
      <c r="AA50" s="446">
        <v>357546.39685747714</v>
      </c>
      <c r="AB50" s="438">
        <f t="shared" si="39"/>
        <v>1430185.5874299086</v>
      </c>
      <c r="AC50" s="438">
        <f t="shared" si="40"/>
        <v>71509.279371495431</v>
      </c>
      <c r="AD50" s="447">
        <f t="shared" si="41"/>
        <v>10726.391905724315</v>
      </c>
      <c r="AF50" s="446">
        <v>2979553.3071456426</v>
      </c>
      <c r="AG50" s="438">
        <f t="shared" si="42"/>
        <v>11918213.22858257</v>
      </c>
      <c r="AH50" s="438">
        <f t="shared" si="43"/>
        <v>595910.66142912849</v>
      </c>
      <c r="AI50" s="447">
        <f t="shared" si="44"/>
        <v>89386.599214369271</v>
      </c>
      <c r="AL50" s="446">
        <v>28792.799999999999</v>
      </c>
      <c r="AM50" s="438">
        <f t="shared" si="45"/>
        <v>115171.2</v>
      </c>
      <c r="AN50" s="438">
        <f t="shared" si="46"/>
        <v>5758.56</v>
      </c>
      <c r="AO50" s="447">
        <f t="shared" si="47"/>
        <v>863.78399999999999</v>
      </c>
      <c r="AQ50" s="446">
        <v>233286.63330974453</v>
      </c>
      <c r="AR50" s="438">
        <f t="shared" si="48"/>
        <v>933146.53323897813</v>
      </c>
      <c r="AS50" s="438">
        <f t="shared" si="49"/>
        <v>46657.326661948908</v>
      </c>
      <c r="AT50" s="447">
        <f t="shared" si="50"/>
        <v>6998.598999292336</v>
      </c>
      <c r="AV50" s="446">
        <v>1944055.2775812042</v>
      </c>
      <c r="AW50" s="438">
        <f t="shared" si="51"/>
        <v>7776221.1103248168</v>
      </c>
      <c r="AX50" s="438">
        <f t="shared" si="52"/>
        <v>388811.05551624089</v>
      </c>
      <c r="AY50" s="447">
        <f t="shared" si="53"/>
        <v>58321.658327436126</v>
      </c>
    </row>
    <row r="51" spans="1:51">
      <c r="B51" s="278"/>
      <c r="C51" s="360">
        <v>2042</v>
      </c>
      <c r="E51" s="446">
        <v>52893.936480000004</v>
      </c>
      <c r="F51" s="438">
        <f t="shared" si="27"/>
        <v>211575.74592000002</v>
      </c>
      <c r="G51" s="438">
        <f t="shared" si="28"/>
        <v>10578.787296000002</v>
      </c>
      <c r="H51" s="447">
        <f t="shared" si="29"/>
        <v>1586.8180944000001</v>
      </c>
      <c r="J51" s="446">
        <v>415167.70173606667</v>
      </c>
      <c r="K51" s="438">
        <f t="shared" si="30"/>
        <v>1660670.8069442667</v>
      </c>
      <c r="L51" s="438">
        <f t="shared" si="31"/>
        <v>83033.540347213333</v>
      </c>
      <c r="M51" s="447">
        <f t="shared" si="32"/>
        <v>12455.031052082</v>
      </c>
      <c r="O51" s="446">
        <v>3459730.8478005552</v>
      </c>
      <c r="P51" s="438">
        <f t="shared" si="33"/>
        <v>13838923.391202221</v>
      </c>
      <c r="Q51" s="438">
        <f t="shared" si="34"/>
        <v>691946.16956011113</v>
      </c>
      <c r="R51" s="447">
        <f t="shared" si="35"/>
        <v>103791.92543401665</v>
      </c>
      <c r="V51" s="446">
        <v>92</v>
      </c>
      <c r="W51" s="438">
        <f t="shared" si="36"/>
        <v>368</v>
      </c>
      <c r="X51" s="438">
        <f t="shared" si="37"/>
        <v>18.400000000000002</v>
      </c>
      <c r="Y51" s="447">
        <f t="shared" si="38"/>
        <v>2.76</v>
      </c>
      <c r="AA51" s="446">
        <v>359450.32522664143</v>
      </c>
      <c r="AB51" s="438">
        <f t="shared" si="39"/>
        <v>1437801.3009065657</v>
      </c>
      <c r="AC51" s="438">
        <f t="shared" si="40"/>
        <v>71890.065045328287</v>
      </c>
      <c r="AD51" s="447">
        <f t="shared" si="41"/>
        <v>10783.509756799243</v>
      </c>
      <c r="AF51" s="446">
        <v>2995419.3768886789</v>
      </c>
      <c r="AG51" s="438">
        <f t="shared" si="42"/>
        <v>11981677.507554715</v>
      </c>
      <c r="AH51" s="438">
        <f t="shared" si="43"/>
        <v>599083.87537773582</v>
      </c>
      <c r="AI51" s="447">
        <f t="shared" si="44"/>
        <v>89862.581306660359</v>
      </c>
      <c r="AL51" s="446">
        <v>30003.200000000001</v>
      </c>
      <c r="AM51" s="438">
        <f t="shared" si="45"/>
        <v>120012.8</v>
      </c>
      <c r="AN51" s="438">
        <f t="shared" si="46"/>
        <v>6000.64</v>
      </c>
      <c r="AO51" s="447">
        <f t="shared" si="47"/>
        <v>900.096</v>
      </c>
      <c r="AQ51" s="446">
        <v>235496.92871578</v>
      </c>
      <c r="AR51" s="438">
        <f t="shared" si="48"/>
        <v>941987.71486312</v>
      </c>
      <c r="AS51" s="438">
        <f t="shared" si="49"/>
        <v>47099.385743156003</v>
      </c>
      <c r="AT51" s="447">
        <f t="shared" si="50"/>
        <v>7064.9078614733999</v>
      </c>
      <c r="AV51" s="446">
        <v>1962474.4059648332</v>
      </c>
      <c r="AW51" s="438">
        <f t="shared" si="51"/>
        <v>7849897.6238593329</v>
      </c>
      <c r="AX51" s="438">
        <f t="shared" si="52"/>
        <v>392494.88119296666</v>
      </c>
      <c r="AY51" s="447">
        <f t="shared" si="53"/>
        <v>58874.232178944992</v>
      </c>
    </row>
    <row r="52" spans="1:51">
      <c r="B52" s="278"/>
      <c r="C52" s="360">
        <v>2043</v>
      </c>
      <c r="E52" s="446">
        <v>55078.575502500003</v>
      </c>
      <c r="F52" s="438">
        <f t="shared" si="27"/>
        <v>220314.30201000001</v>
      </c>
      <c r="G52" s="438">
        <f t="shared" si="28"/>
        <v>11015.715100500001</v>
      </c>
      <c r="H52" s="447">
        <f t="shared" si="29"/>
        <v>1652.357265075</v>
      </c>
      <c r="J52" s="446">
        <v>419214.60882973118</v>
      </c>
      <c r="K52" s="438">
        <f t="shared" si="30"/>
        <v>1676858.4353189247</v>
      </c>
      <c r="L52" s="438">
        <f t="shared" si="31"/>
        <v>83842.921765946245</v>
      </c>
      <c r="M52" s="447">
        <f t="shared" si="32"/>
        <v>12576.438264891935</v>
      </c>
      <c r="O52" s="446">
        <v>3493455.0735810935</v>
      </c>
      <c r="P52" s="438">
        <f t="shared" si="33"/>
        <v>13973820.294324374</v>
      </c>
      <c r="Q52" s="438">
        <f t="shared" si="34"/>
        <v>698691.01471621869</v>
      </c>
      <c r="R52" s="447">
        <f t="shared" si="35"/>
        <v>104803.65220743279</v>
      </c>
      <c r="V52" s="446">
        <v>93</v>
      </c>
      <c r="W52" s="438">
        <f t="shared" si="36"/>
        <v>372</v>
      </c>
      <c r="X52" s="438">
        <f t="shared" si="37"/>
        <v>18.600000000000001</v>
      </c>
      <c r="Y52" s="447">
        <f t="shared" si="38"/>
        <v>2.79</v>
      </c>
      <c r="AA52" s="446">
        <v>361354.25359580584</v>
      </c>
      <c r="AB52" s="438">
        <f t="shared" si="39"/>
        <v>1445417.0143832234</v>
      </c>
      <c r="AC52" s="438">
        <f t="shared" si="40"/>
        <v>72270.850719161172</v>
      </c>
      <c r="AD52" s="447">
        <f t="shared" si="41"/>
        <v>10840.627607874176</v>
      </c>
      <c r="AF52" s="446">
        <v>3011285.4466317152</v>
      </c>
      <c r="AG52" s="438">
        <f t="shared" si="42"/>
        <v>12045141.786526861</v>
      </c>
      <c r="AH52" s="438">
        <f t="shared" si="43"/>
        <v>602257.08932634303</v>
      </c>
      <c r="AI52" s="447">
        <f t="shared" si="44"/>
        <v>90338.563398951446</v>
      </c>
      <c r="AL52" s="446">
        <v>31231.200000000001</v>
      </c>
      <c r="AM52" s="438">
        <f t="shared" si="45"/>
        <v>124924.8</v>
      </c>
      <c r="AN52" s="438">
        <f t="shared" si="46"/>
        <v>6246.2400000000007</v>
      </c>
      <c r="AO52" s="447">
        <f t="shared" si="47"/>
        <v>936.93600000000004</v>
      </c>
      <c r="AQ52" s="446">
        <v>237707.2241218155</v>
      </c>
      <c r="AR52" s="438">
        <f t="shared" si="48"/>
        <v>950828.89648726198</v>
      </c>
      <c r="AS52" s="438">
        <f t="shared" si="49"/>
        <v>47541.444824363105</v>
      </c>
      <c r="AT52" s="447">
        <f t="shared" si="50"/>
        <v>7131.2167236544647</v>
      </c>
      <c r="AV52" s="446">
        <v>1980893.5343484622</v>
      </c>
      <c r="AW52" s="438">
        <f t="shared" si="51"/>
        <v>7923574.137393849</v>
      </c>
      <c r="AX52" s="438">
        <f t="shared" si="52"/>
        <v>396178.70686969248</v>
      </c>
      <c r="AY52" s="447">
        <f t="shared" si="53"/>
        <v>59426.806030453867</v>
      </c>
    </row>
    <row r="53" spans="1:51">
      <c r="B53" s="278"/>
      <c r="C53" s="360">
        <v>2044</v>
      </c>
      <c r="E53" s="446">
        <v>57295.438979999999</v>
      </c>
      <c r="F53" s="438">
        <f t="shared" si="27"/>
        <v>229181.75592</v>
      </c>
      <c r="G53" s="438">
        <f t="shared" si="28"/>
        <v>11459.087796</v>
      </c>
      <c r="H53" s="447">
        <f t="shared" si="29"/>
        <v>1718.8631693999998</v>
      </c>
      <c r="J53" s="446">
        <v>423261.51592339581</v>
      </c>
      <c r="K53" s="438">
        <f t="shared" si="30"/>
        <v>1693046.0636935832</v>
      </c>
      <c r="L53" s="438">
        <f t="shared" si="31"/>
        <v>84652.303184679171</v>
      </c>
      <c r="M53" s="447">
        <f t="shared" si="32"/>
        <v>12697.845477701874</v>
      </c>
      <c r="O53" s="446">
        <v>3527179.2993616317</v>
      </c>
      <c r="P53" s="438">
        <f t="shared" si="33"/>
        <v>14108717.197446527</v>
      </c>
      <c r="Q53" s="438">
        <f t="shared" si="34"/>
        <v>705435.85987232637</v>
      </c>
      <c r="R53" s="447">
        <f t="shared" si="35"/>
        <v>105815.37898084895</v>
      </c>
      <c r="V53" s="446">
        <v>94</v>
      </c>
      <c r="W53" s="438">
        <f t="shared" si="36"/>
        <v>376</v>
      </c>
      <c r="X53" s="438">
        <f t="shared" si="37"/>
        <v>18.8</v>
      </c>
      <c r="Y53" s="447">
        <f t="shared" si="38"/>
        <v>2.82</v>
      </c>
      <c r="AA53" s="446">
        <v>363258.18196497014</v>
      </c>
      <c r="AB53" s="438">
        <f t="shared" si="39"/>
        <v>1453032.7278598805</v>
      </c>
      <c r="AC53" s="438">
        <f t="shared" si="40"/>
        <v>72651.636392994027</v>
      </c>
      <c r="AD53" s="447">
        <f t="shared" si="41"/>
        <v>10897.745458949104</v>
      </c>
      <c r="AF53" s="446">
        <v>3027151.5163747515</v>
      </c>
      <c r="AG53" s="438">
        <f t="shared" si="42"/>
        <v>12108606.065499006</v>
      </c>
      <c r="AH53" s="438">
        <f t="shared" si="43"/>
        <v>605430.30327495036</v>
      </c>
      <c r="AI53" s="447">
        <f t="shared" si="44"/>
        <v>90814.545491242534</v>
      </c>
      <c r="AL53" s="446">
        <v>32476.800000000003</v>
      </c>
      <c r="AM53" s="438">
        <f t="shared" si="45"/>
        <v>129907.20000000001</v>
      </c>
      <c r="AN53" s="438">
        <f t="shared" si="46"/>
        <v>6495.3600000000006</v>
      </c>
      <c r="AO53" s="447">
        <f t="shared" si="47"/>
        <v>974.30400000000009</v>
      </c>
      <c r="AQ53" s="446">
        <v>239917.51952785093</v>
      </c>
      <c r="AR53" s="438">
        <f t="shared" si="48"/>
        <v>959670.07811140374</v>
      </c>
      <c r="AS53" s="438">
        <f t="shared" si="49"/>
        <v>47983.503905570193</v>
      </c>
      <c r="AT53" s="447">
        <f t="shared" si="50"/>
        <v>7197.5255858355276</v>
      </c>
      <c r="AV53" s="446">
        <v>1999312.662732091</v>
      </c>
      <c r="AW53" s="438">
        <f t="shared" si="51"/>
        <v>7997250.6509283641</v>
      </c>
      <c r="AX53" s="438">
        <f t="shared" si="52"/>
        <v>399862.53254641825</v>
      </c>
      <c r="AY53" s="447">
        <f t="shared" si="53"/>
        <v>59979.379881962726</v>
      </c>
    </row>
    <row r="54" spans="1:51">
      <c r="B54" s="278"/>
      <c r="C54" s="360">
        <v>2045</v>
      </c>
      <c r="E54" s="448">
        <v>59544.526912500005</v>
      </c>
      <c r="F54" s="445">
        <f t="shared" si="27"/>
        <v>238178.10765000002</v>
      </c>
      <c r="G54" s="445">
        <f t="shared" si="28"/>
        <v>11908.905382500001</v>
      </c>
      <c r="H54" s="449">
        <f t="shared" si="29"/>
        <v>1786.3358073750001</v>
      </c>
      <c r="J54" s="448">
        <v>427308.42301706044</v>
      </c>
      <c r="K54" s="445">
        <f t="shared" si="30"/>
        <v>1709233.6920682418</v>
      </c>
      <c r="L54" s="445">
        <f t="shared" si="31"/>
        <v>85461.684603412097</v>
      </c>
      <c r="M54" s="449">
        <f t="shared" si="32"/>
        <v>12819.252690511812</v>
      </c>
      <c r="O54" s="448">
        <v>3560903.52514217</v>
      </c>
      <c r="P54" s="445">
        <f t="shared" si="33"/>
        <v>14243614.10056868</v>
      </c>
      <c r="Q54" s="445">
        <f t="shared" si="34"/>
        <v>712180.70502843405</v>
      </c>
      <c r="R54" s="449">
        <f t="shared" si="35"/>
        <v>106827.1057542651</v>
      </c>
      <c r="V54" s="448">
        <v>95</v>
      </c>
      <c r="W54" s="445">
        <f t="shared" si="36"/>
        <v>380</v>
      </c>
      <c r="X54" s="445">
        <f t="shared" si="37"/>
        <v>19</v>
      </c>
      <c r="Y54" s="449">
        <f t="shared" si="38"/>
        <v>2.85</v>
      </c>
      <c r="AA54" s="448">
        <v>365162.11033413454</v>
      </c>
      <c r="AB54" s="445">
        <f t="shared" si="39"/>
        <v>1460648.4413365382</v>
      </c>
      <c r="AC54" s="445">
        <f t="shared" si="40"/>
        <v>73032.422066826912</v>
      </c>
      <c r="AD54" s="449">
        <f t="shared" si="41"/>
        <v>10954.863310024037</v>
      </c>
      <c r="AF54" s="448">
        <v>3043017.5861177878</v>
      </c>
      <c r="AG54" s="445">
        <f t="shared" si="42"/>
        <v>12172070.344471151</v>
      </c>
      <c r="AH54" s="445">
        <f t="shared" si="43"/>
        <v>608603.51722355757</v>
      </c>
      <c r="AI54" s="449">
        <f t="shared" si="44"/>
        <v>91290.527583533636</v>
      </c>
      <c r="AL54" s="448">
        <v>33740.000000000007</v>
      </c>
      <c r="AM54" s="445">
        <f t="shared" si="45"/>
        <v>134960.00000000003</v>
      </c>
      <c r="AN54" s="445">
        <f t="shared" si="46"/>
        <v>6748.0000000000018</v>
      </c>
      <c r="AO54" s="449">
        <f t="shared" si="47"/>
        <v>1012.2000000000002</v>
      </c>
      <c r="AQ54" s="448">
        <v>242127.8149338864</v>
      </c>
      <c r="AR54" s="445">
        <f t="shared" si="48"/>
        <v>968511.25973554561</v>
      </c>
      <c r="AS54" s="445">
        <f t="shared" si="49"/>
        <v>48425.56298677728</v>
      </c>
      <c r="AT54" s="449">
        <f t="shared" si="50"/>
        <v>7263.8344480165915</v>
      </c>
      <c r="AV54" s="448">
        <v>2017731.7911157201</v>
      </c>
      <c r="AW54" s="445">
        <f t="shared" si="51"/>
        <v>8070927.1644628802</v>
      </c>
      <c r="AX54" s="445">
        <f t="shared" si="52"/>
        <v>403546.35822314402</v>
      </c>
      <c r="AY54" s="449">
        <f t="shared" si="53"/>
        <v>60531.953733471601</v>
      </c>
    </row>
    <row r="55" spans="1:51">
      <c r="B55" s="278"/>
      <c r="C55" s="360">
        <v>2046</v>
      </c>
      <c r="E55" s="446">
        <v>61825.8393</v>
      </c>
      <c r="F55" s="438">
        <f t="shared" si="27"/>
        <v>247303.3572</v>
      </c>
      <c r="G55" s="438">
        <f t="shared" si="28"/>
        <v>12365.167860000001</v>
      </c>
      <c r="H55" s="447">
        <f t="shared" si="29"/>
        <v>1854.775179</v>
      </c>
      <c r="J55" s="446">
        <v>431355.33011072502</v>
      </c>
      <c r="K55" s="438">
        <f t="shared" si="30"/>
        <v>1725421.3204429001</v>
      </c>
      <c r="L55" s="438">
        <f t="shared" si="31"/>
        <v>86271.066022145009</v>
      </c>
      <c r="M55" s="447">
        <f t="shared" si="32"/>
        <v>12940.65990332175</v>
      </c>
      <c r="O55" s="446">
        <v>3594627.7509227083</v>
      </c>
      <c r="P55" s="438">
        <f t="shared" si="33"/>
        <v>14378511.003690833</v>
      </c>
      <c r="Q55" s="438">
        <f t="shared" si="34"/>
        <v>718925.55018454173</v>
      </c>
      <c r="R55" s="447">
        <f t="shared" si="35"/>
        <v>107838.83252768124</v>
      </c>
      <c r="V55" s="446">
        <v>96</v>
      </c>
      <c r="W55" s="438">
        <f t="shared" si="36"/>
        <v>384</v>
      </c>
      <c r="X55" s="438">
        <f t="shared" si="37"/>
        <v>19.200000000000003</v>
      </c>
      <c r="Y55" s="447">
        <f t="shared" si="38"/>
        <v>2.88</v>
      </c>
      <c r="AA55" s="446">
        <v>367066.03870329889</v>
      </c>
      <c r="AB55" s="438">
        <f t="shared" si="39"/>
        <v>1468264.1548131956</v>
      </c>
      <c r="AC55" s="438">
        <f t="shared" si="40"/>
        <v>73413.207740659782</v>
      </c>
      <c r="AD55" s="447">
        <f t="shared" si="41"/>
        <v>11011.981161098967</v>
      </c>
      <c r="AF55" s="446">
        <v>3058883.655860824</v>
      </c>
      <c r="AG55" s="438">
        <f t="shared" si="42"/>
        <v>12235534.623443296</v>
      </c>
      <c r="AH55" s="438">
        <f t="shared" si="43"/>
        <v>611776.73117216479</v>
      </c>
      <c r="AI55" s="447">
        <f t="shared" si="44"/>
        <v>91766.509675824724</v>
      </c>
      <c r="AL55" s="446">
        <v>35020.799999999996</v>
      </c>
      <c r="AM55" s="438">
        <f t="shared" si="45"/>
        <v>140083.19999999998</v>
      </c>
      <c r="AN55" s="438">
        <f t="shared" si="46"/>
        <v>7004.16</v>
      </c>
      <c r="AO55" s="447">
        <f t="shared" si="47"/>
        <v>1050.6239999999998</v>
      </c>
      <c r="AQ55" s="446">
        <v>244338.1103399219</v>
      </c>
      <c r="AR55" s="438">
        <f t="shared" si="48"/>
        <v>977352.4413596876</v>
      </c>
      <c r="AS55" s="438">
        <f t="shared" si="49"/>
        <v>48867.622067984383</v>
      </c>
      <c r="AT55" s="447">
        <f t="shared" si="50"/>
        <v>7330.1433101976563</v>
      </c>
      <c r="AV55" s="446">
        <v>2036150.9194993491</v>
      </c>
      <c r="AW55" s="438">
        <f t="shared" si="51"/>
        <v>8144603.6779973963</v>
      </c>
      <c r="AX55" s="438">
        <f t="shared" si="52"/>
        <v>407230.18389986985</v>
      </c>
      <c r="AY55" s="447">
        <f t="shared" si="53"/>
        <v>61084.527584980468</v>
      </c>
    </row>
    <row r="56" spans="1:51">
      <c r="B56" s="278"/>
      <c r="C56" s="360">
        <v>2047</v>
      </c>
      <c r="E56" s="446">
        <v>64139.376142499998</v>
      </c>
      <c r="F56" s="438">
        <f t="shared" si="27"/>
        <v>256557.50456999999</v>
      </c>
      <c r="G56" s="438">
        <f t="shared" si="28"/>
        <v>12827.875228500001</v>
      </c>
      <c r="H56" s="447">
        <f t="shared" si="29"/>
        <v>1924.1812842749998</v>
      </c>
      <c r="J56" s="446">
        <v>435402.23720438965</v>
      </c>
      <c r="K56" s="438">
        <f t="shared" si="30"/>
        <v>1741608.9488175586</v>
      </c>
      <c r="L56" s="438">
        <f t="shared" si="31"/>
        <v>87080.447440877935</v>
      </c>
      <c r="M56" s="447">
        <f t="shared" si="32"/>
        <v>13062.06711613169</v>
      </c>
      <c r="O56" s="446">
        <v>3628351.9767032471</v>
      </c>
      <c r="P56" s="438">
        <f t="shared" si="33"/>
        <v>14513407.906812988</v>
      </c>
      <c r="Q56" s="438">
        <f t="shared" si="34"/>
        <v>725670.39534064941</v>
      </c>
      <c r="R56" s="447">
        <f t="shared" si="35"/>
        <v>108850.55930109741</v>
      </c>
      <c r="V56" s="446">
        <v>97</v>
      </c>
      <c r="W56" s="438">
        <f t="shared" si="36"/>
        <v>388</v>
      </c>
      <c r="X56" s="438">
        <f t="shared" si="37"/>
        <v>19.400000000000002</v>
      </c>
      <c r="Y56" s="447">
        <f t="shared" si="38"/>
        <v>2.9099999999999997</v>
      </c>
      <c r="AA56" s="446">
        <v>368969.96707246336</v>
      </c>
      <c r="AB56" s="438">
        <f t="shared" si="39"/>
        <v>1475879.8682898534</v>
      </c>
      <c r="AC56" s="438">
        <f t="shared" si="40"/>
        <v>73793.993414492681</v>
      </c>
      <c r="AD56" s="447">
        <f t="shared" si="41"/>
        <v>11069.0990121739</v>
      </c>
      <c r="AF56" s="446">
        <v>3074749.7256038608</v>
      </c>
      <c r="AG56" s="438">
        <f t="shared" si="42"/>
        <v>12298998.902415443</v>
      </c>
      <c r="AH56" s="438">
        <f t="shared" si="43"/>
        <v>614949.94512077223</v>
      </c>
      <c r="AI56" s="447">
        <f t="shared" si="44"/>
        <v>92242.491768115826</v>
      </c>
      <c r="AL56" s="446">
        <v>36319.199999999997</v>
      </c>
      <c r="AM56" s="438">
        <f t="shared" si="45"/>
        <v>145276.79999999999</v>
      </c>
      <c r="AN56" s="438">
        <f t="shared" si="46"/>
        <v>7263.84</v>
      </c>
      <c r="AO56" s="447">
        <f t="shared" si="47"/>
        <v>1089.5759999999998</v>
      </c>
      <c r="AQ56" s="446">
        <v>246548.4057459574</v>
      </c>
      <c r="AR56" s="438">
        <f t="shared" si="48"/>
        <v>986193.62298382958</v>
      </c>
      <c r="AS56" s="438">
        <f t="shared" si="49"/>
        <v>49309.681149191485</v>
      </c>
      <c r="AT56" s="447">
        <f t="shared" si="50"/>
        <v>7396.452172378722</v>
      </c>
      <c r="AV56" s="446">
        <v>2054570.0478829781</v>
      </c>
      <c r="AW56" s="438">
        <f t="shared" si="51"/>
        <v>8218280.1915319124</v>
      </c>
      <c r="AX56" s="438">
        <f t="shared" si="52"/>
        <v>410914.00957659562</v>
      </c>
      <c r="AY56" s="447">
        <f t="shared" si="53"/>
        <v>61637.101436489342</v>
      </c>
    </row>
    <row r="57" spans="1:51">
      <c r="B57" s="278"/>
      <c r="C57" s="360">
        <v>2048</v>
      </c>
      <c r="E57" s="446">
        <v>66485.137440000006</v>
      </c>
      <c r="F57" s="438">
        <f t="shared" si="27"/>
        <v>265940.54976000002</v>
      </c>
      <c r="G57" s="438">
        <f t="shared" si="28"/>
        <v>13297.027488000002</v>
      </c>
      <c r="H57" s="447">
        <f t="shared" si="29"/>
        <v>1994.5541232</v>
      </c>
      <c r="J57" s="446">
        <v>439449.14429805428</v>
      </c>
      <c r="K57" s="438">
        <f t="shared" si="30"/>
        <v>1757796.5771922171</v>
      </c>
      <c r="L57" s="438">
        <f t="shared" si="31"/>
        <v>87889.828859610861</v>
      </c>
      <c r="M57" s="447">
        <f t="shared" si="32"/>
        <v>13183.474328941627</v>
      </c>
      <c r="O57" s="446">
        <v>3662076.2024837853</v>
      </c>
      <c r="P57" s="438">
        <f t="shared" si="33"/>
        <v>14648304.809935141</v>
      </c>
      <c r="Q57" s="438">
        <f t="shared" si="34"/>
        <v>732415.24049675709</v>
      </c>
      <c r="R57" s="447">
        <f t="shared" si="35"/>
        <v>109862.28607451355</v>
      </c>
      <c r="V57" s="446">
        <v>98</v>
      </c>
      <c r="W57" s="438">
        <f t="shared" si="36"/>
        <v>392</v>
      </c>
      <c r="X57" s="438">
        <f t="shared" si="37"/>
        <v>19.600000000000001</v>
      </c>
      <c r="Y57" s="447">
        <f t="shared" si="38"/>
        <v>2.94</v>
      </c>
      <c r="AA57" s="446">
        <v>370873.89544162765</v>
      </c>
      <c r="AB57" s="438">
        <f t="shared" si="39"/>
        <v>1483495.5817665106</v>
      </c>
      <c r="AC57" s="438">
        <f t="shared" si="40"/>
        <v>74174.779088325537</v>
      </c>
      <c r="AD57" s="447">
        <f t="shared" si="41"/>
        <v>11126.216863248828</v>
      </c>
      <c r="AF57" s="446">
        <v>3090615.7953468971</v>
      </c>
      <c r="AG57" s="438">
        <f t="shared" si="42"/>
        <v>12362463.181387588</v>
      </c>
      <c r="AH57" s="438">
        <f t="shared" si="43"/>
        <v>618123.15906937944</v>
      </c>
      <c r="AI57" s="447">
        <f t="shared" si="44"/>
        <v>92718.473860406913</v>
      </c>
      <c r="AL57" s="446">
        <v>37635.199999999997</v>
      </c>
      <c r="AM57" s="438">
        <f t="shared" si="45"/>
        <v>150540.79999999999</v>
      </c>
      <c r="AN57" s="438">
        <f t="shared" si="46"/>
        <v>7527.04</v>
      </c>
      <c r="AO57" s="447">
        <f t="shared" si="47"/>
        <v>1129.0559999999998</v>
      </c>
      <c r="AQ57" s="446">
        <v>248758.70115199286</v>
      </c>
      <c r="AR57" s="438">
        <f t="shared" si="48"/>
        <v>995034.80460797145</v>
      </c>
      <c r="AS57" s="438">
        <f t="shared" si="49"/>
        <v>49751.740230398573</v>
      </c>
      <c r="AT57" s="447">
        <f t="shared" si="50"/>
        <v>7462.7610345597859</v>
      </c>
      <c r="AV57" s="446">
        <v>2072989.1762666071</v>
      </c>
      <c r="AW57" s="438">
        <f t="shared" si="51"/>
        <v>8291956.7050664285</v>
      </c>
      <c r="AX57" s="438">
        <f t="shared" si="52"/>
        <v>414597.83525332145</v>
      </c>
      <c r="AY57" s="447">
        <f t="shared" si="53"/>
        <v>62189.675287998209</v>
      </c>
    </row>
    <row r="58" spans="1:51">
      <c r="B58" s="278"/>
      <c r="C58" s="360">
        <v>2049</v>
      </c>
      <c r="E58" s="446">
        <v>68863.123192500003</v>
      </c>
      <c r="F58" s="438">
        <f t="shared" si="27"/>
        <v>275452.49277000001</v>
      </c>
      <c r="G58" s="438">
        <f t="shared" si="28"/>
        <v>13772.624638500001</v>
      </c>
      <c r="H58" s="447">
        <f t="shared" si="29"/>
        <v>2065.8936957750002</v>
      </c>
      <c r="J58" s="446">
        <v>443496.05139171885</v>
      </c>
      <c r="K58" s="438">
        <f t="shared" si="30"/>
        <v>1773984.2055668754</v>
      </c>
      <c r="L58" s="438">
        <f t="shared" si="31"/>
        <v>88699.210278343773</v>
      </c>
      <c r="M58" s="447">
        <f t="shared" si="32"/>
        <v>13304.881541751565</v>
      </c>
      <c r="O58" s="446">
        <v>3695800.4282643236</v>
      </c>
      <c r="P58" s="438">
        <f t="shared" si="33"/>
        <v>14783201.713057294</v>
      </c>
      <c r="Q58" s="438">
        <f t="shared" si="34"/>
        <v>739160.08565286477</v>
      </c>
      <c r="R58" s="447">
        <f t="shared" si="35"/>
        <v>110874.0128479297</v>
      </c>
      <c r="V58" s="446">
        <v>99</v>
      </c>
      <c r="W58" s="438">
        <f t="shared" si="36"/>
        <v>396</v>
      </c>
      <c r="X58" s="438">
        <f t="shared" si="37"/>
        <v>19.8</v>
      </c>
      <c r="Y58" s="447">
        <f t="shared" si="38"/>
        <v>2.9699999999999998</v>
      </c>
      <c r="AA58" s="446">
        <v>372777.82381079195</v>
      </c>
      <c r="AB58" s="438">
        <f t="shared" si="39"/>
        <v>1491111.2952431678</v>
      </c>
      <c r="AC58" s="438">
        <f t="shared" si="40"/>
        <v>74555.564762158392</v>
      </c>
      <c r="AD58" s="447">
        <f t="shared" si="41"/>
        <v>11183.334714323759</v>
      </c>
      <c r="AF58" s="446">
        <v>3106481.8650899334</v>
      </c>
      <c r="AG58" s="438">
        <f t="shared" si="42"/>
        <v>12425927.460359734</v>
      </c>
      <c r="AH58" s="438">
        <f t="shared" si="43"/>
        <v>621296.37301798665</v>
      </c>
      <c r="AI58" s="447">
        <f t="shared" si="44"/>
        <v>93194.455952698001</v>
      </c>
      <c r="AL58" s="446">
        <v>38968.800000000003</v>
      </c>
      <c r="AM58" s="438">
        <f t="shared" si="45"/>
        <v>155875.20000000001</v>
      </c>
      <c r="AN58" s="438">
        <f t="shared" si="46"/>
        <v>7793.7600000000011</v>
      </c>
      <c r="AO58" s="447">
        <f t="shared" si="47"/>
        <v>1169.0640000000001</v>
      </c>
      <c r="AQ58" s="446">
        <v>250968.99655802836</v>
      </c>
      <c r="AR58" s="438">
        <f t="shared" si="48"/>
        <v>1003875.9862321134</v>
      </c>
      <c r="AS58" s="438">
        <f t="shared" si="49"/>
        <v>50193.799311605675</v>
      </c>
      <c r="AT58" s="447">
        <f t="shared" si="50"/>
        <v>7529.0698967408507</v>
      </c>
      <c r="AV58" s="446">
        <v>2091408.3046502362</v>
      </c>
      <c r="AW58" s="438">
        <f t="shared" si="51"/>
        <v>8365633.2186009446</v>
      </c>
      <c r="AX58" s="438">
        <f t="shared" si="52"/>
        <v>418281.66093004728</v>
      </c>
      <c r="AY58" s="447">
        <f t="shared" si="53"/>
        <v>62742.249139507083</v>
      </c>
    </row>
    <row r="59" spans="1:51" ht="16.2" thickBot="1">
      <c r="B59" s="278"/>
      <c r="C59" s="360">
        <v>2050</v>
      </c>
      <c r="E59" s="450">
        <v>71273.333400000003</v>
      </c>
      <c r="F59" s="451">
        <f t="shared" si="27"/>
        <v>285093.33360000001</v>
      </c>
      <c r="G59" s="451">
        <f t="shared" si="28"/>
        <v>14254.666680000002</v>
      </c>
      <c r="H59" s="452">
        <f t="shared" si="29"/>
        <v>2138.200002</v>
      </c>
      <c r="J59" s="450">
        <v>447542.95848538337</v>
      </c>
      <c r="K59" s="451">
        <f t="shared" si="30"/>
        <v>1790171.8339415335</v>
      </c>
      <c r="L59" s="451">
        <f t="shared" si="31"/>
        <v>89508.591697076685</v>
      </c>
      <c r="M59" s="452">
        <f t="shared" si="32"/>
        <v>13426.288754561501</v>
      </c>
      <c r="O59" s="450">
        <v>3729524.6540448619</v>
      </c>
      <c r="P59" s="451">
        <f t="shared" si="33"/>
        <v>14918098.616179448</v>
      </c>
      <c r="Q59" s="451">
        <f t="shared" si="34"/>
        <v>745904.93080897245</v>
      </c>
      <c r="R59" s="452">
        <f t="shared" si="35"/>
        <v>111885.73962134586</v>
      </c>
      <c r="V59" s="450">
        <v>100</v>
      </c>
      <c r="W59" s="451">
        <f t="shared" si="36"/>
        <v>400</v>
      </c>
      <c r="X59" s="451">
        <f t="shared" si="37"/>
        <v>20</v>
      </c>
      <c r="Y59" s="452">
        <f t="shared" si="38"/>
        <v>3</v>
      </c>
      <c r="AA59" s="450">
        <v>374681.75217995635</v>
      </c>
      <c r="AB59" s="451">
        <f t="shared" si="39"/>
        <v>1498727.0087198254</v>
      </c>
      <c r="AC59" s="451">
        <f t="shared" si="40"/>
        <v>74936.350435991277</v>
      </c>
      <c r="AD59" s="452">
        <f t="shared" si="41"/>
        <v>11240.452565398689</v>
      </c>
      <c r="AF59" s="450">
        <v>3122347.9348329697</v>
      </c>
      <c r="AG59" s="451">
        <f t="shared" si="42"/>
        <v>12489391.739331879</v>
      </c>
      <c r="AH59" s="451">
        <f t="shared" si="43"/>
        <v>624469.58696659398</v>
      </c>
      <c r="AI59" s="452">
        <f t="shared" si="44"/>
        <v>93670.438044989089</v>
      </c>
      <c r="AL59" s="450">
        <v>40320</v>
      </c>
      <c r="AM59" s="451">
        <f t="shared" si="45"/>
        <v>161280</v>
      </c>
      <c r="AN59" s="451">
        <f t="shared" si="46"/>
        <v>8064</v>
      </c>
      <c r="AO59" s="452">
        <f t="shared" si="47"/>
        <v>1209.5999999999999</v>
      </c>
      <c r="AQ59" s="450">
        <v>253179.2919640638</v>
      </c>
      <c r="AR59" s="451">
        <f t="shared" si="48"/>
        <v>1012717.1678562552</v>
      </c>
      <c r="AS59" s="451">
        <f t="shared" si="49"/>
        <v>50635.858392812763</v>
      </c>
      <c r="AT59" s="452">
        <f t="shared" si="50"/>
        <v>7595.3787589219137</v>
      </c>
      <c r="AV59" s="450">
        <v>2109827.4330338649</v>
      </c>
      <c r="AW59" s="451">
        <f t="shared" si="51"/>
        <v>8439309.7321354598</v>
      </c>
      <c r="AX59" s="451">
        <f t="shared" si="52"/>
        <v>421965.48660677299</v>
      </c>
      <c r="AY59" s="452">
        <f t="shared" si="53"/>
        <v>63294.822991015943</v>
      </c>
    </row>
    <row r="60" spans="1:51">
      <c r="A60" s="1"/>
      <c r="B60" s="278"/>
      <c r="K60"/>
    </row>
    <row r="61" spans="1:51" ht="16.2" thickBot="1">
      <c r="B61" s="278"/>
      <c r="F61" s="470" t="s">
        <v>277</v>
      </c>
      <c r="G61" s="470" t="s">
        <v>278</v>
      </c>
      <c r="H61" s="470" t="s">
        <v>279</v>
      </c>
      <c r="K61" s="470" t="s">
        <v>277</v>
      </c>
      <c r="L61" s="470" t="s">
        <v>278</v>
      </c>
      <c r="M61" s="470" t="s">
        <v>279</v>
      </c>
      <c r="P61" s="470" t="s">
        <v>277</v>
      </c>
      <c r="Q61" s="470" t="s">
        <v>278</v>
      </c>
      <c r="R61" s="470" t="s">
        <v>279</v>
      </c>
      <c r="W61" s="470" t="s">
        <v>277</v>
      </c>
      <c r="X61" s="470" t="s">
        <v>278</v>
      </c>
      <c r="Y61" s="470" t="s">
        <v>279</v>
      </c>
      <c r="AB61" s="470" t="s">
        <v>277</v>
      </c>
      <c r="AC61" s="470" t="s">
        <v>278</v>
      </c>
      <c r="AD61" s="470" t="s">
        <v>279</v>
      </c>
      <c r="AG61" s="470" t="s">
        <v>277</v>
      </c>
      <c r="AH61" s="470" t="s">
        <v>278</v>
      </c>
      <c r="AI61" s="470" t="s">
        <v>279</v>
      </c>
      <c r="AM61" s="470" t="s">
        <v>277</v>
      </c>
      <c r="AN61" s="470" t="s">
        <v>278</v>
      </c>
      <c r="AO61" s="470" t="s">
        <v>279</v>
      </c>
      <c r="AR61" s="470" t="s">
        <v>277</v>
      </c>
      <c r="AS61" s="470" t="s">
        <v>278</v>
      </c>
      <c r="AT61" s="470" t="s">
        <v>279</v>
      </c>
      <c r="AW61" s="470" t="s">
        <v>277</v>
      </c>
      <c r="AX61" s="470" t="s">
        <v>278</v>
      </c>
      <c r="AY61" s="470" t="s">
        <v>279</v>
      </c>
    </row>
    <row r="62" spans="1:51">
      <c r="A62" s="565" t="s">
        <v>275</v>
      </c>
      <c r="B62" s="566"/>
      <c r="C62" s="566"/>
      <c r="D62" s="566"/>
      <c r="E62" s="566"/>
      <c r="F62" s="560">
        <f>SUM(F10:F59)/10^6</f>
        <v>5.1888381916500013</v>
      </c>
      <c r="G62" s="561">
        <f>SUM(G10:G59)/10^6</f>
        <v>0.25944190958250007</v>
      </c>
      <c r="H62" s="561">
        <f>SUM(H10:H59)/10^6</f>
        <v>3.8916286437374999E-2</v>
      </c>
      <c r="I62" s="472"/>
      <c r="J62" s="472"/>
      <c r="K62" s="560">
        <f>SUM(K10:K59)/10^6</f>
        <v>27.187238533826079</v>
      </c>
      <c r="L62" s="561">
        <f>SUM(L10:L59)/10^6</f>
        <v>1.359361926691304</v>
      </c>
      <c r="M62" s="561">
        <f>SUM(M10:M59)/10^6</f>
        <v>0.20390428900369559</v>
      </c>
      <c r="N62" s="472"/>
      <c r="O62" s="472"/>
      <c r="P62" s="560">
        <f>SUM(P10:P59)/10^6</f>
        <v>226.95875533514337</v>
      </c>
      <c r="Q62" s="560">
        <f>SUM(Q10:Q59)/10^6</f>
        <v>11.347937766757168</v>
      </c>
      <c r="R62" s="560">
        <f>SUM(R10:R59)/10^6</f>
        <v>1.702190665013575</v>
      </c>
      <c r="S62" s="472"/>
      <c r="T62" s="472"/>
      <c r="U62" s="472"/>
      <c r="V62" s="472"/>
      <c r="W62" s="560">
        <f>SUM(W10:W59)/10^6</f>
        <v>1.5100000000000001E-2</v>
      </c>
      <c r="X62" s="560">
        <f>SUM(X10:X59)/10^6</f>
        <v>7.5500000000000003E-4</v>
      </c>
      <c r="Y62" s="560">
        <f>SUM(Y10:Y59)/10^6</f>
        <v>1.1324999999999999E-4</v>
      </c>
      <c r="Z62" s="472"/>
      <c r="AA62" s="472"/>
      <c r="AB62" s="560">
        <f>SUM(AA10:AA59)/10^6</f>
        <v>5.8944308680106658</v>
      </c>
      <c r="AC62" s="560">
        <f>SUM(AB10:AB59)/10^6</f>
        <v>23.577723472042663</v>
      </c>
      <c r="AD62" s="560">
        <f>SUM(AC10:AC59)/10^6</f>
        <v>1.1788861736021334</v>
      </c>
      <c r="AE62" s="472"/>
      <c r="AF62" s="472"/>
      <c r="AG62" s="560">
        <f>SUM(AF10:AF59)/10^6</f>
        <v>49.174396933654116</v>
      </c>
      <c r="AH62" s="560">
        <f>SUM(AG10:AG59)/10^6</f>
        <v>196.69758773461646</v>
      </c>
      <c r="AI62" s="560">
        <f>SUM(AH10:AH59)/10^6</f>
        <v>9.834879386730826</v>
      </c>
      <c r="AJ62" s="472"/>
      <c r="AK62" s="472"/>
      <c r="AL62" s="472"/>
      <c r="AM62" s="560">
        <f>SUM(AL10:AL59)/10^6</f>
        <v>0.87953420240000002</v>
      </c>
      <c r="AN62" s="560">
        <f>SUM(AM10:AM59)/10^6</f>
        <v>3.5181368096000001</v>
      </c>
      <c r="AO62" s="560">
        <f>SUM(AN10:AN59)/10^6</f>
        <v>0.17590684048000005</v>
      </c>
      <c r="AP62" s="472"/>
      <c r="AQ62" s="472"/>
      <c r="AR62" s="560">
        <f>SUM(AQ10:AQ59)/10^6</f>
        <v>4.1010078076766101</v>
      </c>
      <c r="AS62" s="560">
        <f>SUM(AR10:AR59)/10^6</f>
        <v>16.40403123070644</v>
      </c>
      <c r="AT62" s="560">
        <f>SUM(AS10:AS59)/10^6</f>
        <v>0.82020156153532209</v>
      </c>
      <c r="AU62" s="472"/>
      <c r="AV62" s="472"/>
      <c r="AW62" s="560">
        <f>SUM(AV10:AV59)/10^6</f>
        <v>34.181901315303413</v>
      </c>
      <c r="AX62" s="560">
        <f>SUM(AW10:AW59)/10^6</f>
        <v>136.72760526121365</v>
      </c>
      <c r="AY62" s="560">
        <f>SUM(AX10:AX59)/10^6</f>
        <v>6.8363802630606836</v>
      </c>
    </row>
    <row r="63" spans="1:51" ht="16.2" thickBot="1">
      <c r="A63" s="567"/>
      <c r="B63" s="568"/>
      <c r="C63" s="568"/>
      <c r="D63" s="568"/>
      <c r="E63" s="568"/>
      <c r="F63" s="560"/>
      <c r="G63" s="562"/>
      <c r="H63" s="562"/>
      <c r="I63" s="472"/>
      <c r="J63" s="472"/>
      <c r="K63" s="560"/>
      <c r="L63" s="562"/>
      <c r="M63" s="562"/>
      <c r="N63" s="472"/>
      <c r="O63" s="472"/>
      <c r="P63" s="560"/>
      <c r="Q63" s="560"/>
      <c r="R63" s="560"/>
      <c r="S63" s="472"/>
      <c r="T63" s="472"/>
      <c r="U63" s="472"/>
      <c r="V63" s="472"/>
      <c r="W63" s="560"/>
      <c r="X63" s="560"/>
      <c r="Y63" s="560"/>
      <c r="Z63" s="472"/>
      <c r="AA63" s="472"/>
      <c r="AB63" s="560"/>
      <c r="AC63" s="560"/>
      <c r="AD63" s="560"/>
      <c r="AE63" s="472"/>
      <c r="AF63" s="472"/>
      <c r="AG63" s="560"/>
      <c r="AH63" s="560"/>
      <c r="AI63" s="560"/>
      <c r="AJ63" s="472"/>
      <c r="AK63" s="472"/>
      <c r="AL63" s="472"/>
      <c r="AM63" s="560"/>
      <c r="AN63" s="560"/>
      <c r="AO63" s="560"/>
      <c r="AP63" s="472"/>
      <c r="AQ63" s="472"/>
      <c r="AR63" s="560"/>
      <c r="AS63" s="560"/>
      <c r="AT63" s="560"/>
      <c r="AU63" s="472"/>
      <c r="AV63" s="472"/>
      <c r="AW63" s="560"/>
      <c r="AX63" s="560"/>
      <c r="AY63" s="560"/>
    </row>
    <row r="64" spans="1:51" ht="16.2" thickBot="1">
      <c r="B64" s="278"/>
      <c r="K64"/>
    </row>
    <row r="65" spans="1:51" ht="16.2" thickBot="1">
      <c r="A65" s="563" t="s">
        <v>276</v>
      </c>
      <c r="B65" s="564"/>
      <c r="C65" s="564"/>
      <c r="D65" s="564"/>
      <c r="E65" s="564"/>
      <c r="F65" s="473">
        <f>F62/$C$6*100</f>
        <v>3.2430238697812502E-2</v>
      </c>
      <c r="G65" s="474"/>
      <c r="H65" s="180"/>
      <c r="I65" s="180"/>
      <c r="J65" s="180"/>
      <c r="K65" s="473">
        <f>K62/$C$6*100</f>
        <v>0.16992024083641299</v>
      </c>
      <c r="L65" s="474"/>
      <c r="M65" s="180"/>
      <c r="N65" s="180"/>
      <c r="O65" s="180"/>
      <c r="P65" s="475">
        <f>P62/$C$6*100</f>
        <v>1.418492220844646</v>
      </c>
      <c r="Q65" s="474"/>
      <c r="R65" s="180"/>
      <c r="S65" s="180"/>
      <c r="T65" s="180"/>
      <c r="U65" s="180"/>
      <c r="V65" s="180"/>
      <c r="W65" s="473">
        <f>W62*10^6/$C$6*100</f>
        <v>94.375</v>
      </c>
      <c r="X65" s="474"/>
      <c r="Y65" s="180"/>
      <c r="Z65" s="180"/>
      <c r="AA65" s="180"/>
      <c r="AB65" s="473">
        <f>AB62*10^6/$C$6*100</f>
        <v>36840.192925066665</v>
      </c>
      <c r="AC65" s="474"/>
      <c r="AD65" s="180"/>
      <c r="AE65" s="180"/>
      <c r="AF65" s="180"/>
      <c r="AG65" s="473">
        <f>AG62*10^6/$C$6*100</f>
        <v>307339.98083533818</v>
      </c>
      <c r="AH65" s="474"/>
      <c r="AI65" s="180"/>
      <c r="AJ65" s="180"/>
      <c r="AK65" s="180"/>
      <c r="AL65" s="180"/>
      <c r="AM65" s="473">
        <f>AM62*10^6/$C$6*100</f>
        <v>5497.0887650000004</v>
      </c>
      <c r="AN65" s="474"/>
      <c r="AO65" s="180"/>
      <c r="AP65" s="180"/>
      <c r="AQ65" s="180"/>
      <c r="AR65" s="473">
        <f>AR62*10^6/$C$6*100</f>
        <v>25631.298797978816</v>
      </c>
      <c r="AS65" s="474"/>
      <c r="AT65" s="180"/>
      <c r="AU65" s="180"/>
      <c r="AV65" s="180"/>
      <c r="AW65" s="473">
        <f>AW62*10^6/$C$6*100</f>
        <v>213636.88322064636</v>
      </c>
      <c r="AX65" s="474"/>
      <c r="AY65" s="180"/>
    </row>
    <row r="66" spans="1:51">
      <c r="A66" s="279"/>
      <c r="B66" s="278"/>
      <c r="D66" s="35"/>
      <c r="E66" s="35"/>
      <c r="F66" s="469"/>
      <c r="G66" s="469"/>
      <c r="H66" s="469"/>
      <c r="K66"/>
    </row>
    <row r="67" spans="1:51">
      <c r="B67" s="278"/>
      <c r="F67" s="277"/>
      <c r="G67" s="277"/>
      <c r="H67" s="277"/>
      <c r="K67"/>
    </row>
    <row r="68" spans="1:51">
      <c r="K68"/>
      <c r="O68" s="278"/>
    </row>
    <row r="69" spans="1:51">
      <c r="K69"/>
      <c r="O69" s="278"/>
    </row>
    <row r="70" spans="1:51">
      <c r="K70"/>
      <c r="O70" s="278"/>
    </row>
    <row r="71" spans="1:51">
      <c r="K71"/>
      <c r="O71" s="278"/>
    </row>
    <row r="72" spans="1:51">
      <c r="K72"/>
      <c r="O72" s="278"/>
    </row>
    <row r="82" spans="58:58">
      <c r="BF82" s="277"/>
    </row>
  </sheetData>
  <mergeCells count="39">
    <mergeCell ref="AW62:AW63"/>
    <mergeCell ref="AX62:AX63"/>
    <mergeCell ref="AY62:AY63"/>
    <mergeCell ref="B1:C1"/>
    <mergeCell ref="AN62:AN63"/>
    <mergeCell ref="AO62:AO63"/>
    <mergeCell ref="AR62:AR63"/>
    <mergeCell ref="AS62:AS63"/>
    <mergeCell ref="AT62:AT63"/>
    <mergeCell ref="AD62:AD63"/>
    <mergeCell ref="AG62:AG63"/>
    <mergeCell ref="AH62:AH63"/>
    <mergeCell ref="AI62:AI63"/>
    <mergeCell ref="AM62:AM63"/>
    <mergeCell ref="W62:W63"/>
    <mergeCell ref="X62:X63"/>
    <mergeCell ref="Y62:Y63"/>
    <mergeCell ref="AB62:AB63"/>
    <mergeCell ref="AC62:AC63"/>
    <mergeCell ref="L62:L63"/>
    <mergeCell ref="M62:M63"/>
    <mergeCell ref="P62:P63"/>
    <mergeCell ref="Q62:Q63"/>
    <mergeCell ref="R62:R63"/>
    <mergeCell ref="F62:F63"/>
    <mergeCell ref="G62:G63"/>
    <mergeCell ref="H62:H63"/>
    <mergeCell ref="K62:K63"/>
    <mergeCell ref="A65:E65"/>
    <mergeCell ref="A62:E63"/>
    <mergeCell ref="E8:H8"/>
    <mergeCell ref="AV8:AY8"/>
    <mergeCell ref="AQ8:AT8"/>
    <mergeCell ref="AL8:AO8"/>
    <mergeCell ref="AF8:AI8"/>
    <mergeCell ref="V8:Y8"/>
    <mergeCell ref="O8:R8"/>
    <mergeCell ref="J8:M8"/>
    <mergeCell ref="AA8:AD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9"/>
  <sheetViews>
    <sheetView topLeftCell="B1" zoomScale="40" zoomScaleNormal="40" workbookViewId="0">
      <selection activeCell="O3" sqref="O3:X8"/>
    </sheetView>
  </sheetViews>
  <sheetFormatPr defaultColWidth="10.8984375" defaultRowHeight="15.6"/>
  <cols>
    <col min="1" max="1" width="36.09765625" style="173" customWidth="1"/>
    <col min="2" max="2" width="31.69921875" style="173" bestFit="1" customWidth="1"/>
    <col min="3" max="3" width="30.69921875" style="173" bestFit="1" customWidth="1"/>
    <col min="4" max="4" width="32.59765625" style="173" bestFit="1" customWidth="1"/>
    <col min="5" max="5" width="9.5" style="173" bestFit="1" customWidth="1"/>
    <col min="6" max="6" width="10.09765625" style="173" customWidth="1"/>
    <col min="7" max="7" width="13.8984375" style="173" bestFit="1" customWidth="1"/>
    <col min="8" max="8" width="14.69921875" style="173" customWidth="1"/>
    <col min="9" max="9" width="10.59765625" style="173" bestFit="1" customWidth="1"/>
    <col min="10" max="10" width="13" style="173" bestFit="1" customWidth="1"/>
    <col min="11" max="11" width="12" style="173" bestFit="1" customWidth="1"/>
    <col min="12" max="12" width="10.8984375" style="173"/>
    <col min="13" max="13" width="11" style="173" bestFit="1" customWidth="1"/>
    <col min="14" max="14" width="5.5" style="173" customWidth="1"/>
    <col min="15" max="15" width="10.8984375" style="173"/>
    <col min="16" max="17" width="14" style="173" bestFit="1" customWidth="1"/>
    <col min="18" max="18" width="15.09765625" style="173" bestFit="1" customWidth="1"/>
    <col min="19" max="19" width="13" style="173" customWidth="1"/>
    <col min="20" max="20" width="11.69921875" style="173" bestFit="1" customWidth="1"/>
    <col min="21" max="21" width="12.8984375" style="173" bestFit="1" customWidth="1"/>
    <col min="22" max="22" width="13.09765625" style="173" customWidth="1"/>
    <col min="23" max="23" width="14.8984375" style="173" customWidth="1"/>
    <col min="24" max="24" width="19.8984375" style="173" bestFit="1" customWidth="1"/>
    <col min="25" max="25" width="4.3984375" style="173" customWidth="1"/>
    <col min="26" max="26" width="12.3984375" style="173" bestFit="1" customWidth="1"/>
    <col min="27" max="27" width="13" style="173" bestFit="1" customWidth="1"/>
    <col min="28" max="28" width="14" style="173" bestFit="1" customWidth="1"/>
    <col min="29" max="29" width="15.09765625" style="173" bestFit="1" customWidth="1"/>
    <col min="30" max="30" width="12.3984375" style="173" customWidth="1"/>
    <col min="31" max="31" width="14" style="173" bestFit="1" customWidth="1"/>
    <col min="32" max="32" width="12.8984375" style="173" bestFit="1" customWidth="1"/>
    <col min="33" max="33" width="14" style="173" bestFit="1" customWidth="1"/>
    <col min="34" max="34" width="11" style="173" bestFit="1" customWidth="1"/>
    <col min="35" max="35" width="18.8984375" style="173" customWidth="1"/>
    <col min="36" max="36" width="3.59765625" style="173" customWidth="1"/>
    <col min="37" max="37" width="10.8984375" style="173"/>
    <col min="38" max="38" width="12.8984375" style="173" bestFit="1" customWidth="1"/>
    <col min="39" max="40" width="15.09765625" style="173" bestFit="1" customWidth="1"/>
    <col min="41" max="41" width="13.09765625" style="173" customWidth="1"/>
    <col min="42" max="42" width="11" style="173" bestFit="1" customWidth="1"/>
    <col min="43" max="43" width="12.8984375" style="173" bestFit="1" customWidth="1"/>
    <col min="44" max="44" width="12.59765625" style="173" customWidth="1"/>
    <col min="45" max="45" width="11" style="173" bestFit="1" customWidth="1"/>
    <col min="46" max="46" width="16" style="173" customWidth="1"/>
    <col min="47" max="49" width="10.8984375" style="173"/>
    <col min="50" max="50" width="14" style="173" bestFit="1" customWidth="1"/>
    <col min="51" max="51" width="15.09765625" style="173" bestFit="1" customWidth="1"/>
    <col min="52" max="52" width="12.59765625" style="173" customWidth="1"/>
    <col min="53" max="53" width="11" style="173" bestFit="1" customWidth="1"/>
    <col min="54" max="54" width="12.8984375" style="173" bestFit="1" customWidth="1"/>
    <col min="55" max="55" width="13.09765625" style="173" customWidth="1"/>
    <col min="56" max="56" width="11" style="173" bestFit="1" customWidth="1"/>
    <col min="57" max="57" width="18.8984375" style="173" customWidth="1"/>
    <col min="58" max="60" width="10.8984375" style="173"/>
    <col min="61" max="61" width="14" style="173" bestFit="1" customWidth="1"/>
    <col min="62" max="62" width="15.09765625" style="173" bestFit="1" customWidth="1"/>
    <col min="63" max="63" width="14" style="173" customWidth="1"/>
    <col min="64" max="64" width="11" style="173" bestFit="1" customWidth="1"/>
    <col min="65" max="65" width="12.8984375" style="173" bestFit="1" customWidth="1"/>
    <col min="66" max="66" width="13" style="173" customWidth="1"/>
    <col min="67" max="67" width="11" style="173" bestFit="1" customWidth="1"/>
    <col min="68" max="68" width="20.3984375" style="173" customWidth="1"/>
    <col min="69" max="70" width="10.8984375" style="173"/>
    <col min="71" max="71" width="12.8984375" style="173" bestFit="1" customWidth="1"/>
    <col min="72" max="73" width="15.09765625" style="173" bestFit="1" customWidth="1"/>
    <col min="74" max="74" width="13.09765625" style="173" customWidth="1"/>
    <col min="75" max="75" width="11" style="173" bestFit="1" customWidth="1"/>
    <col min="76" max="76" width="12.8984375" style="173" bestFit="1" customWidth="1"/>
    <col min="77" max="77" width="13.09765625" style="173" customWidth="1"/>
    <col min="78" max="78" width="11" style="173" bestFit="1" customWidth="1"/>
    <col min="79" max="79" width="19.8984375" style="173" customWidth="1"/>
    <col min="80" max="82" width="10.8984375" style="173"/>
    <col min="83" max="83" width="12.3984375" style="173" bestFit="1" customWidth="1"/>
    <col min="84" max="84" width="15.09765625" style="173" bestFit="1" customWidth="1"/>
    <col min="85" max="85" width="14.59765625" style="173" customWidth="1"/>
    <col min="86" max="86" width="11" style="173" bestFit="1" customWidth="1"/>
    <col min="87" max="87" width="12.8984375" style="173" bestFit="1" customWidth="1"/>
    <col min="88" max="88" width="13.8984375" style="173" customWidth="1"/>
    <col min="89" max="89" width="11" style="173" bestFit="1" customWidth="1"/>
    <col min="90" max="90" width="19.69921875" style="173" customWidth="1"/>
    <col min="91" max="93" width="10.8984375" style="173"/>
    <col min="94" max="94" width="14" style="173" bestFit="1" customWidth="1"/>
    <col min="95" max="95" width="15.09765625" style="173" bestFit="1" customWidth="1"/>
    <col min="96" max="96" width="12.59765625" style="173" customWidth="1"/>
    <col min="97" max="97" width="11" style="173" bestFit="1" customWidth="1"/>
    <col min="98" max="98" width="12.8984375" style="173" bestFit="1" customWidth="1"/>
    <col min="99" max="99" width="13.8984375" style="173" customWidth="1"/>
    <col min="100" max="100" width="11" style="173" bestFit="1" customWidth="1"/>
    <col min="101" max="101" width="23.19921875" style="173" customWidth="1"/>
    <col min="102" max="103" width="10.8984375" style="173"/>
    <col min="104" max="104" width="12.8984375" style="173" bestFit="1" customWidth="1"/>
    <col min="105" max="106" width="15.09765625" style="173" bestFit="1" customWidth="1"/>
    <col min="107" max="107" width="13" style="173" customWidth="1"/>
    <col min="108" max="108" width="11" style="173" bestFit="1" customWidth="1"/>
    <col min="109" max="109" width="12.8984375" style="173" bestFit="1" customWidth="1"/>
    <col min="110" max="110" width="14.3984375" style="173" customWidth="1"/>
    <col min="111" max="111" width="11" style="173" bestFit="1" customWidth="1"/>
    <col min="112" max="112" width="20.69921875" style="173" customWidth="1"/>
    <col min="113" max="16384" width="10.8984375" style="173"/>
  </cols>
  <sheetData>
    <row r="1" spans="1:112" ht="21"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</row>
    <row r="2" spans="1:112" ht="18.75" customHeight="1" thickBot="1">
      <c r="B2" s="429"/>
      <c r="C2" s="581">
        <v>2016</v>
      </c>
      <c r="D2" s="582"/>
      <c r="E2" s="582"/>
      <c r="F2" s="583"/>
      <c r="L2" s="352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353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353"/>
      <c r="CC2" s="574"/>
      <c r="CD2" s="574"/>
      <c r="CE2" s="574"/>
      <c r="CF2" s="574"/>
      <c r="CG2" s="574"/>
      <c r="CH2" s="574"/>
      <c r="CI2" s="574"/>
      <c r="CJ2" s="574"/>
      <c r="CK2" s="574"/>
      <c r="CL2" s="574"/>
      <c r="CM2" s="574"/>
      <c r="CN2" s="574"/>
      <c r="CO2" s="574"/>
      <c r="CP2" s="574"/>
      <c r="CQ2" s="574"/>
      <c r="CR2" s="574"/>
      <c r="CS2" s="574"/>
      <c r="CT2" s="574"/>
      <c r="CU2" s="574"/>
      <c r="CV2" s="574"/>
      <c r="CW2" s="574"/>
      <c r="CX2" s="574"/>
      <c r="CY2" s="574"/>
      <c r="CZ2" s="574"/>
      <c r="DA2" s="574"/>
      <c r="DB2" s="574"/>
      <c r="DC2" s="574"/>
      <c r="DD2" s="574"/>
      <c r="DE2" s="574"/>
      <c r="DF2" s="574"/>
      <c r="DG2" s="574"/>
      <c r="DH2" s="352"/>
    </row>
    <row r="3" spans="1:112" ht="19.5" customHeight="1" thickBot="1">
      <c r="B3" s="430"/>
      <c r="C3" s="443" t="s">
        <v>260</v>
      </c>
      <c r="D3" s="436" t="s">
        <v>261</v>
      </c>
      <c r="E3" s="442" t="s">
        <v>262</v>
      </c>
      <c r="F3" s="437" t="s">
        <v>263</v>
      </c>
      <c r="M3" s="465"/>
      <c r="N3" s="465"/>
      <c r="O3" s="576" t="s">
        <v>180</v>
      </c>
      <c r="P3" s="577"/>
      <c r="Q3" s="577"/>
      <c r="R3" s="577"/>
      <c r="S3" s="577"/>
      <c r="T3" s="577"/>
      <c r="U3" s="577"/>
      <c r="V3" s="577"/>
      <c r="W3" s="577"/>
      <c r="X3" s="578"/>
      <c r="Y3" s="175"/>
      <c r="Z3" s="576" t="s">
        <v>181</v>
      </c>
      <c r="AA3" s="577"/>
      <c r="AB3" s="577"/>
      <c r="AC3" s="577"/>
      <c r="AD3" s="577"/>
      <c r="AE3" s="577"/>
      <c r="AF3" s="577"/>
      <c r="AG3" s="577"/>
      <c r="AH3" s="577"/>
      <c r="AI3" s="578" t="s">
        <v>240</v>
      </c>
      <c r="AJ3" s="176"/>
      <c r="AK3" s="576" t="s">
        <v>264</v>
      </c>
      <c r="AL3" s="577"/>
      <c r="AM3" s="577"/>
      <c r="AN3" s="577"/>
      <c r="AO3" s="577"/>
      <c r="AP3" s="577"/>
      <c r="AQ3" s="577"/>
      <c r="AR3" s="577"/>
      <c r="AS3" s="577"/>
      <c r="AT3" s="578" t="s">
        <v>240</v>
      </c>
      <c r="AU3" s="176"/>
      <c r="AV3" s="576" t="s">
        <v>184</v>
      </c>
      <c r="AW3" s="577"/>
      <c r="AX3" s="577"/>
      <c r="AY3" s="577"/>
      <c r="AZ3" s="577"/>
      <c r="BA3" s="577"/>
      <c r="BB3" s="577"/>
      <c r="BC3" s="577"/>
      <c r="BD3" s="577"/>
      <c r="BE3" s="578" t="s">
        <v>240</v>
      </c>
      <c r="BF3" s="175"/>
      <c r="BG3" s="576" t="s">
        <v>265</v>
      </c>
      <c r="BH3" s="577"/>
      <c r="BI3" s="577"/>
      <c r="BJ3" s="577"/>
      <c r="BK3" s="577"/>
      <c r="BL3" s="577"/>
      <c r="BM3" s="577"/>
      <c r="BN3" s="577"/>
      <c r="BO3" s="577"/>
      <c r="BP3" s="578" t="s">
        <v>240</v>
      </c>
      <c r="BQ3" s="176"/>
      <c r="BR3" s="576" t="s">
        <v>186</v>
      </c>
      <c r="BS3" s="577"/>
      <c r="BT3" s="577"/>
      <c r="BU3" s="577"/>
      <c r="BV3" s="577"/>
      <c r="BW3" s="577"/>
      <c r="BX3" s="577"/>
      <c r="BY3" s="577"/>
      <c r="BZ3" s="577"/>
      <c r="CA3" s="578" t="s">
        <v>240</v>
      </c>
      <c r="CC3" s="576" t="s">
        <v>188</v>
      </c>
      <c r="CD3" s="577"/>
      <c r="CE3" s="577"/>
      <c r="CF3" s="577"/>
      <c r="CG3" s="577"/>
      <c r="CH3" s="577"/>
      <c r="CI3" s="577"/>
      <c r="CJ3" s="577"/>
      <c r="CK3" s="577"/>
      <c r="CL3" s="578" t="s">
        <v>240</v>
      </c>
      <c r="CM3" s="175"/>
      <c r="CN3" s="576" t="s">
        <v>189</v>
      </c>
      <c r="CO3" s="577"/>
      <c r="CP3" s="577"/>
      <c r="CQ3" s="577"/>
      <c r="CR3" s="577"/>
      <c r="CS3" s="577"/>
      <c r="CT3" s="577"/>
      <c r="CU3" s="577"/>
      <c r="CV3" s="577"/>
      <c r="CW3" s="578" t="s">
        <v>240</v>
      </c>
      <c r="CX3" s="176"/>
      <c r="CY3" s="576" t="s">
        <v>190</v>
      </c>
      <c r="CZ3" s="577"/>
      <c r="DA3" s="577"/>
      <c r="DB3" s="577"/>
      <c r="DC3" s="577"/>
      <c r="DD3" s="577"/>
      <c r="DE3" s="577"/>
      <c r="DF3" s="577"/>
      <c r="DG3" s="577"/>
      <c r="DH3" s="578" t="s">
        <v>240</v>
      </c>
    </row>
    <row r="4" spans="1:112" ht="27.75" customHeight="1" thickBot="1">
      <c r="B4" s="434" t="s">
        <v>238</v>
      </c>
      <c r="C4" s="438">
        <f>('PRs Analysis'!C25+'PRs Analysis'!D25)*1000</f>
        <v>30462606</v>
      </c>
      <c r="D4" s="438">
        <f>'PRs Analysis'!N25*1000</f>
        <v>318573</v>
      </c>
      <c r="E4" s="438">
        <f>'PRs Analysis'!H25*1000</f>
        <v>33434</v>
      </c>
      <c r="F4" s="438">
        <f>C4+D4+E4</f>
        <v>30814613</v>
      </c>
      <c r="M4" s="429"/>
      <c r="N4" s="429"/>
      <c r="O4" s="571" t="s">
        <v>238</v>
      </c>
      <c r="P4" s="572"/>
      <c r="Q4" s="572"/>
      <c r="R4" s="573"/>
      <c r="S4" s="571" t="s">
        <v>239</v>
      </c>
      <c r="T4" s="572"/>
      <c r="U4" s="572"/>
      <c r="V4" s="572"/>
      <c r="W4" s="573"/>
      <c r="X4" s="579" t="s">
        <v>240</v>
      </c>
      <c r="Z4" s="571" t="s">
        <v>238</v>
      </c>
      <c r="AA4" s="572"/>
      <c r="AB4" s="572"/>
      <c r="AC4" s="573"/>
      <c r="AD4" s="571" t="s">
        <v>239</v>
      </c>
      <c r="AE4" s="572"/>
      <c r="AF4" s="572"/>
      <c r="AG4" s="572"/>
      <c r="AH4" s="573"/>
      <c r="AI4" s="579" t="s">
        <v>240</v>
      </c>
      <c r="AJ4" s="177"/>
      <c r="AK4" s="571" t="s">
        <v>238</v>
      </c>
      <c r="AL4" s="572"/>
      <c r="AM4" s="572"/>
      <c r="AN4" s="573"/>
      <c r="AO4" s="571" t="s">
        <v>239</v>
      </c>
      <c r="AP4" s="572"/>
      <c r="AQ4" s="572"/>
      <c r="AR4" s="572"/>
      <c r="AS4" s="573"/>
      <c r="AT4" s="579" t="s">
        <v>240</v>
      </c>
      <c r="AU4" s="177"/>
      <c r="AV4" s="571" t="s">
        <v>238</v>
      </c>
      <c r="AW4" s="572"/>
      <c r="AX4" s="572"/>
      <c r="AY4" s="573"/>
      <c r="AZ4" s="571" t="s">
        <v>239</v>
      </c>
      <c r="BA4" s="572"/>
      <c r="BB4" s="572"/>
      <c r="BC4" s="572"/>
      <c r="BD4" s="573"/>
      <c r="BE4" s="579" t="s">
        <v>240</v>
      </c>
      <c r="BG4" s="571" t="s">
        <v>238</v>
      </c>
      <c r="BH4" s="572"/>
      <c r="BI4" s="572"/>
      <c r="BJ4" s="573"/>
      <c r="BK4" s="571" t="s">
        <v>239</v>
      </c>
      <c r="BL4" s="572"/>
      <c r="BM4" s="572"/>
      <c r="BN4" s="572"/>
      <c r="BO4" s="573"/>
      <c r="BP4" s="579" t="s">
        <v>240</v>
      </c>
      <c r="BQ4" s="177"/>
      <c r="BR4" s="571" t="s">
        <v>238</v>
      </c>
      <c r="BS4" s="572"/>
      <c r="BT4" s="572"/>
      <c r="BU4" s="573"/>
      <c r="BV4" s="571" t="s">
        <v>239</v>
      </c>
      <c r="BW4" s="572"/>
      <c r="BX4" s="572"/>
      <c r="BY4" s="572"/>
      <c r="BZ4" s="573"/>
      <c r="CA4" s="579" t="s">
        <v>240</v>
      </c>
      <c r="CC4" s="571" t="s">
        <v>238</v>
      </c>
      <c r="CD4" s="572"/>
      <c r="CE4" s="572"/>
      <c r="CF4" s="573"/>
      <c r="CG4" s="571" t="s">
        <v>239</v>
      </c>
      <c r="CH4" s="572"/>
      <c r="CI4" s="572"/>
      <c r="CJ4" s="572"/>
      <c r="CK4" s="573"/>
      <c r="CL4" s="579" t="s">
        <v>240</v>
      </c>
      <c r="CN4" s="571" t="s">
        <v>238</v>
      </c>
      <c r="CO4" s="572"/>
      <c r="CP4" s="572"/>
      <c r="CQ4" s="573"/>
      <c r="CR4" s="571" t="s">
        <v>239</v>
      </c>
      <c r="CS4" s="572"/>
      <c r="CT4" s="572"/>
      <c r="CU4" s="572"/>
      <c r="CV4" s="573"/>
      <c r="CW4" s="579" t="s">
        <v>240</v>
      </c>
      <c r="CX4" s="177"/>
      <c r="CY4" s="571" t="s">
        <v>238</v>
      </c>
      <c r="CZ4" s="572"/>
      <c r="DA4" s="572"/>
      <c r="DB4" s="573"/>
      <c r="DC4" s="571" t="s">
        <v>239</v>
      </c>
      <c r="DD4" s="572"/>
      <c r="DE4" s="572"/>
      <c r="DF4" s="572"/>
      <c r="DG4" s="573"/>
      <c r="DH4" s="579" t="s">
        <v>240</v>
      </c>
    </row>
    <row r="5" spans="1:112" ht="63" customHeight="1" thickBot="1">
      <c r="B5" s="441" t="s">
        <v>239</v>
      </c>
      <c r="C5" s="438">
        <f>C4*B10</f>
        <v>4295227446</v>
      </c>
      <c r="D5" s="438">
        <f>D4*B11</f>
        <v>21025818</v>
      </c>
      <c r="E5" s="438">
        <f>E4*B12</f>
        <v>0</v>
      </c>
      <c r="F5" s="438">
        <f>E5+D5+C5</f>
        <v>4316253264</v>
      </c>
      <c r="M5" s="271" t="s">
        <v>43</v>
      </c>
      <c r="N5" s="466"/>
      <c r="O5" s="456" t="s">
        <v>241</v>
      </c>
      <c r="P5" s="457" t="s">
        <v>80</v>
      </c>
      <c r="Q5" s="458" t="s">
        <v>74</v>
      </c>
      <c r="R5" s="459" t="s">
        <v>245</v>
      </c>
      <c r="S5" s="456" t="s">
        <v>241</v>
      </c>
      <c r="T5" s="457" t="s">
        <v>80</v>
      </c>
      <c r="U5" s="458" t="s">
        <v>74</v>
      </c>
      <c r="V5" s="460" t="s">
        <v>245</v>
      </c>
      <c r="W5" s="461" t="s">
        <v>244</v>
      </c>
      <c r="X5" s="580"/>
      <c r="Y5" s="178"/>
      <c r="Z5" s="456" t="s">
        <v>241</v>
      </c>
      <c r="AA5" s="457" t="s">
        <v>80</v>
      </c>
      <c r="AB5" s="458" t="s">
        <v>74</v>
      </c>
      <c r="AC5" s="459" t="s">
        <v>245</v>
      </c>
      <c r="AD5" s="456" t="s">
        <v>241</v>
      </c>
      <c r="AE5" s="457" t="s">
        <v>80</v>
      </c>
      <c r="AF5" s="458" t="s">
        <v>74</v>
      </c>
      <c r="AG5" s="460" t="s">
        <v>245</v>
      </c>
      <c r="AH5" s="461" t="s">
        <v>244</v>
      </c>
      <c r="AI5" s="580"/>
      <c r="AJ5" s="178"/>
      <c r="AK5" s="456" t="s">
        <v>241</v>
      </c>
      <c r="AL5" s="457" t="s">
        <v>80</v>
      </c>
      <c r="AM5" s="458" t="s">
        <v>74</v>
      </c>
      <c r="AN5" s="459" t="s">
        <v>245</v>
      </c>
      <c r="AO5" s="456" t="s">
        <v>241</v>
      </c>
      <c r="AP5" s="457" t="s">
        <v>80</v>
      </c>
      <c r="AQ5" s="458" t="s">
        <v>74</v>
      </c>
      <c r="AR5" s="460" t="s">
        <v>245</v>
      </c>
      <c r="AS5" s="461" t="s">
        <v>244</v>
      </c>
      <c r="AT5" s="580"/>
      <c r="AU5" s="178"/>
      <c r="AV5" s="456" t="s">
        <v>241</v>
      </c>
      <c r="AW5" s="457" t="s">
        <v>80</v>
      </c>
      <c r="AX5" s="458" t="s">
        <v>74</v>
      </c>
      <c r="AY5" s="459" t="s">
        <v>245</v>
      </c>
      <c r="AZ5" s="456" t="s">
        <v>241</v>
      </c>
      <c r="BA5" s="457" t="s">
        <v>80</v>
      </c>
      <c r="BB5" s="458" t="s">
        <v>74</v>
      </c>
      <c r="BC5" s="460" t="s">
        <v>245</v>
      </c>
      <c r="BD5" s="461" t="s">
        <v>244</v>
      </c>
      <c r="BE5" s="580"/>
      <c r="BF5" s="178"/>
      <c r="BG5" s="456" t="s">
        <v>241</v>
      </c>
      <c r="BH5" s="457" t="s">
        <v>80</v>
      </c>
      <c r="BI5" s="458" t="s">
        <v>74</v>
      </c>
      <c r="BJ5" s="459" t="s">
        <v>245</v>
      </c>
      <c r="BK5" s="456" t="s">
        <v>241</v>
      </c>
      <c r="BL5" s="457" t="s">
        <v>80</v>
      </c>
      <c r="BM5" s="458" t="s">
        <v>74</v>
      </c>
      <c r="BN5" s="460" t="s">
        <v>245</v>
      </c>
      <c r="BO5" s="461" t="s">
        <v>244</v>
      </c>
      <c r="BP5" s="580"/>
      <c r="BQ5" s="178"/>
      <c r="BR5" s="456" t="s">
        <v>241</v>
      </c>
      <c r="BS5" s="457" t="s">
        <v>80</v>
      </c>
      <c r="BT5" s="458" t="s">
        <v>74</v>
      </c>
      <c r="BU5" s="459" t="s">
        <v>245</v>
      </c>
      <c r="BV5" s="456" t="s">
        <v>241</v>
      </c>
      <c r="BW5" s="457" t="s">
        <v>80</v>
      </c>
      <c r="BX5" s="458" t="s">
        <v>74</v>
      </c>
      <c r="BY5" s="460" t="s">
        <v>245</v>
      </c>
      <c r="BZ5" s="461" t="s">
        <v>244</v>
      </c>
      <c r="CA5" s="580"/>
      <c r="CC5" s="456" t="s">
        <v>241</v>
      </c>
      <c r="CD5" s="457" t="s">
        <v>80</v>
      </c>
      <c r="CE5" s="458" t="s">
        <v>74</v>
      </c>
      <c r="CF5" s="459" t="s">
        <v>245</v>
      </c>
      <c r="CG5" s="456" t="s">
        <v>241</v>
      </c>
      <c r="CH5" s="457" t="s">
        <v>80</v>
      </c>
      <c r="CI5" s="458" t="s">
        <v>74</v>
      </c>
      <c r="CJ5" s="460" t="s">
        <v>245</v>
      </c>
      <c r="CK5" s="461" t="s">
        <v>244</v>
      </c>
      <c r="CL5" s="580"/>
      <c r="CM5" s="178"/>
      <c r="CN5" s="456" t="s">
        <v>241</v>
      </c>
      <c r="CO5" s="457" t="s">
        <v>80</v>
      </c>
      <c r="CP5" s="458" t="s">
        <v>74</v>
      </c>
      <c r="CQ5" s="459" t="s">
        <v>245</v>
      </c>
      <c r="CR5" s="456" t="s">
        <v>241</v>
      </c>
      <c r="CS5" s="457" t="s">
        <v>80</v>
      </c>
      <c r="CT5" s="458" t="s">
        <v>74</v>
      </c>
      <c r="CU5" s="460" t="s">
        <v>245</v>
      </c>
      <c r="CV5" s="461" t="s">
        <v>244</v>
      </c>
      <c r="CW5" s="580"/>
      <c r="CX5" s="178"/>
      <c r="CY5" s="456" t="s">
        <v>241</v>
      </c>
      <c r="CZ5" s="457" t="s">
        <v>80</v>
      </c>
      <c r="DA5" s="458" t="s">
        <v>74</v>
      </c>
      <c r="DB5" s="459" t="s">
        <v>245</v>
      </c>
      <c r="DC5" s="456" t="s">
        <v>241</v>
      </c>
      <c r="DD5" s="457" t="s">
        <v>80</v>
      </c>
      <c r="DE5" s="458" t="s">
        <v>74</v>
      </c>
      <c r="DF5" s="460" t="s">
        <v>245</v>
      </c>
      <c r="DG5" s="461" t="s">
        <v>244</v>
      </c>
      <c r="DH5" s="580"/>
    </row>
    <row r="6" spans="1:112">
      <c r="C6" s="439"/>
      <c r="D6" s="439"/>
      <c r="E6" s="439"/>
      <c r="F6" s="440">
        <f>F5/F4</f>
        <v>140.07163627205054</v>
      </c>
      <c r="G6" s="444" t="s">
        <v>244</v>
      </c>
      <c r="M6" s="360">
        <v>2017</v>
      </c>
      <c r="N6" s="429"/>
      <c r="O6" s="446">
        <f>R6-Q6-P6</f>
        <v>30852641.983220145</v>
      </c>
      <c r="P6" s="438">
        <f>SUM(Scenarios!J7)</f>
        <v>357681.87882129761</v>
      </c>
      <c r="Q6" s="438">
        <f>Scenarios!H7</f>
        <v>42921.825458555708</v>
      </c>
      <c r="R6" s="447">
        <f>Scenarios!E7</f>
        <v>31253245.6875</v>
      </c>
      <c r="S6" s="446">
        <f>O6*$B$10</f>
        <v>4350222519.6340408</v>
      </c>
      <c r="T6" s="438">
        <f>P6*$B$11</f>
        <v>23607004.002205644</v>
      </c>
      <c r="U6" s="438">
        <f>Q6*$B$12</f>
        <v>0</v>
      </c>
      <c r="V6" s="438">
        <f>S6+T6+U6</f>
        <v>4373829523.6362467</v>
      </c>
      <c r="W6" s="453">
        <f>V6/R6</f>
        <v>139.94800947619967</v>
      </c>
      <c r="X6" s="463">
        <f t="shared" ref="X6:X39" si="0">$B$14*V6/$B$15</f>
        <v>58.368152950757661</v>
      </c>
      <c r="Z6" s="446">
        <f>AC6-AB6-AA6</f>
        <v>30812471.621923327</v>
      </c>
      <c r="AA6" s="438">
        <f>SUM(Scenarios!O7)</f>
        <v>397852.24011811428</v>
      </c>
      <c r="AB6" s="438">
        <f>Scenarios!M7</f>
        <v>42921.825458555708</v>
      </c>
      <c r="AC6" s="447">
        <f>Scenarios!E7</f>
        <v>31253245.6875</v>
      </c>
      <c r="AD6" s="446">
        <f>Z6*$B$10</f>
        <v>4344558498.6911888</v>
      </c>
      <c r="AE6" s="438">
        <f>AA6*$B$11</f>
        <v>26258247.847795542</v>
      </c>
      <c r="AF6" s="438">
        <f>AB6*$B$12</f>
        <v>0</v>
      </c>
      <c r="AG6" s="438">
        <f>AD6+AE6+AF6</f>
        <v>4370816746.5389843</v>
      </c>
      <c r="AH6" s="453">
        <f>AG6/AC6</f>
        <v>139.85161062126514</v>
      </c>
      <c r="AI6" s="463">
        <f>$B$14*AG6/$B$15</f>
        <v>58.327947855092809</v>
      </c>
      <c r="AK6" s="446">
        <f>AN6-AM6</f>
        <v>31210323.862041444</v>
      </c>
      <c r="AL6" s="438">
        <v>0</v>
      </c>
      <c r="AM6" s="438">
        <f>Scenarios!R7</f>
        <v>42921.825458555708</v>
      </c>
      <c r="AN6" s="447">
        <f>Scenarios!E7</f>
        <v>31253245.6875</v>
      </c>
      <c r="AO6" s="446">
        <f>AK6*$B$10</f>
        <v>4400655664.5478439</v>
      </c>
      <c r="AP6" s="438">
        <f>AL6*$B$11</f>
        <v>0</v>
      </c>
      <c r="AQ6" s="438">
        <f>AM6*$B$12</f>
        <v>0</v>
      </c>
      <c r="AR6" s="438">
        <f>AO6+AP6+AQ6</f>
        <v>4400655664.5478439</v>
      </c>
      <c r="AS6" s="453">
        <f>AR6/AN6</f>
        <v>140.80635683569733</v>
      </c>
      <c r="AT6" s="463">
        <f>$B$14*AR6/$B$15</f>
        <v>58.726144108699486</v>
      </c>
      <c r="AV6" s="446">
        <f>AY6-AX6-AW6</f>
        <v>30596120.084151544</v>
      </c>
      <c r="AW6" s="438">
        <f>SUM(Scenarios!AF7)</f>
        <v>354707.96057897771</v>
      </c>
      <c r="AX6" s="438">
        <f>Scenarios!AD7</f>
        <v>42564.955269477316</v>
      </c>
      <c r="AY6" s="447">
        <f>Scenarios!AA7</f>
        <v>30993393</v>
      </c>
      <c r="AZ6" s="446">
        <f>AV6*$B$10</f>
        <v>4314052931.8653679</v>
      </c>
      <c r="BA6" s="438">
        <f>AW6*$B$11</f>
        <v>23410725.39821253</v>
      </c>
      <c r="BB6" s="438">
        <f>AX6*$B$12</f>
        <v>0</v>
      </c>
      <c r="BC6" s="438">
        <f>AZ6+BA6+BB6</f>
        <v>4337463657.2635803</v>
      </c>
      <c r="BD6" s="453">
        <f>BC6/AY6</f>
        <v>139.94800947619967</v>
      </c>
      <c r="BE6" s="463">
        <f>$B$14*BC6/$B$15</f>
        <v>57.882855469647346</v>
      </c>
      <c r="BG6" s="446">
        <f>BJ6-BI6-BH6</f>
        <v>30556283.716208417</v>
      </c>
      <c r="BH6" s="438">
        <f>SUM(Scenarios!AK7)</f>
        <v>394544.32852210564</v>
      </c>
      <c r="BI6" s="438">
        <f>Scenarios!AI7</f>
        <v>42564.955269477316</v>
      </c>
      <c r="BJ6" s="447">
        <f>Scenarios!AA7</f>
        <v>30993393</v>
      </c>
      <c r="BK6" s="446">
        <f>BG6*$B$10</f>
        <v>4308436003.9853868</v>
      </c>
      <c r="BL6" s="438">
        <f>BH6*$B$11</f>
        <v>26039925.682458971</v>
      </c>
      <c r="BM6" s="438">
        <f>BI6*$B$12</f>
        <v>0</v>
      </c>
      <c r="BN6" s="438">
        <f>BK6+BL6+BM6</f>
        <v>4334475929.6678457</v>
      </c>
      <c r="BO6" s="453">
        <f>BN6/BJ6</f>
        <v>139.85161062126517</v>
      </c>
      <c r="BP6" s="463">
        <f>$B$14*BN6/$B$15</f>
        <v>57.842984656132408</v>
      </c>
      <c r="BR6" s="446">
        <f>BU6-BT6-BS6</f>
        <v>30950828.044730522</v>
      </c>
      <c r="BS6" s="438">
        <v>0</v>
      </c>
      <c r="BT6" s="438">
        <f>Scenarios!AN7</f>
        <v>42564.955269477316</v>
      </c>
      <c r="BU6" s="447">
        <f>Scenarios!AA7</f>
        <v>30993393</v>
      </c>
      <c r="BV6" s="446">
        <f>BR6*$B$10</f>
        <v>4364066754.307004</v>
      </c>
      <c r="BW6" s="438">
        <f>BS6*$B$11</f>
        <v>0</v>
      </c>
      <c r="BX6" s="438">
        <f>BT6*$B$12</f>
        <v>0</v>
      </c>
      <c r="BY6" s="438">
        <f>BV6+BW6+BX6</f>
        <v>4364066754.307004</v>
      </c>
      <c r="BZ6" s="453">
        <f>BY6/BU6</f>
        <v>140.80635683569733</v>
      </c>
      <c r="CA6" s="463">
        <f>$B$14*BY6/$B$15</f>
        <v>58.237870137869592</v>
      </c>
      <c r="CC6" s="446">
        <f>CF6-CE6-CD6</f>
        <v>30417871.53838069</v>
      </c>
      <c r="CD6" s="438">
        <f>SUM(Scenarios!BA7)</f>
        <v>352641.48358867131</v>
      </c>
      <c r="CE6" s="438">
        <f>Scenarios!AY7</f>
        <v>42316.978030640552</v>
      </c>
      <c r="CF6" s="447">
        <f>Scenarios!AV7</f>
        <v>30812830</v>
      </c>
      <c r="CG6" s="446">
        <f>CC6*$B$10</f>
        <v>4288919886.9116774</v>
      </c>
      <c r="CH6" s="438">
        <f>CD6*$B$11</f>
        <v>23274337.916852307</v>
      </c>
      <c r="CI6" s="438">
        <f>CE6*$B$12</f>
        <v>0</v>
      </c>
      <c r="CJ6" s="438">
        <f>CG6+CH6+CI6</f>
        <v>4312194224.8285294</v>
      </c>
      <c r="CK6" s="453">
        <f>CJ6/CF6</f>
        <v>139.94800947619967</v>
      </c>
      <c r="CL6" s="463">
        <f>$B$14*CJ6/$B$15</f>
        <v>57.545638372049609</v>
      </c>
      <c r="CN6" s="446">
        <f>CQ6-CP6-CO6</f>
        <v>30378267.251323473</v>
      </c>
      <c r="CO6" s="438">
        <f>SUM(Scenarios!BF7)</f>
        <v>392245.7706458855</v>
      </c>
      <c r="CP6" s="438">
        <f>Scenarios!BD7</f>
        <v>42316.978030640552</v>
      </c>
      <c r="CQ6" s="447">
        <f>Scenarios!AV7</f>
        <v>30812830</v>
      </c>
      <c r="CR6" s="446">
        <f>CN6*$B$10</f>
        <v>4283335682.4366097</v>
      </c>
      <c r="CS6" s="438">
        <f>CO6*$B$11</f>
        <v>25888220.862628441</v>
      </c>
      <c r="CT6" s="438">
        <f>CP6*$B$12</f>
        <v>0</v>
      </c>
      <c r="CU6" s="438">
        <f>CR6+CS6+CT6</f>
        <v>4309223903.2992382</v>
      </c>
      <c r="CV6" s="453">
        <f>CU6/CQ6</f>
        <v>139.85161062126517</v>
      </c>
      <c r="CW6" s="463">
        <f>$B$14*CU6/$B$15</f>
        <v>57.505999840095477</v>
      </c>
      <c r="CY6" s="446">
        <f>DB6-DA6-CZ6</f>
        <v>30770513.021969359</v>
      </c>
      <c r="CZ6" s="438">
        <v>0</v>
      </c>
      <c r="DA6" s="438">
        <f>Scenarios!BI7</f>
        <v>42316.978030640552</v>
      </c>
      <c r="DB6" s="447">
        <f>Scenarios!AV7</f>
        <v>30812830</v>
      </c>
      <c r="DC6" s="446">
        <f>CY6*$B$10</f>
        <v>4338642336.0976801</v>
      </c>
      <c r="DD6" s="438">
        <f>CZ6*$B$11</f>
        <v>0</v>
      </c>
      <c r="DE6" s="438">
        <f>DA6*$B$12</f>
        <v>0</v>
      </c>
      <c r="DF6" s="438">
        <f>DC6+DD6+DE6</f>
        <v>4338642336.0976801</v>
      </c>
      <c r="DG6" s="453">
        <f>DF6/DB6</f>
        <v>140.80635683569733</v>
      </c>
      <c r="DH6" s="463">
        <f>$B$14*DF6/$B$15</f>
        <v>57.898584776447429</v>
      </c>
    </row>
    <row r="7" spans="1:112">
      <c r="M7" s="360">
        <v>2018</v>
      </c>
      <c r="N7" s="429"/>
      <c r="O7" s="448">
        <f t="shared" ref="O7:O39" si="1">R7-Q7-P7</f>
        <v>31167556.69829952</v>
      </c>
      <c r="P7" s="445">
        <f>SUM(Scenarios!J8)</f>
        <v>436155.96133971435</v>
      </c>
      <c r="Q7" s="445">
        <f>Scenarios!H8</f>
        <v>52338.715360765738</v>
      </c>
      <c r="R7" s="449">
        <f>Scenarios!E8</f>
        <v>31656051.375</v>
      </c>
      <c r="S7" s="448">
        <f>O7*$B$10</f>
        <v>4394625494.4602327</v>
      </c>
      <c r="T7" s="445">
        <f>P7*$B$11</f>
        <v>28786293.448421147</v>
      </c>
      <c r="U7" s="445">
        <f t="shared" ref="U7:U39" si="2">Q7*$B$12</f>
        <v>0</v>
      </c>
      <c r="V7" s="445">
        <f t="shared" ref="V7:V39" si="3">S7+T7+U7</f>
        <v>4423411787.9086542</v>
      </c>
      <c r="W7" s="454">
        <f t="shared" ref="W7:W39" si="4">V7/R7</f>
        <v>139.73352947619969</v>
      </c>
      <c r="X7" s="463">
        <f t="shared" si="0"/>
        <v>59.029821442649585</v>
      </c>
      <c r="Z7" s="448">
        <f t="shared" ref="Z7:Z39" si="5">AC7-AB7-AA7</f>
        <v>31128939.175953895</v>
      </c>
      <c r="AA7" s="445">
        <f>SUM(Scenarios!O8)</f>
        <v>474906.01392913901</v>
      </c>
      <c r="AB7" s="445">
        <f>Scenarios!M8</f>
        <v>52206.18511696683</v>
      </c>
      <c r="AC7" s="449">
        <f>Scenarios!E8</f>
        <v>31656051.375</v>
      </c>
      <c r="AD7" s="448">
        <f>Z7*$B$10</f>
        <v>4389180423.8094988</v>
      </c>
      <c r="AE7" s="445">
        <f>AA7*$B$11</f>
        <v>31343796.919323176</v>
      </c>
      <c r="AF7" s="445">
        <f t="shared" ref="AF7:AF39" si="6">AB7*$B$12</f>
        <v>0</v>
      </c>
      <c r="AG7" s="445">
        <f t="shared" ref="AG7:AG39" si="7">AD7+AE7+AF7</f>
        <v>4420524220.7288218</v>
      </c>
      <c r="AH7" s="454">
        <f t="shared" ref="AH7:AH39" si="8">AG7/AC7</f>
        <v>139.64231256649651</v>
      </c>
      <c r="AI7" s="463">
        <f t="shared" ref="AI7:AI39" si="9">$B$14*AG7/$B$15</f>
        <v>58.991287256098133</v>
      </c>
      <c r="AK7" s="448">
        <f t="shared" ref="AK7:AK39" si="10">AN7-AM7</f>
        <v>31603845.189883035</v>
      </c>
      <c r="AL7" s="445">
        <v>0</v>
      </c>
      <c r="AM7" s="445">
        <f>Scenarios!R8</f>
        <v>52206.18511696683</v>
      </c>
      <c r="AN7" s="449">
        <f>Scenarios!E8</f>
        <v>31656051.375</v>
      </c>
      <c r="AO7" s="448">
        <f>AK7*$B$10</f>
        <v>4456142171.7735081</v>
      </c>
      <c r="AP7" s="445">
        <f>AL7*$B$11</f>
        <v>0</v>
      </c>
      <c r="AQ7" s="445">
        <f t="shared" ref="AQ7:AQ39" si="11">AM7*$B$12</f>
        <v>0</v>
      </c>
      <c r="AR7" s="445">
        <f t="shared" ref="AR7:AR39" si="12">AO7+AP7+AQ7</f>
        <v>4456142171.7735081</v>
      </c>
      <c r="AS7" s="454">
        <f t="shared" ref="AS7:AS39" si="13">AR7/AN7</f>
        <v>140.76746714192834</v>
      </c>
      <c r="AT7" s="463">
        <f t="shared" ref="AT7:AT39" si="14">$B$14*AR7/$B$15</f>
        <v>59.466603910104453</v>
      </c>
      <c r="AV7" s="448">
        <f t="shared" ref="AV7:AV39" si="15">AY7-AX7-AW7</f>
        <v>30655872.048110995</v>
      </c>
      <c r="AW7" s="445">
        <f>SUM(Scenarios!AF8)</f>
        <v>428995.49275803921</v>
      </c>
      <c r="AX7" s="445">
        <f>Scenarios!AD8</f>
        <v>51479.459130964729</v>
      </c>
      <c r="AY7" s="449">
        <f>Scenarios!AA8</f>
        <v>31136347</v>
      </c>
      <c r="AZ7" s="448">
        <f>AV7*$B$10</f>
        <v>4322477958.7836504</v>
      </c>
      <c r="BA7" s="445">
        <f>AW7*$B$11</f>
        <v>28313702.522030588</v>
      </c>
      <c r="BB7" s="445">
        <f t="shared" ref="BB7:BB39" si="16">AX7*$B$12</f>
        <v>0</v>
      </c>
      <c r="BC7" s="445">
        <f t="shared" ref="BC7:BC39" si="17">AZ7+BA7+BB7</f>
        <v>4350791661.3056812</v>
      </c>
      <c r="BD7" s="454">
        <f t="shared" ref="BD7:BD39" si="18">BC7/AY7</f>
        <v>139.73352947619966</v>
      </c>
      <c r="BE7" s="463">
        <f t="shared" ref="BE7:BE39" si="19">$B$14*BC7/$B$15</f>
        <v>58.060715849036555</v>
      </c>
      <c r="BG7" s="448">
        <f t="shared" ref="BG7:BG39" si="20">BJ7-BI7-BH7</f>
        <v>30617888.518144172</v>
      </c>
      <c r="BH7" s="445">
        <f>SUM(Scenarios!AK8)</f>
        <v>467109.37719043001</v>
      </c>
      <c r="BI7" s="445">
        <f>Scenarios!AI8</f>
        <v>51349.104665398743</v>
      </c>
      <c r="BJ7" s="449">
        <f>Scenarios!AA8</f>
        <v>31136347</v>
      </c>
      <c r="BK7" s="448">
        <f>BG7*$B$10</f>
        <v>4317122281.0583286</v>
      </c>
      <c r="BL7" s="445">
        <f>BH7*$B$11</f>
        <v>30829218.89456838</v>
      </c>
      <c r="BM7" s="445">
        <f t="shared" ref="BM7:BM39" si="21">BI7*$B$12</f>
        <v>0</v>
      </c>
      <c r="BN7" s="445">
        <f t="shared" ref="BN7:BN39" si="22">BK7+BL7+BM7</f>
        <v>4347951499.9528971</v>
      </c>
      <c r="BO7" s="454">
        <f t="shared" ref="BO7:BO39" si="23">BN7/BJ7</f>
        <v>139.64231256649654</v>
      </c>
      <c r="BP7" s="463">
        <f t="shared" ref="BP7:BP39" si="24">$B$14*BN7/$B$15</f>
        <v>58.022814286721811</v>
      </c>
      <c r="BR7" s="448">
        <f t="shared" ref="BR7:BR39" si="25">BU7-BT7-BS7</f>
        <v>31084997.895334601</v>
      </c>
      <c r="BS7" s="445">
        <v>0</v>
      </c>
      <c r="BT7" s="445">
        <f>Scenarios!AN8</f>
        <v>51349.104665398743</v>
      </c>
      <c r="BU7" s="449">
        <f>Scenarios!AA8</f>
        <v>31136347</v>
      </c>
      <c r="BV7" s="448">
        <f>BR7*$B$10</f>
        <v>4382984703.2421789</v>
      </c>
      <c r="BW7" s="445">
        <f>BS7*$B$11</f>
        <v>0</v>
      </c>
      <c r="BX7" s="445">
        <f t="shared" ref="BX7:BX39" si="26">BT7*$B$12</f>
        <v>0</v>
      </c>
      <c r="BY7" s="445">
        <f t="shared" ref="BY7:BY39" si="27">BV7+BW7+BX7</f>
        <v>4382984703.2421789</v>
      </c>
      <c r="BZ7" s="454">
        <f t="shared" ref="BZ7:BZ39" si="28">BY7/BU7</f>
        <v>140.76746714192834</v>
      </c>
      <c r="CA7" s="463">
        <f t="shared" ref="CA7:CA39" si="29">$B$14*BY7/$B$15</f>
        <v>58.490327562420724</v>
      </c>
      <c r="CC7" s="448">
        <f t="shared" ref="CC7:CC39" si="30">CF7-CE7-CD7</f>
        <v>30300317.714613933</v>
      </c>
      <c r="CD7" s="445">
        <f>SUM(Scenarios!BA8)</f>
        <v>424019.89766612841</v>
      </c>
      <c r="CE7" s="445">
        <f>Scenarios!AY8</f>
        <v>50882.387719935425</v>
      </c>
      <c r="CF7" s="449">
        <f>Scenarios!AV8</f>
        <v>30775220</v>
      </c>
      <c r="CG7" s="448">
        <f>CC7*$B$10</f>
        <v>4272344797.7605648</v>
      </c>
      <c r="CH7" s="445">
        <f>CD7*$B$11</f>
        <v>27985313.245964475</v>
      </c>
      <c r="CI7" s="445">
        <f t="shared" ref="CI7:CI39" si="31">CE7*$B$12</f>
        <v>0</v>
      </c>
      <c r="CJ7" s="445">
        <f t="shared" ref="CJ7:CJ39" si="32">CG7+CH7+CI7</f>
        <v>4300330111.0065289</v>
      </c>
      <c r="CK7" s="454">
        <f t="shared" ref="CK7:CK39" si="33">CJ7/CF7</f>
        <v>139.73352947619964</v>
      </c>
      <c r="CL7" s="463">
        <f t="shared" ref="CL7:CL39" si="34">$B$14*CJ7/$B$15</f>
        <v>57.38731340614833</v>
      </c>
      <c r="CN7" s="448">
        <f t="shared" ref="CN7:CN39" si="35">CQ7-CP7-CO7</f>
        <v>30262774.726956919</v>
      </c>
      <c r="CO7" s="445">
        <f>SUM(Scenarios!BF8)</f>
        <v>461691.72790560388</v>
      </c>
      <c r="CP7" s="445">
        <f>Scenarios!BD8</f>
        <v>50753.545137477842</v>
      </c>
      <c r="CQ7" s="449">
        <f>Scenarios!AV8</f>
        <v>30775220</v>
      </c>
      <c r="CR7" s="448">
        <f>CN7*$B$10</f>
        <v>4267051236.5009255</v>
      </c>
      <c r="CS7" s="445">
        <f>CO7*$B$11</f>
        <v>30471654.041769855</v>
      </c>
      <c r="CT7" s="445">
        <f t="shared" ref="CT7:CT39" si="36">CP7*$B$12</f>
        <v>0</v>
      </c>
      <c r="CU7" s="445">
        <f t="shared" ref="CU7:CU39" si="37">CR7+CS7+CT7</f>
        <v>4297522890.542695</v>
      </c>
      <c r="CV7" s="454">
        <f t="shared" ref="CV7:CV39" si="38">CU7/CQ7</f>
        <v>139.64231256649651</v>
      </c>
      <c r="CW7" s="463">
        <f t="shared" ref="CW7:CW39" si="39">$B$14*CU7/$B$15</f>
        <v>57.34985143546244</v>
      </c>
      <c r="CY7" s="448">
        <f t="shared" ref="CY7:CY39" si="40">DB7-DA7-CZ7</f>
        <v>30724466.454862524</v>
      </c>
      <c r="CZ7" s="445">
        <v>0</v>
      </c>
      <c r="DA7" s="445">
        <f>Scenarios!BI8</f>
        <v>50753.545137477842</v>
      </c>
      <c r="DB7" s="449">
        <f>Scenarios!AV8</f>
        <v>30775220</v>
      </c>
      <c r="DC7" s="448">
        <f>CY7*$B$10</f>
        <v>4332149770.1356163</v>
      </c>
      <c r="DD7" s="445">
        <f>CZ7*$B$11</f>
        <v>0</v>
      </c>
      <c r="DE7" s="445">
        <f t="shared" ref="DE7:DE39" si="41">DA7*$B$12</f>
        <v>0</v>
      </c>
      <c r="DF7" s="445">
        <f t="shared" ref="DF7:DF39" si="42">DC7+DD7+DE7</f>
        <v>4332149770.1356163</v>
      </c>
      <c r="DG7" s="454">
        <f t="shared" ref="DG7:DG39" si="43">DF7/DB7</f>
        <v>140.76746714192836</v>
      </c>
      <c r="DH7" s="463">
        <f t="shared" ref="DH7:DH39" si="44">$B$14*DF7/$B$15</f>
        <v>57.811942377362435</v>
      </c>
    </row>
    <row r="8" spans="1:112">
      <c r="B8" s="584" t="s">
        <v>259</v>
      </c>
      <c r="C8" s="584"/>
      <c r="D8" s="584"/>
      <c r="M8" s="360">
        <v>2019</v>
      </c>
      <c r="N8" s="429"/>
      <c r="O8" s="448">
        <f t="shared" si="1"/>
        <v>31468397.442348894</v>
      </c>
      <c r="P8" s="445">
        <f>SUM(Scenarios!J9)</f>
        <v>527196.08942063141</v>
      </c>
      <c r="Q8" s="445">
        <f>Scenarios!H9</f>
        <v>63263.530730475759</v>
      </c>
      <c r="R8" s="449">
        <f>Scenarios!E9</f>
        <v>32058857.0625</v>
      </c>
      <c r="S8" s="448">
        <f>O8*$B$10</f>
        <v>4437044039.3711939</v>
      </c>
      <c r="T8" s="445">
        <f>P8*$B$11</f>
        <v>34794941.901761673</v>
      </c>
      <c r="U8" s="445">
        <f t="shared" si="2"/>
        <v>0</v>
      </c>
      <c r="V8" s="445">
        <f t="shared" si="3"/>
        <v>4471838981.2729559</v>
      </c>
      <c r="W8" s="454">
        <f t="shared" si="4"/>
        <v>139.48840947619968</v>
      </c>
      <c r="X8" s="463">
        <f t="shared" si="0"/>
        <v>59.676075672264268</v>
      </c>
      <c r="Z8" s="448">
        <f t="shared" si="5"/>
        <v>31443354.092693526</v>
      </c>
      <c r="AA8" s="445">
        <f>SUM(Scenarios!O9)</f>
        <v>553790.22659371595</v>
      </c>
      <c r="AB8" s="445">
        <f>Scenarios!M9</f>
        <v>61712.74321275788</v>
      </c>
      <c r="AC8" s="449">
        <f>Scenarios!E9</f>
        <v>32058857.0625</v>
      </c>
      <c r="AD8" s="448">
        <f>Z8*$B$10</f>
        <v>4433512927.069787</v>
      </c>
      <c r="AE8" s="445">
        <f>AA8*$B$11</f>
        <v>36550154.955185249</v>
      </c>
      <c r="AF8" s="445">
        <f t="shared" si="6"/>
        <v>0</v>
      </c>
      <c r="AG8" s="445">
        <f t="shared" si="7"/>
        <v>4470063082.024972</v>
      </c>
      <c r="AH8" s="454">
        <f t="shared" si="8"/>
        <v>139.43301451172786</v>
      </c>
      <c r="AI8" s="463">
        <f t="shared" si="9"/>
        <v>59.65237654124617</v>
      </c>
      <c r="AK8" s="448">
        <f t="shared" si="10"/>
        <v>31997144.319287241</v>
      </c>
      <c r="AL8" s="445">
        <v>0</v>
      </c>
      <c r="AM8" s="445">
        <f>Scenarios!R9</f>
        <v>61712.74321275788</v>
      </c>
      <c r="AN8" s="449">
        <f>Scenarios!E9</f>
        <v>32058857.0625</v>
      </c>
      <c r="AO8" s="448">
        <f>AK8*$B$10</f>
        <v>4511597349.0195007</v>
      </c>
      <c r="AP8" s="445">
        <f>AL8*$B$11</f>
        <v>0</v>
      </c>
      <c r="AQ8" s="445">
        <f t="shared" si="11"/>
        <v>0</v>
      </c>
      <c r="AR8" s="445">
        <f t="shared" si="12"/>
        <v>4511597349.0195007</v>
      </c>
      <c r="AS8" s="454">
        <f t="shared" si="13"/>
        <v>140.72857744815931</v>
      </c>
      <c r="AT8" s="463">
        <f t="shared" si="14"/>
        <v>60.206645617243169</v>
      </c>
      <c r="AV8" s="448">
        <f t="shared" si="15"/>
        <v>30703199.233457115</v>
      </c>
      <c r="AW8" s="445">
        <f>SUM(Scenarios!AF9)</f>
        <v>514376.57727043441</v>
      </c>
      <c r="AX8" s="445">
        <f>Scenarios!AD9</f>
        <v>61725.189272452124</v>
      </c>
      <c r="AY8" s="449">
        <f>Scenarios!AA9</f>
        <v>31279301</v>
      </c>
      <c r="AZ8" s="448">
        <f>AV8*$B$10</f>
        <v>4329151091.9174528</v>
      </c>
      <c r="BA8" s="445">
        <f>AW8*$B$11</f>
        <v>33948854.099848673</v>
      </c>
      <c r="BB8" s="445">
        <f t="shared" si="16"/>
        <v>0</v>
      </c>
      <c r="BC8" s="445">
        <f t="shared" si="17"/>
        <v>4363099946.0173016</v>
      </c>
      <c r="BD8" s="454">
        <f t="shared" si="18"/>
        <v>139.48840947619965</v>
      </c>
      <c r="BE8" s="463">
        <f t="shared" si="19"/>
        <v>58.224968214321258</v>
      </c>
      <c r="BG8" s="448">
        <f t="shared" si="20"/>
        <v>30678764.847964477</v>
      </c>
      <c r="BH8" s="445">
        <f>SUM(Scenarios!AK9)</f>
        <v>540324.04070777679</v>
      </c>
      <c r="BI8" s="445">
        <f>Scenarios!AI9</f>
        <v>60212.111327746454</v>
      </c>
      <c r="BJ8" s="449">
        <f>Scenarios!AA9</f>
        <v>31279301</v>
      </c>
      <c r="BK8" s="448">
        <f>BG8*$B$10</f>
        <v>4325705843.5629911</v>
      </c>
      <c r="BL8" s="445">
        <f>BH8*$B$11</f>
        <v>35661386.686713271</v>
      </c>
      <c r="BM8" s="445">
        <f t="shared" si="21"/>
        <v>0</v>
      </c>
      <c r="BN8" s="445">
        <f t="shared" si="22"/>
        <v>4361367230.2497044</v>
      </c>
      <c r="BO8" s="454">
        <f t="shared" si="23"/>
        <v>139.43301451172789</v>
      </c>
      <c r="BP8" s="463">
        <f t="shared" si="24"/>
        <v>58.201845360904876</v>
      </c>
      <c r="BR8" s="448">
        <f t="shared" si="25"/>
        <v>31219088.888672255</v>
      </c>
      <c r="BS8" s="445">
        <v>0</v>
      </c>
      <c r="BT8" s="445">
        <f>Scenarios!AN9</f>
        <v>60212.111327746454</v>
      </c>
      <c r="BU8" s="449">
        <f>Scenarios!AA9</f>
        <v>31279301</v>
      </c>
      <c r="BV8" s="448">
        <f>BR8*$B$10</f>
        <v>4401891533.3027878</v>
      </c>
      <c r="BW8" s="445">
        <f>BS8*$B$11</f>
        <v>0</v>
      </c>
      <c r="BX8" s="445">
        <f t="shared" si="26"/>
        <v>0</v>
      </c>
      <c r="BY8" s="445">
        <f t="shared" si="27"/>
        <v>4401891533.3027878</v>
      </c>
      <c r="BZ8" s="454">
        <f t="shared" si="28"/>
        <v>140.72857744815934</v>
      </c>
      <c r="CA8" s="463">
        <f t="shared" si="29"/>
        <v>58.742636607121248</v>
      </c>
      <c r="CC8" s="448">
        <f t="shared" si="30"/>
        <v>30171485.091380518</v>
      </c>
      <c r="CD8" s="445">
        <f>SUM(Scenarios!BA9)</f>
        <v>505468.66841025249</v>
      </c>
      <c r="CE8" s="445">
        <f>Scenarios!AY9</f>
        <v>60656.240209230287</v>
      </c>
      <c r="CF8" s="449">
        <f>Scenarios!AV9</f>
        <v>30737610</v>
      </c>
      <c r="CG8" s="448">
        <f>CC8*$B$10</f>
        <v>4254179397.8846531</v>
      </c>
      <c r="CH8" s="445">
        <f>CD8*$B$11</f>
        <v>33360932.115076665</v>
      </c>
      <c r="CI8" s="445">
        <f t="shared" si="31"/>
        <v>0</v>
      </c>
      <c r="CJ8" s="445">
        <f t="shared" si="32"/>
        <v>4287540329.9997296</v>
      </c>
      <c r="CK8" s="454">
        <f t="shared" si="33"/>
        <v>139.48840947619968</v>
      </c>
      <c r="CL8" s="463">
        <f t="shared" si="34"/>
        <v>57.216635539080727</v>
      </c>
      <c r="CN8" s="448">
        <f t="shared" si="35"/>
        <v>30147473.857502166</v>
      </c>
      <c r="CO8" s="445">
        <f>SUM(Scenarios!BF9)</f>
        <v>530966.77693979698</v>
      </c>
      <c r="CP8" s="445">
        <f>Scenarios!BD9</f>
        <v>59169.365558036377</v>
      </c>
      <c r="CQ8" s="449">
        <f>Scenarios!AV9</f>
        <v>30737610</v>
      </c>
      <c r="CR8" s="448">
        <f>CN8*$B$10</f>
        <v>4250793813.9078054</v>
      </c>
      <c r="CS8" s="445">
        <f>CO8*$B$11</f>
        <v>35043807.278026603</v>
      </c>
      <c r="CT8" s="445">
        <f t="shared" si="36"/>
        <v>0</v>
      </c>
      <c r="CU8" s="445">
        <f t="shared" si="37"/>
        <v>4285837621.185832</v>
      </c>
      <c r="CV8" s="454">
        <f t="shared" si="38"/>
        <v>139.43301451172789</v>
      </c>
      <c r="CW8" s="463">
        <f t="shared" si="39"/>
        <v>57.193913124331111</v>
      </c>
      <c r="CY8" s="448">
        <f t="shared" si="40"/>
        <v>30678440.634441964</v>
      </c>
      <c r="CZ8" s="445">
        <v>0</v>
      </c>
      <c r="DA8" s="445">
        <f>Scenarios!BI9</f>
        <v>59169.365558036377</v>
      </c>
      <c r="DB8" s="449">
        <f>Scenarios!AV9</f>
        <v>30737610</v>
      </c>
      <c r="DC8" s="448">
        <f>CY8*$B$10</f>
        <v>4325660129.4563169</v>
      </c>
      <c r="DD8" s="445">
        <f>CZ8*$B$11</f>
        <v>0</v>
      </c>
      <c r="DE8" s="445">
        <f t="shared" si="41"/>
        <v>0</v>
      </c>
      <c r="DF8" s="445">
        <f t="shared" si="42"/>
        <v>4325660129.4563169</v>
      </c>
      <c r="DG8" s="454">
        <f t="shared" si="43"/>
        <v>140.72857744815934</v>
      </c>
      <c r="DH8" s="463">
        <f t="shared" si="44"/>
        <v>57.72533901577328</v>
      </c>
    </row>
    <row r="9" spans="1:112" s="174" customFormat="1">
      <c r="A9" s="434" t="s">
        <v>255</v>
      </c>
      <c r="B9" s="432" t="s">
        <v>258</v>
      </c>
      <c r="C9" s="432" t="s">
        <v>257</v>
      </c>
      <c r="D9" s="432" t="s">
        <v>256</v>
      </c>
      <c r="M9" s="360">
        <v>2020</v>
      </c>
      <c r="N9" s="430"/>
      <c r="O9" s="448">
        <f t="shared" si="1"/>
        <v>31754713.072998267</v>
      </c>
      <c r="P9" s="445">
        <f>SUM(Scenarios!J10)</f>
        <v>631205.06875154818</v>
      </c>
      <c r="Q9" s="445">
        <f>Scenarios!H10</f>
        <v>75744.608250185789</v>
      </c>
      <c r="R9" s="449">
        <f>Scenarios!E10</f>
        <v>32461662.75</v>
      </c>
      <c r="S9" s="448">
        <f>O9*$B$10</f>
        <v>4477414543.2927551</v>
      </c>
      <c r="T9" s="445">
        <f>P9*$B$11</f>
        <v>41659534.537602179</v>
      </c>
      <c r="U9" s="445">
        <f t="shared" si="2"/>
        <v>0</v>
      </c>
      <c r="V9" s="445">
        <f t="shared" si="3"/>
        <v>4519074077.8303576</v>
      </c>
      <c r="W9" s="454">
        <f t="shared" si="4"/>
        <v>139.21264947619966</v>
      </c>
      <c r="X9" s="463">
        <f t="shared" si="0"/>
        <v>60.306421534078773</v>
      </c>
      <c r="Z9" s="448">
        <f t="shared" si="5"/>
        <v>31755716.372142226</v>
      </c>
      <c r="AA9" s="445">
        <f>SUM(Scenarios!O10)</f>
        <v>634504.87811184535</v>
      </c>
      <c r="AB9" s="445">
        <f>Scenarios!M10</f>
        <v>71441.499745928857</v>
      </c>
      <c r="AC9" s="449">
        <f>Scenarios!E10</f>
        <v>32461662.75</v>
      </c>
      <c r="AD9" s="448">
        <f>Z9*$B$10</f>
        <v>4477556008.4720535</v>
      </c>
      <c r="AE9" s="445">
        <f>AA9*$B$11</f>
        <v>41877321.955381796</v>
      </c>
      <c r="AF9" s="445">
        <f t="shared" si="6"/>
        <v>0</v>
      </c>
      <c r="AG9" s="445">
        <f t="shared" si="7"/>
        <v>4519433330.4274349</v>
      </c>
      <c r="AH9" s="454">
        <f t="shared" si="8"/>
        <v>139.22371645695921</v>
      </c>
      <c r="AI9" s="463">
        <f t="shared" si="9"/>
        <v>60.311215710536921</v>
      </c>
      <c r="AK9" s="448">
        <f t="shared" si="10"/>
        <v>32390221.250254072</v>
      </c>
      <c r="AL9" s="445">
        <v>0</v>
      </c>
      <c r="AM9" s="445">
        <f>Scenarios!R10</f>
        <v>71441.499745928857</v>
      </c>
      <c r="AN9" s="449">
        <f>Scenarios!E10</f>
        <v>32461662.75</v>
      </c>
      <c r="AO9" s="448">
        <f>AK9*$B$10</f>
        <v>4567021196.2858238</v>
      </c>
      <c r="AP9" s="445">
        <f>AL9*$B$11</f>
        <v>0</v>
      </c>
      <c r="AQ9" s="445">
        <f t="shared" si="11"/>
        <v>0</v>
      </c>
      <c r="AR9" s="445">
        <f t="shared" si="12"/>
        <v>4567021196.2858238</v>
      </c>
      <c r="AS9" s="454">
        <f t="shared" si="13"/>
        <v>140.68968775439032</v>
      </c>
      <c r="AT9" s="463">
        <f t="shared" si="14"/>
        <v>60.946269230115654</v>
      </c>
      <c r="AV9" s="448">
        <f t="shared" si="15"/>
        <v>30737942.465289567</v>
      </c>
      <c r="AW9" s="445">
        <f>SUM(Scenarios!AF10)</f>
        <v>610994.18667341489</v>
      </c>
      <c r="AX9" s="445">
        <f>Scenarios!AD10</f>
        <v>73319.302400809785</v>
      </c>
      <c r="AY9" s="449">
        <f>Scenarios!AA10</f>
        <v>31422255.954363789</v>
      </c>
      <c r="AZ9" s="448">
        <f>AV9*$B$10</f>
        <v>4334049887.6058292</v>
      </c>
      <c r="BA9" s="445">
        <f>AW9*$B$11</f>
        <v>40325616.320445381</v>
      </c>
      <c r="BB9" s="445">
        <f t="shared" si="16"/>
        <v>0</v>
      </c>
      <c r="BC9" s="445">
        <f t="shared" si="17"/>
        <v>4374375503.9262743</v>
      </c>
      <c r="BD9" s="454">
        <f t="shared" si="18"/>
        <v>139.21264947619969</v>
      </c>
      <c r="BE9" s="463">
        <f t="shared" si="19"/>
        <v>58.375438982575822</v>
      </c>
      <c r="BG9" s="448">
        <f t="shared" si="20"/>
        <v>30738913.639278498</v>
      </c>
      <c r="BH9" s="445">
        <f>SUM(Scenarios!AK10)</f>
        <v>614188.33772841177</v>
      </c>
      <c r="BI9" s="445">
        <f>Scenarios!AI10</f>
        <v>69153.977356880525</v>
      </c>
      <c r="BJ9" s="449">
        <f>Scenarios!AA10</f>
        <v>31422255.954363789</v>
      </c>
      <c r="BK9" s="448">
        <f>BG9*$B$10</f>
        <v>4334186823.1382685</v>
      </c>
      <c r="BL9" s="445">
        <f>BH9*$B$11</f>
        <v>40536430.290075175</v>
      </c>
      <c r="BM9" s="445">
        <f t="shared" si="21"/>
        <v>0</v>
      </c>
      <c r="BN9" s="445">
        <f t="shared" si="22"/>
        <v>4374723253.4283438</v>
      </c>
      <c r="BO9" s="454">
        <f t="shared" si="23"/>
        <v>139.22371645695927</v>
      </c>
      <c r="BP9" s="463">
        <f t="shared" si="24"/>
        <v>58.380079651814455</v>
      </c>
      <c r="BR9" s="448">
        <f t="shared" si="25"/>
        <v>31353101.977006909</v>
      </c>
      <c r="BS9" s="445">
        <v>0</v>
      </c>
      <c r="BT9" s="445">
        <f>Scenarios!AN10</f>
        <v>69153.977356880525</v>
      </c>
      <c r="BU9" s="449">
        <f>Scenarios!AA10</f>
        <v>31422255.954363789</v>
      </c>
      <c r="BV9" s="448">
        <f>BR9*$B$10</f>
        <v>4420787378.7579737</v>
      </c>
      <c r="BW9" s="445">
        <f>BS9*$B$11</f>
        <v>0</v>
      </c>
      <c r="BX9" s="445">
        <f t="shared" si="26"/>
        <v>0</v>
      </c>
      <c r="BY9" s="445">
        <f t="shared" si="27"/>
        <v>4420787378.7579737</v>
      </c>
      <c r="BZ9" s="454">
        <f t="shared" si="28"/>
        <v>140.68968775439032</v>
      </c>
      <c r="CA9" s="463">
        <f t="shared" si="29"/>
        <v>58.994799063774387</v>
      </c>
      <c r="CC9" s="448">
        <f t="shared" si="30"/>
        <v>30031415.791880433</v>
      </c>
      <c r="CD9" s="445">
        <f>SUM(Scenarios!BA10)</f>
        <v>596950.18582104298</v>
      </c>
      <c r="CE9" s="445">
        <f>Scenarios!AY10</f>
        <v>71634.02229852516</v>
      </c>
      <c r="CF9" s="449">
        <f>Scenarios!AV10</f>
        <v>30700000</v>
      </c>
      <c r="CG9" s="448">
        <f>CC9*$B$10</f>
        <v>4234429626.6551409</v>
      </c>
      <c r="CH9" s="445">
        <f>CD9*$B$11</f>
        <v>39398712.264188834</v>
      </c>
      <c r="CI9" s="445">
        <f t="shared" si="31"/>
        <v>0</v>
      </c>
      <c r="CJ9" s="445">
        <f t="shared" si="32"/>
        <v>4273828338.9193296</v>
      </c>
      <c r="CK9" s="454">
        <f t="shared" si="33"/>
        <v>139.21264947619966</v>
      </c>
      <c r="CL9" s="463">
        <f t="shared" si="34"/>
        <v>57.033650905519877</v>
      </c>
      <c r="CN9" s="448">
        <f t="shared" si="35"/>
        <v>30032364.642959218</v>
      </c>
      <c r="CO9" s="445">
        <f>SUM(Scenarios!BF10)</f>
        <v>600070.91774846474</v>
      </c>
      <c r="CP9" s="445">
        <f>Scenarios!BD10</f>
        <v>67564.439292316165</v>
      </c>
      <c r="CQ9" s="449">
        <f>Scenarios!AV10</f>
        <v>30700000</v>
      </c>
      <c r="CR9" s="448">
        <f>CN9*$B$10</f>
        <v>4234563414.6572499</v>
      </c>
      <c r="CS9" s="445">
        <f>CO9*$B$11</f>
        <v>39604680.571398675</v>
      </c>
      <c r="CT9" s="445">
        <f t="shared" si="36"/>
        <v>0</v>
      </c>
      <c r="CU9" s="445">
        <f t="shared" si="37"/>
        <v>4274168095.2286487</v>
      </c>
      <c r="CV9" s="454">
        <f t="shared" si="38"/>
        <v>139.22371645695924</v>
      </c>
      <c r="CW9" s="463">
        <f t="shared" si="39"/>
        <v>57.038184906701481</v>
      </c>
      <c r="CY9" s="448">
        <f t="shared" si="40"/>
        <v>30632435.560707685</v>
      </c>
      <c r="CZ9" s="445">
        <v>0</v>
      </c>
      <c r="DA9" s="445">
        <f>Scenarios!BI10</f>
        <v>67564.439292316165</v>
      </c>
      <c r="DB9" s="449">
        <f>Scenarios!AV10</f>
        <v>30700000</v>
      </c>
      <c r="DC9" s="448">
        <f>CY9*$B$10</f>
        <v>4319173414.0597839</v>
      </c>
      <c r="DD9" s="445">
        <f>CZ9*$B$11</f>
        <v>0</v>
      </c>
      <c r="DE9" s="445">
        <f t="shared" si="41"/>
        <v>0</v>
      </c>
      <c r="DF9" s="445">
        <f t="shared" si="42"/>
        <v>4319173414.0597839</v>
      </c>
      <c r="DG9" s="454">
        <f t="shared" si="43"/>
        <v>140.68968775439035</v>
      </c>
      <c r="DH9" s="463">
        <f t="shared" si="44"/>
        <v>57.638774691679984</v>
      </c>
    </row>
    <row r="10" spans="1:112">
      <c r="A10" s="433" t="s">
        <v>241</v>
      </c>
      <c r="B10" s="431">
        <v>141</v>
      </c>
      <c r="C10" s="431">
        <v>119</v>
      </c>
      <c r="D10" s="431">
        <v>95</v>
      </c>
      <c r="M10" s="360">
        <v>2021</v>
      </c>
      <c r="N10" s="429"/>
      <c r="O10" s="448">
        <f t="shared" si="1"/>
        <v>32026052.447877638</v>
      </c>
      <c r="P10" s="445">
        <f>SUM(Scenarios!J11)</f>
        <v>748585.70501996519</v>
      </c>
      <c r="Q10" s="445">
        <f>Scenarios!H11</f>
        <v>89830.284602395812</v>
      </c>
      <c r="R10" s="449">
        <f>Scenarios!E11</f>
        <v>32864468.4375</v>
      </c>
      <c r="S10" s="448">
        <f t="shared" ref="S10:S18" si="45">O10*$C$10</f>
        <v>3811100241.2974391</v>
      </c>
      <c r="T10" s="445">
        <f t="shared" ref="T10:T39" si="46">P10*$C$11</f>
        <v>40423628.071078122</v>
      </c>
      <c r="U10" s="445">
        <f t="shared" si="2"/>
        <v>0</v>
      </c>
      <c r="V10" s="445">
        <f t="shared" si="3"/>
        <v>3851523869.3685174</v>
      </c>
      <c r="W10" s="454">
        <f t="shared" si="4"/>
        <v>117.19416295118701</v>
      </c>
      <c r="X10" s="463">
        <f t="shared" si="0"/>
        <v>51.398055888081252</v>
      </c>
      <c r="Z10" s="448">
        <f t="shared" si="5"/>
        <v>32066026.014299992</v>
      </c>
      <c r="AA10" s="445">
        <f>SUM(Scenarios!O11)</f>
        <v>717049.96848352719</v>
      </c>
      <c r="AB10" s="445">
        <f>Scenarios!M11</f>
        <v>81392.45471647974</v>
      </c>
      <c r="AC10" s="449">
        <f>Scenarios!E11</f>
        <v>32864468.4375</v>
      </c>
      <c r="AD10" s="448">
        <f t="shared" ref="AD10:AD18" si="47">Z10*$C$10</f>
        <v>3815857095.7016993</v>
      </c>
      <c r="AE10" s="445">
        <f t="shared" ref="AE10:AE39" si="48">AA10*$C$11</f>
        <v>38720698.29811047</v>
      </c>
      <c r="AF10" s="445">
        <f t="shared" si="6"/>
        <v>0</v>
      </c>
      <c r="AG10" s="445">
        <f t="shared" si="7"/>
        <v>3854577793.9998097</v>
      </c>
      <c r="AH10" s="454">
        <f t="shared" si="8"/>
        <v>117.2870877656291</v>
      </c>
      <c r="AI10" s="463">
        <f t="shared" si="9"/>
        <v>51.438810091923919</v>
      </c>
      <c r="AK10" s="448">
        <f t="shared" si="10"/>
        <v>32783075.982783519</v>
      </c>
      <c r="AL10" s="445">
        <v>0</v>
      </c>
      <c r="AM10" s="445">
        <f>Scenarios!R11</f>
        <v>81392.45471647974</v>
      </c>
      <c r="AN10" s="449">
        <f>Scenarios!E11</f>
        <v>32864468.4375</v>
      </c>
      <c r="AO10" s="448">
        <f t="shared" ref="AO10:AO18" si="49">AK10*$C$10</f>
        <v>3901186041.9512386</v>
      </c>
      <c r="AP10" s="445">
        <f t="shared" ref="AP10:AP39" si="50">AL10*$C$11</f>
        <v>0</v>
      </c>
      <c r="AQ10" s="445">
        <f t="shared" si="11"/>
        <v>0</v>
      </c>
      <c r="AR10" s="445">
        <f t="shared" si="12"/>
        <v>3901186041.9512386</v>
      </c>
      <c r="AS10" s="454">
        <f t="shared" si="13"/>
        <v>118.70528346960241</v>
      </c>
      <c r="AT10" s="463">
        <f t="shared" si="14"/>
        <v>52.060790745375208</v>
      </c>
      <c r="AV10" s="448">
        <f t="shared" si="15"/>
        <v>30831564.726816244</v>
      </c>
      <c r="AW10" s="445">
        <f>SUM(Scenarios!AF11)</f>
        <v>720665.4224854972</v>
      </c>
      <c r="AX10" s="445">
        <f>Scenarios!AD11</f>
        <v>86479.850698259645</v>
      </c>
      <c r="AY10" s="449">
        <f>Scenarios!AA11</f>
        <v>31638710</v>
      </c>
      <c r="AZ10" s="448">
        <f t="shared" ref="AZ10:AZ18" si="51">AV10*$C$10</f>
        <v>3668956202.4911332</v>
      </c>
      <c r="BA10" s="445">
        <f t="shared" ref="BA10:BA39" si="52">AW10*$C$11</f>
        <v>38915932.814216852</v>
      </c>
      <c r="BB10" s="445">
        <f t="shared" si="16"/>
        <v>0</v>
      </c>
      <c r="BC10" s="445">
        <f t="shared" si="17"/>
        <v>3707872135.3053503</v>
      </c>
      <c r="BD10" s="454">
        <f t="shared" si="18"/>
        <v>117.19416295118702</v>
      </c>
      <c r="BE10" s="463">
        <f t="shared" si="19"/>
        <v>49.481043270161521</v>
      </c>
      <c r="BG10" s="448">
        <f t="shared" si="20"/>
        <v>30870047.384100288</v>
      </c>
      <c r="BH10" s="445">
        <f>SUM(Scenarios!AK11)</f>
        <v>690305.88617319555</v>
      </c>
      <c r="BI10" s="445">
        <f>Scenarios!AI11</f>
        <v>78356.729726516962</v>
      </c>
      <c r="BJ10" s="449">
        <f>Scenarios!AA11</f>
        <v>31638710</v>
      </c>
      <c r="BK10" s="448">
        <f t="shared" ref="BK10:BK18" si="53">BG10*$C$10</f>
        <v>3673535638.7079344</v>
      </c>
      <c r="BL10" s="445">
        <f t="shared" ref="BL10:BL39" si="54">BH10*$C$11</f>
        <v>37276517.853352562</v>
      </c>
      <c r="BM10" s="445">
        <f t="shared" si="21"/>
        <v>0</v>
      </c>
      <c r="BN10" s="445">
        <f t="shared" si="22"/>
        <v>3710812156.5612869</v>
      </c>
      <c r="BO10" s="454">
        <f t="shared" si="23"/>
        <v>117.2870877656291</v>
      </c>
      <c r="BP10" s="463">
        <f t="shared" si="24"/>
        <v>49.520277449138469</v>
      </c>
      <c r="BR10" s="448">
        <f t="shared" si="25"/>
        <v>31560353.270273484</v>
      </c>
      <c r="BS10" s="445">
        <v>0</v>
      </c>
      <c r="BT10" s="445">
        <f>Scenarios!AN11</f>
        <v>78356.729726516962</v>
      </c>
      <c r="BU10" s="449">
        <f>Scenarios!AA11</f>
        <v>31638710</v>
      </c>
      <c r="BV10" s="448">
        <f t="shared" ref="BV10:BV18" si="55">BR10*$C$10</f>
        <v>3755682039.1625447</v>
      </c>
      <c r="BW10" s="445">
        <f t="shared" ref="BW10:BW39" si="56">BS10*$C$11</f>
        <v>0</v>
      </c>
      <c r="BX10" s="445">
        <f t="shared" si="26"/>
        <v>0</v>
      </c>
      <c r="BY10" s="445">
        <f t="shared" si="27"/>
        <v>3755682039.1625447</v>
      </c>
      <c r="BZ10" s="454">
        <f t="shared" si="28"/>
        <v>118.70528346960242</v>
      </c>
      <c r="CA10" s="463">
        <f t="shared" si="29"/>
        <v>50.119059856271576</v>
      </c>
      <c r="CC10" s="448">
        <f t="shared" si="30"/>
        <v>29936292.232135728</v>
      </c>
      <c r="CD10" s="445">
        <f>SUM(Scenarios!BA11)</f>
        <v>699739.07845024241</v>
      </c>
      <c r="CE10" s="445">
        <f>Scenarios!AY11</f>
        <v>83968.689414029082</v>
      </c>
      <c r="CF10" s="449">
        <f>Scenarios!AV11</f>
        <v>30720000</v>
      </c>
      <c r="CG10" s="448">
        <f t="shared" ref="CG10:CG18" si="57">CC10*$C$10</f>
        <v>3562418775.6241517</v>
      </c>
      <c r="CH10" s="445">
        <f t="shared" ref="CH10:CH39" si="58">CD10*$C$11</f>
        <v>37785910.23631309</v>
      </c>
      <c r="CI10" s="445">
        <f t="shared" si="31"/>
        <v>0</v>
      </c>
      <c r="CJ10" s="445">
        <f t="shared" si="32"/>
        <v>3600204685.8604646</v>
      </c>
      <c r="CK10" s="454">
        <f t="shared" si="33"/>
        <v>117.194162951187</v>
      </c>
      <c r="CL10" s="463">
        <f t="shared" si="34"/>
        <v>48.044235977363229</v>
      </c>
      <c r="CN10" s="448">
        <f t="shared" si="35"/>
        <v>29973657.448093202</v>
      </c>
      <c r="CO10" s="445">
        <f>SUM(Scenarios!BF11)</f>
        <v>670261.10809323669</v>
      </c>
      <c r="CP10" s="445">
        <f>Scenarios!BD11</f>
        <v>76081.443813562597</v>
      </c>
      <c r="CQ10" s="449">
        <f>Scenarios!AV11</f>
        <v>30720000</v>
      </c>
      <c r="CR10" s="448">
        <f t="shared" ref="CR10:CR18" si="59">CN10*$C$10</f>
        <v>3566865236.323091</v>
      </c>
      <c r="CS10" s="445">
        <f t="shared" ref="CS10:CS39" si="60">CO10*$C$11</f>
        <v>36194099.837034784</v>
      </c>
      <c r="CT10" s="445">
        <f t="shared" si="36"/>
        <v>0</v>
      </c>
      <c r="CU10" s="445">
        <f t="shared" si="37"/>
        <v>3603059336.1601257</v>
      </c>
      <c r="CV10" s="454">
        <f t="shared" si="38"/>
        <v>117.2870877656291</v>
      </c>
      <c r="CW10" s="463">
        <f t="shared" si="39"/>
        <v>48.082330892679686</v>
      </c>
      <c r="CY10" s="448">
        <f t="shared" si="40"/>
        <v>30643918.556186438</v>
      </c>
      <c r="CZ10" s="445">
        <v>0</v>
      </c>
      <c r="DA10" s="445">
        <f>Scenarios!BI11</f>
        <v>76081.443813562597</v>
      </c>
      <c r="DB10" s="449">
        <f>Scenarios!AV11</f>
        <v>30720000</v>
      </c>
      <c r="DC10" s="448">
        <f t="shared" ref="DC10:DC18" si="61">CY10*$C$10</f>
        <v>3646626308.1861858</v>
      </c>
      <c r="DD10" s="445">
        <f t="shared" ref="DD10:DD39" si="62">CZ10*$C$11</f>
        <v>0</v>
      </c>
      <c r="DE10" s="445">
        <f t="shared" si="41"/>
        <v>0</v>
      </c>
      <c r="DF10" s="445">
        <f t="shared" si="42"/>
        <v>3646626308.1861858</v>
      </c>
      <c r="DG10" s="454">
        <f t="shared" si="43"/>
        <v>118.70528346960241</v>
      </c>
      <c r="DH10" s="463">
        <f t="shared" si="44"/>
        <v>48.66372613752781</v>
      </c>
    </row>
    <row r="11" spans="1:112">
      <c r="A11" s="433" t="s">
        <v>242</v>
      </c>
      <c r="B11" s="431">
        <v>66</v>
      </c>
      <c r="C11" s="431">
        <v>54</v>
      </c>
      <c r="D11" s="431">
        <v>54</v>
      </c>
      <c r="M11" s="360">
        <v>2022</v>
      </c>
      <c r="N11" s="429"/>
      <c r="O11" s="448">
        <f t="shared" si="1"/>
        <v>32281964.424617015</v>
      </c>
      <c r="P11" s="445">
        <f>SUM(Scenarios!J12)</f>
        <v>879740.803913382</v>
      </c>
      <c r="Q11" s="445">
        <f>Scenarios!H12</f>
        <v>105568.89646960584</v>
      </c>
      <c r="R11" s="449">
        <f>Scenarios!E12</f>
        <v>33267274.125</v>
      </c>
      <c r="S11" s="448">
        <f t="shared" si="45"/>
        <v>3841553766.5294247</v>
      </c>
      <c r="T11" s="445">
        <f t="shared" si="46"/>
        <v>47506003.411322631</v>
      </c>
      <c r="U11" s="445">
        <f t="shared" si="2"/>
        <v>0</v>
      </c>
      <c r="V11" s="445">
        <f t="shared" si="3"/>
        <v>3889059769.9407473</v>
      </c>
      <c r="W11" s="454">
        <f t="shared" si="4"/>
        <v>116.90346961785367</v>
      </c>
      <c r="X11" s="463">
        <f t="shared" si="0"/>
        <v>51.898967314533671</v>
      </c>
      <c r="Z11" s="448">
        <f t="shared" si="5"/>
        <v>32374283.019166831</v>
      </c>
      <c r="AA11" s="445">
        <f>SUM(Scenarios!O12)</f>
        <v>801425.49770876125</v>
      </c>
      <c r="AB11" s="445">
        <f>Scenarios!M12</f>
        <v>91565.608124410574</v>
      </c>
      <c r="AC11" s="449">
        <f>Scenarios!E12</f>
        <v>33267274.125</v>
      </c>
      <c r="AD11" s="448">
        <f t="shared" si="47"/>
        <v>3852539679.2808528</v>
      </c>
      <c r="AE11" s="445">
        <f t="shared" si="48"/>
        <v>43276976.876273111</v>
      </c>
      <c r="AF11" s="445">
        <f t="shared" si="6"/>
        <v>0</v>
      </c>
      <c r="AG11" s="445">
        <f t="shared" si="7"/>
        <v>3895816656.1571259</v>
      </c>
      <c r="AH11" s="454">
        <f t="shared" si="8"/>
        <v>117.1065787211421</v>
      </c>
      <c r="AI11" s="463">
        <f t="shared" si="9"/>
        <v>51.989137031029749</v>
      </c>
      <c r="AK11" s="448">
        <f t="shared" si="10"/>
        <v>33175223.513952155</v>
      </c>
      <c r="AL11" s="445">
        <v>0</v>
      </c>
      <c r="AM11" s="445">
        <f>Scenarios!R12</f>
        <v>92050.611047847065</v>
      </c>
      <c r="AN11" s="449">
        <f>Scenarios!E12</f>
        <v>33267274.125</v>
      </c>
      <c r="AO11" s="448">
        <f t="shared" si="49"/>
        <v>3947851598.1603065</v>
      </c>
      <c r="AP11" s="445">
        <f t="shared" si="50"/>
        <v>0</v>
      </c>
      <c r="AQ11" s="445">
        <f t="shared" si="11"/>
        <v>0</v>
      </c>
      <c r="AR11" s="445">
        <f t="shared" si="12"/>
        <v>3947851598.1603065</v>
      </c>
      <c r="AS11" s="454">
        <f t="shared" si="13"/>
        <v>118.67072677269756</v>
      </c>
      <c r="AT11" s="463">
        <f t="shared" si="14"/>
        <v>52.683536169636419</v>
      </c>
      <c r="AV11" s="448">
        <f t="shared" si="15"/>
        <v>30911678.159273908</v>
      </c>
      <c r="AW11" s="445">
        <f>SUM(Scenarios!AF12)</f>
        <v>842398.07207686652</v>
      </c>
      <c r="AX11" s="445">
        <f>Scenarios!AD12</f>
        <v>101087.76864922397</v>
      </c>
      <c r="AY11" s="449">
        <f>Scenarios!AA12</f>
        <v>31855164</v>
      </c>
      <c r="AZ11" s="448">
        <f t="shared" si="51"/>
        <v>3678489700.9535952</v>
      </c>
      <c r="BA11" s="445">
        <f t="shared" si="52"/>
        <v>45489495.892150789</v>
      </c>
      <c r="BB11" s="445">
        <f t="shared" si="16"/>
        <v>0</v>
      </c>
      <c r="BC11" s="445">
        <f t="shared" si="17"/>
        <v>3723979196.845746</v>
      </c>
      <c r="BD11" s="454">
        <f t="shared" si="18"/>
        <v>116.90346961785367</v>
      </c>
      <c r="BE11" s="463">
        <f t="shared" si="19"/>
        <v>49.695989789338036</v>
      </c>
      <c r="BG11" s="448">
        <f t="shared" si="20"/>
        <v>31000078.067200955</v>
      </c>
      <c r="BH11" s="445">
        <f>SUM(Scenarios!AK12)</f>
        <v>767407.04896254302</v>
      </c>
      <c r="BI11" s="445">
        <f>Scenarios!AI12</f>
        <v>87678.883836498615</v>
      </c>
      <c r="BJ11" s="449">
        <f>Scenarios!AA12</f>
        <v>31855164</v>
      </c>
      <c r="BK11" s="448">
        <f t="shared" si="53"/>
        <v>3689009289.9969134</v>
      </c>
      <c r="BL11" s="445">
        <f t="shared" si="54"/>
        <v>41439980.643977322</v>
      </c>
      <c r="BM11" s="445">
        <f t="shared" si="21"/>
        <v>0</v>
      </c>
      <c r="BN11" s="445">
        <f t="shared" si="22"/>
        <v>3730449270.6408906</v>
      </c>
      <c r="BO11" s="454">
        <f t="shared" si="23"/>
        <v>117.10657872114206</v>
      </c>
      <c r="BP11" s="463">
        <f t="shared" si="24"/>
        <v>49.782332033551462</v>
      </c>
      <c r="BR11" s="448">
        <f t="shared" si="25"/>
        <v>31767020.700365305</v>
      </c>
      <c r="BS11" s="445">
        <v>0</v>
      </c>
      <c r="BT11" s="445">
        <f>Scenarios!AN12</f>
        <v>88143.299634694078</v>
      </c>
      <c r="BU11" s="449">
        <f>Scenarios!AA12</f>
        <v>31855164</v>
      </c>
      <c r="BV11" s="448">
        <f t="shared" si="55"/>
        <v>3780275463.3434715</v>
      </c>
      <c r="BW11" s="445">
        <f t="shared" si="56"/>
        <v>0</v>
      </c>
      <c r="BX11" s="445">
        <f t="shared" si="26"/>
        <v>0</v>
      </c>
      <c r="BY11" s="445">
        <f t="shared" si="27"/>
        <v>3780275463.3434715</v>
      </c>
      <c r="BZ11" s="454">
        <f t="shared" si="28"/>
        <v>118.67072677269756</v>
      </c>
      <c r="CA11" s="463">
        <f t="shared" si="29"/>
        <v>50.447255716768161</v>
      </c>
      <c r="CC11" s="448">
        <f t="shared" si="30"/>
        <v>29829543.072391026</v>
      </c>
      <c r="CD11" s="445">
        <f>SUM(Scenarios!BA12)</f>
        <v>812907.97107944195</v>
      </c>
      <c r="CE11" s="445">
        <f>Scenarios!AY12</f>
        <v>97548.95652953301</v>
      </c>
      <c r="CF11" s="449">
        <f>Scenarios!AV12</f>
        <v>30740000</v>
      </c>
      <c r="CG11" s="448">
        <f t="shared" si="57"/>
        <v>3549715625.614532</v>
      </c>
      <c r="CH11" s="445">
        <f t="shared" si="58"/>
        <v>43897030.438289866</v>
      </c>
      <c r="CI11" s="445">
        <f t="shared" si="31"/>
        <v>0</v>
      </c>
      <c r="CJ11" s="445">
        <f t="shared" si="32"/>
        <v>3593612656.0528216</v>
      </c>
      <c r="CK11" s="454">
        <f t="shared" si="33"/>
        <v>116.90346961785366</v>
      </c>
      <c r="CL11" s="463">
        <f t="shared" si="34"/>
        <v>47.956266246949831</v>
      </c>
      <c r="CN11" s="448">
        <f t="shared" si="35"/>
        <v>29914848.33623074</v>
      </c>
      <c r="CO11" s="445">
        <f>SUM(Scenarios!BF12)</f>
        <v>740542.18289720849</v>
      </c>
      <c r="CP11" s="445">
        <f>Scenarios!BD12</f>
        <v>84609.480872048487</v>
      </c>
      <c r="CQ11" s="449">
        <f>Scenarios!AV12</f>
        <v>30740000</v>
      </c>
      <c r="CR11" s="448">
        <f t="shared" si="59"/>
        <v>3559866952.0114579</v>
      </c>
      <c r="CS11" s="445">
        <f t="shared" si="60"/>
        <v>39989277.876449257</v>
      </c>
      <c r="CT11" s="445">
        <f t="shared" si="36"/>
        <v>0</v>
      </c>
      <c r="CU11" s="445">
        <f t="shared" si="37"/>
        <v>3599856229.887907</v>
      </c>
      <c r="CV11" s="454">
        <f t="shared" si="38"/>
        <v>117.10657872114206</v>
      </c>
      <c r="CW11" s="463">
        <f t="shared" si="39"/>
        <v>48.039585880373181</v>
      </c>
      <c r="CY11" s="448">
        <f t="shared" si="40"/>
        <v>30654942.361283384</v>
      </c>
      <c r="CZ11" s="445">
        <v>0</v>
      </c>
      <c r="DA11" s="445">
        <f>Scenarios!BI12</f>
        <v>85057.638716614238</v>
      </c>
      <c r="DB11" s="449">
        <f>Scenarios!AV12</f>
        <v>30740000</v>
      </c>
      <c r="DC11" s="448">
        <f t="shared" si="61"/>
        <v>3647938140.9927225</v>
      </c>
      <c r="DD11" s="445">
        <f t="shared" si="62"/>
        <v>0</v>
      </c>
      <c r="DE11" s="445">
        <f t="shared" si="41"/>
        <v>0</v>
      </c>
      <c r="DF11" s="445">
        <f t="shared" si="42"/>
        <v>3647938140.9927225</v>
      </c>
      <c r="DG11" s="454">
        <f t="shared" si="43"/>
        <v>118.67072677269755</v>
      </c>
      <c r="DH11" s="463">
        <f t="shared" si="44"/>
        <v>48.6812323657619</v>
      </c>
    </row>
    <row r="12" spans="1:112">
      <c r="A12" s="433" t="s">
        <v>74</v>
      </c>
      <c r="B12" s="431">
        <v>0</v>
      </c>
      <c r="C12" s="431">
        <v>0</v>
      </c>
      <c r="D12" s="431">
        <v>0</v>
      </c>
      <c r="M12" s="360">
        <v>2023</v>
      </c>
      <c r="N12" s="429"/>
      <c r="O12" s="448">
        <f t="shared" si="1"/>
        <v>32521997.860846385</v>
      </c>
      <c r="P12" s="445">
        <f>SUM(Scenarios!J13)</f>
        <v>1025073.1711192988</v>
      </c>
      <c r="Q12" s="445">
        <f>Scenarios!H13</f>
        <v>123008.78053431585</v>
      </c>
      <c r="R12" s="449">
        <f>Scenarios!E13</f>
        <v>33670079.8125</v>
      </c>
      <c r="S12" s="448">
        <f t="shared" si="45"/>
        <v>3870117745.4407201</v>
      </c>
      <c r="T12" s="445">
        <f t="shared" si="46"/>
        <v>55353951.240442134</v>
      </c>
      <c r="U12" s="445">
        <f t="shared" si="2"/>
        <v>0</v>
      </c>
      <c r="V12" s="445">
        <f t="shared" si="3"/>
        <v>3925471696.6811624</v>
      </c>
      <c r="W12" s="454">
        <f t="shared" si="4"/>
        <v>116.58634961785368</v>
      </c>
      <c r="X12" s="463">
        <f t="shared" si="0"/>
        <v>52.384879464911549</v>
      </c>
      <c r="Z12" s="448">
        <f t="shared" si="5"/>
        <v>32680487.38674273</v>
      </c>
      <c r="AA12" s="445">
        <f>SUM(Scenarios!O13)</f>
        <v>887631.46578754764</v>
      </c>
      <c r="AB12" s="445">
        <f>Scenarios!M13</f>
        <v>101960.95996972131</v>
      </c>
      <c r="AC12" s="449">
        <f>Scenarios!E13</f>
        <v>33670079.8125</v>
      </c>
      <c r="AD12" s="448">
        <f t="shared" si="47"/>
        <v>3888977999.0223846</v>
      </c>
      <c r="AE12" s="445">
        <f t="shared" si="48"/>
        <v>47932099.152527571</v>
      </c>
      <c r="AF12" s="445">
        <f t="shared" si="6"/>
        <v>0</v>
      </c>
      <c r="AG12" s="445">
        <f t="shared" si="7"/>
        <v>3936910098.1749125</v>
      </c>
      <c r="AH12" s="454">
        <f t="shared" si="8"/>
        <v>116.92606967665508</v>
      </c>
      <c r="AI12" s="463">
        <f t="shared" si="9"/>
        <v>52.537523358390125</v>
      </c>
      <c r="AK12" s="448">
        <f t="shared" si="10"/>
        <v>33539924.83467643</v>
      </c>
      <c r="AL12" s="445">
        <v>0</v>
      </c>
      <c r="AM12" s="445">
        <f>Scenarios!R13</f>
        <v>130154.97782356928</v>
      </c>
      <c r="AN12" s="449">
        <f>Scenarios!E13</f>
        <v>33670079.8125</v>
      </c>
      <c r="AO12" s="448">
        <f t="shared" si="49"/>
        <v>3991251055.3264952</v>
      </c>
      <c r="AP12" s="445">
        <f t="shared" si="50"/>
        <v>0</v>
      </c>
      <c r="AQ12" s="445">
        <f t="shared" si="11"/>
        <v>0</v>
      </c>
      <c r="AR12" s="445">
        <f t="shared" si="12"/>
        <v>3991251055.3264952</v>
      </c>
      <c r="AS12" s="454">
        <f t="shared" si="13"/>
        <v>118.5399938922849</v>
      </c>
      <c r="AT12" s="463">
        <f t="shared" si="14"/>
        <v>53.262695951737392</v>
      </c>
      <c r="AV12" s="448">
        <f t="shared" si="15"/>
        <v>30978040.378824908</v>
      </c>
      <c r="AW12" s="445">
        <f>SUM(Scenarios!AF13)</f>
        <v>976408.5903349024</v>
      </c>
      <c r="AX12" s="445">
        <f>Scenarios!AD13</f>
        <v>117169.03084018831</v>
      </c>
      <c r="AY12" s="449">
        <f>Scenarios!AA13</f>
        <v>32071618</v>
      </c>
      <c r="AZ12" s="448">
        <f t="shared" si="51"/>
        <v>3686386805.080164</v>
      </c>
      <c r="BA12" s="445">
        <f t="shared" si="52"/>
        <v>52726063.878084727</v>
      </c>
      <c r="BB12" s="445">
        <f t="shared" si="16"/>
        <v>0</v>
      </c>
      <c r="BC12" s="445">
        <f t="shared" si="17"/>
        <v>3739112868.9582486</v>
      </c>
      <c r="BD12" s="454">
        <f t="shared" si="18"/>
        <v>116.58634961785366</v>
      </c>
      <c r="BE12" s="463">
        <f t="shared" si="19"/>
        <v>49.89794656058293</v>
      </c>
      <c r="BG12" s="448">
        <f t="shared" si="20"/>
        <v>31129005.733224265</v>
      </c>
      <c r="BH12" s="445">
        <f>SUM(Scenarios!AK13)</f>
        <v>845491.82698847214</v>
      </c>
      <c r="BI12" s="445">
        <f>Scenarios!AI13</f>
        <v>97120.43978726145</v>
      </c>
      <c r="BJ12" s="449">
        <f>Scenarios!AA13</f>
        <v>32071618</v>
      </c>
      <c r="BK12" s="448">
        <f t="shared" si="53"/>
        <v>3704351682.2536874</v>
      </c>
      <c r="BL12" s="445">
        <f t="shared" si="54"/>
        <v>45656558.657377496</v>
      </c>
      <c r="BM12" s="445">
        <f t="shared" si="21"/>
        <v>0</v>
      </c>
      <c r="BN12" s="445">
        <f t="shared" si="22"/>
        <v>3750008240.9110651</v>
      </c>
      <c r="BO12" s="454">
        <f t="shared" si="23"/>
        <v>116.92606967665508</v>
      </c>
      <c r="BP12" s="463">
        <f t="shared" si="24"/>
        <v>50.043343799583845</v>
      </c>
      <c r="BR12" s="448">
        <f t="shared" si="25"/>
        <v>31947642.032232728</v>
      </c>
      <c r="BS12" s="445">
        <v>0</v>
      </c>
      <c r="BT12" s="445">
        <f>Scenarios!AN13</f>
        <v>123975.96776727229</v>
      </c>
      <c r="BU12" s="449">
        <f>Scenarios!AA13</f>
        <v>32071618</v>
      </c>
      <c r="BV12" s="448">
        <f t="shared" si="55"/>
        <v>3801769401.8356948</v>
      </c>
      <c r="BW12" s="445">
        <f t="shared" si="56"/>
        <v>0</v>
      </c>
      <c r="BX12" s="445">
        <f t="shared" si="26"/>
        <v>0</v>
      </c>
      <c r="BY12" s="445">
        <f t="shared" si="27"/>
        <v>3801769401.8356948</v>
      </c>
      <c r="BZ12" s="454">
        <f t="shared" si="28"/>
        <v>118.53999389228491</v>
      </c>
      <c r="CA12" s="463">
        <f t="shared" si="29"/>
        <v>50.734089367382261</v>
      </c>
      <c r="CC12" s="448">
        <f t="shared" si="30"/>
        <v>29711145.912646323</v>
      </c>
      <c r="CD12" s="445">
        <f>SUM(Scenarios!BA13)</f>
        <v>936476.86370864103</v>
      </c>
      <c r="CE12" s="445">
        <f>Scenarios!AY13</f>
        <v>112377.22364503694</v>
      </c>
      <c r="CF12" s="449">
        <f>Scenarios!AV13</f>
        <v>30760000</v>
      </c>
      <c r="CG12" s="448">
        <f t="shared" si="57"/>
        <v>3535626363.6049123</v>
      </c>
      <c r="CH12" s="445">
        <f t="shared" si="58"/>
        <v>50569750.640266612</v>
      </c>
      <c r="CI12" s="445">
        <f t="shared" si="31"/>
        <v>0</v>
      </c>
      <c r="CJ12" s="445">
        <f t="shared" si="32"/>
        <v>3586196114.2451787</v>
      </c>
      <c r="CK12" s="454">
        <f t="shared" si="33"/>
        <v>116.58634961785367</v>
      </c>
      <c r="CL12" s="463">
        <f t="shared" si="34"/>
        <v>47.857293517387589</v>
      </c>
      <c r="CN12" s="448">
        <f t="shared" si="35"/>
        <v>29855937.307371847</v>
      </c>
      <c r="CO12" s="445">
        <f>SUM(Scenarios!BF13)</f>
        <v>810914.14216038003</v>
      </c>
      <c r="CP12" s="445">
        <f>Scenarios!BD13</f>
        <v>93148.550467773792</v>
      </c>
      <c r="CQ12" s="449">
        <f>Scenarios!AV13</f>
        <v>30760000</v>
      </c>
      <c r="CR12" s="448">
        <f t="shared" si="59"/>
        <v>3552856539.57725</v>
      </c>
      <c r="CS12" s="445">
        <f t="shared" si="60"/>
        <v>43789363.676660523</v>
      </c>
      <c r="CT12" s="445">
        <f t="shared" si="36"/>
        <v>0</v>
      </c>
      <c r="CU12" s="445">
        <f t="shared" si="37"/>
        <v>3596645903.2539105</v>
      </c>
      <c r="CV12" s="454">
        <f t="shared" si="38"/>
        <v>116.92606967665509</v>
      </c>
      <c r="CW12" s="463">
        <f t="shared" si="39"/>
        <v>47.996744513332608</v>
      </c>
      <c r="CY12" s="448">
        <f t="shared" si="40"/>
        <v>30641094.219551962</v>
      </c>
      <c r="CZ12" s="445">
        <v>0</v>
      </c>
      <c r="DA12" s="445">
        <f>Scenarios!BI13</f>
        <v>118905.7804480365</v>
      </c>
      <c r="DB12" s="449">
        <f>Scenarios!AV13</f>
        <v>30760000</v>
      </c>
      <c r="DC12" s="448">
        <f t="shared" si="61"/>
        <v>3646290212.1266832</v>
      </c>
      <c r="DD12" s="445">
        <f t="shared" si="62"/>
        <v>0</v>
      </c>
      <c r="DE12" s="445">
        <f t="shared" si="41"/>
        <v>0</v>
      </c>
      <c r="DF12" s="445">
        <f t="shared" si="42"/>
        <v>3646290212.1266832</v>
      </c>
      <c r="DG12" s="454">
        <f t="shared" si="43"/>
        <v>118.5399938922849</v>
      </c>
      <c r="DH12" s="463">
        <f t="shared" si="44"/>
        <v>48.659240981876188</v>
      </c>
    </row>
    <row r="13" spans="1:112">
      <c r="M13" s="360">
        <v>2024</v>
      </c>
      <c r="N13" s="429"/>
      <c r="O13" s="448">
        <f t="shared" si="1"/>
        <v>32745701.614195757</v>
      </c>
      <c r="P13" s="445">
        <f>SUM(Scenarios!J14)</f>
        <v>1184985.6123252155</v>
      </c>
      <c r="Q13" s="445">
        <f>Scenarios!H14</f>
        <v>142198.27347902587</v>
      </c>
      <c r="R13" s="449">
        <f>Scenarios!E14</f>
        <v>34072885.5</v>
      </c>
      <c r="S13" s="448">
        <f t="shared" si="45"/>
        <v>3896738492.0892949</v>
      </c>
      <c r="T13" s="445">
        <f t="shared" si="46"/>
        <v>63989223.065561637</v>
      </c>
      <c r="U13" s="445">
        <f t="shared" si="2"/>
        <v>0</v>
      </c>
      <c r="V13" s="445">
        <f t="shared" si="3"/>
        <v>3960727715.1548567</v>
      </c>
      <c r="W13" s="454">
        <f t="shared" si="4"/>
        <v>116.242802951187</v>
      </c>
      <c r="X13" s="463">
        <f t="shared" si="0"/>
        <v>52.855366178576716</v>
      </c>
      <c r="Z13" s="448">
        <f t="shared" si="5"/>
        <v>32984639.117027704</v>
      </c>
      <c r="AA13" s="445">
        <f>SUM(Scenarios!O14)</f>
        <v>975667.87271988648</v>
      </c>
      <c r="AB13" s="445">
        <f>Scenarios!M14</f>
        <v>112578.51025241199</v>
      </c>
      <c r="AC13" s="449">
        <f>Scenarios!E14</f>
        <v>34072885.5</v>
      </c>
      <c r="AD13" s="448">
        <f t="shared" si="47"/>
        <v>3925172054.9262967</v>
      </c>
      <c r="AE13" s="445">
        <f t="shared" si="48"/>
        <v>52686065.126873873</v>
      </c>
      <c r="AF13" s="445">
        <f t="shared" si="6"/>
        <v>0</v>
      </c>
      <c r="AG13" s="445">
        <f t="shared" si="7"/>
        <v>3977858120.0531707</v>
      </c>
      <c r="AH13" s="454">
        <f t="shared" si="8"/>
        <v>116.74556063216808</v>
      </c>
      <c r="AI13" s="463">
        <f t="shared" si="9"/>
        <v>53.083969074005061</v>
      </c>
      <c r="AK13" s="448">
        <f t="shared" si="10"/>
        <v>33888959.632403493</v>
      </c>
      <c r="AL13" s="445">
        <v>0</v>
      </c>
      <c r="AM13" s="445">
        <f>Scenarios!R14</f>
        <v>183925.86759650573</v>
      </c>
      <c r="AN13" s="449">
        <f>Scenarios!E14</f>
        <v>34072885.5</v>
      </c>
      <c r="AO13" s="448">
        <f t="shared" si="49"/>
        <v>4032786196.2560158</v>
      </c>
      <c r="AP13" s="445">
        <f t="shared" si="50"/>
        <v>0</v>
      </c>
      <c r="AQ13" s="445">
        <f t="shared" si="11"/>
        <v>0</v>
      </c>
      <c r="AR13" s="445">
        <f t="shared" si="12"/>
        <v>4032786196.2560158</v>
      </c>
      <c r="AS13" s="454">
        <f t="shared" si="13"/>
        <v>118.35763649239557</v>
      </c>
      <c r="AT13" s="463">
        <f t="shared" si="14"/>
        <v>53.816976690276562</v>
      </c>
      <c r="AV13" s="448">
        <f t="shared" si="15"/>
        <v>31030408.95698924</v>
      </c>
      <c r="AW13" s="445">
        <f>SUM(Scenarios!AF14)</f>
        <v>1122913.4312596051</v>
      </c>
      <c r="AX13" s="445">
        <f>Scenarios!AD14</f>
        <v>134749.61175115261</v>
      </c>
      <c r="AY13" s="449">
        <f>Scenarios!AA14</f>
        <v>32288072</v>
      </c>
      <c r="AZ13" s="448">
        <f t="shared" si="51"/>
        <v>3692618665.8817196</v>
      </c>
      <c r="BA13" s="445">
        <f t="shared" si="52"/>
        <v>60637325.288018674</v>
      </c>
      <c r="BB13" s="445">
        <f t="shared" si="16"/>
        <v>0</v>
      </c>
      <c r="BC13" s="445">
        <f t="shared" si="17"/>
        <v>3753255991.1697383</v>
      </c>
      <c r="BD13" s="454">
        <f t="shared" si="18"/>
        <v>116.242802951187</v>
      </c>
      <c r="BE13" s="463">
        <f t="shared" si="19"/>
        <v>50.0866845797445</v>
      </c>
      <c r="BG13" s="448">
        <f t="shared" si="20"/>
        <v>31256830.382170212</v>
      </c>
      <c r="BH13" s="445">
        <f>SUM(Scenarios!AK14)</f>
        <v>924560.22025098314</v>
      </c>
      <c r="BI13" s="445">
        <f>Scenarios!AI14</f>
        <v>106681.39757880548</v>
      </c>
      <c r="BJ13" s="449">
        <f>Scenarios!AA14</f>
        <v>32288072</v>
      </c>
      <c r="BK13" s="448">
        <f t="shared" si="53"/>
        <v>3719562815.4782553</v>
      </c>
      <c r="BL13" s="445">
        <f t="shared" si="54"/>
        <v>49926251.893553093</v>
      </c>
      <c r="BM13" s="445">
        <f t="shared" si="21"/>
        <v>0</v>
      </c>
      <c r="BN13" s="445">
        <f t="shared" si="22"/>
        <v>3769489067.3718085</v>
      </c>
      <c r="BO13" s="454">
        <f t="shared" si="23"/>
        <v>116.74556063216808</v>
      </c>
      <c r="BP13" s="463">
        <f t="shared" si="24"/>
        <v>50.303312747235587</v>
      </c>
      <c r="BR13" s="448">
        <f t="shared" si="25"/>
        <v>32113780.578288198</v>
      </c>
      <c r="BS13" s="445">
        <v>0</v>
      </c>
      <c r="BT13" s="445">
        <f>Scenarios!AN14</f>
        <v>174291.42171180202</v>
      </c>
      <c r="BU13" s="449">
        <f>Scenarios!AA14</f>
        <v>32288072</v>
      </c>
      <c r="BV13" s="448">
        <f t="shared" si="55"/>
        <v>3821539888.8162956</v>
      </c>
      <c r="BW13" s="445">
        <f t="shared" si="56"/>
        <v>0</v>
      </c>
      <c r="BX13" s="445">
        <f t="shared" si="26"/>
        <v>0</v>
      </c>
      <c r="BY13" s="445">
        <f t="shared" si="27"/>
        <v>3821539888.8162956</v>
      </c>
      <c r="BZ13" s="454">
        <f t="shared" si="28"/>
        <v>118.35763649239557</v>
      </c>
      <c r="CA13" s="463">
        <f t="shared" si="29"/>
        <v>50.997923794800748</v>
      </c>
      <c r="CC13" s="448">
        <f t="shared" si="30"/>
        <v>29581078.352901619</v>
      </c>
      <c r="CD13" s="445">
        <f>SUM(Scenarios!BA14)</f>
        <v>1070465.7563378403</v>
      </c>
      <c r="CE13" s="445">
        <f>Scenarios!AY14</f>
        <v>128455.89076054085</v>
      </c>
      <c r="CF13" s="449">
        <f>Scenarios!AV14</f>
        <v>30780000</v>
      </c>
      <c r="CG13" s="448">
        <f t="shared" si="57"/>
        <v>3520148323.9952927</v>
      </c>
      <c r="CH13" s="445">
        <f t="shared" si="58"/>
        <v>57805150.842243381</v>
      </c>
      <c r="CI13" s="445">
        <f t="shared" si="31"/>
        <v>0</v>
      </c>
      <c r="CJ13" s="445">
        <f t="shared" si="32"/>
        <v>3577953474.8375359</v>
      </c>
      <c r="CK13" s="454">
        <f t="shared" si="33"/>
        <v>116.242802951187</v>
      </c>
      <c r="CL13" s="463">
        <f t="shared" si="34"/>
        <v>47.747296629062767</v>
      </c>
      <c r="CN13" s="448">
        <f t="shared" si="35"/>
        <v>29796924.361516509</v>
      </c>
      <c r="CO13" s="445">
        <f>SUM(Scenarios!BF14)</f>
        <v>881376.98588275129</v>
      </c>
      <c r="CP13" s="445">
        <f>Scenarios!BD14</f>
        <v>101698.65260073853</v>
      </c>
      <c r="CQ13" s="449">
        <f>Scenarios!AV14</f>
        <v>30780000</v>
      </c>
      <c r="CR13" s="448">
        <f t="shared" si="59"/>
        <v>3545833999.0204644</v>
      </c>
      <c r="CS13" s="445">
        <f t="shared" si="60"/>
        <v>47594357.237668566</v>
      </c>
      <c r="CT13" s="445">
        <f t="shared" si="36"/>
        <v>0</v>
      </c>
      <c r="CU13" s="445">
        <f t="shared" si="37"/>
        <v>3593428356.2581329</v>
      </c>
      <c r="CV13" s="454">
        <f t="shared" si="38"/>
        <v>116.74556063216806</v>
      </c>
      <c r="CW13" s="463">
        <f t="shared" si="39"/>
        <v>47.953806791557923</v>
      </c>
      <c r="CY13" s="448">
        <f t="shared" si="40"/>
        <v>30613849.17004988</v>
      </c>
      <c r="CZ13" s="445">
        <v>0</v>
      </c>
      <c r="DA13" s="445">
        <f>Scenarios!BI14</f>
        <v>166150.82995012109</v>
      </c>
      <c r="DB13" s="449">
        <f>Scenarios!AV14</f>
        <v>30780000</v>
      </c>
      <c r="DC13" s="448">
        <f t="shared" si="61"/>
        <v>3643048051.2359357</v>
      </c>
      <c r="DD13" s="445">
        <f t="shared" si="62"/>
        <v>0</v>
      </c>
      <c r="DE13" s="445">
        <f t="shared" si="41"/>
        <v>0</v>
      </c>
      <c r="DF13" s="445">
        <f t="shared" si="42"/>
        <v>3643048051.2359357</v>
      </c>
      <c r="DG13" s="454">
        <f t="shared" si="43"/>
        <v>118.35763649239557</v>
      </c>
      <c r="DH13" s="463">
        <f t="shared" si="44"/>
        <v>48.615974791061142</v>
      </c>
    </row>
    <row r="14" spans="1:112">
      <c r="A14" s="280" t="s">
        <v>247</v>
      </c>
      <c r="B14" s="462">
        <v>13344.862353536004</v>
      </c>
      <c r="M14" s="360">
        <v>2025</v>
      </c>
      <c r="N14" s="429"/>
      <c r="O14" s="448">
        <f t="shared" si="1"/>
        <v>32952624.542295132</v>
      </c>
      <c r="P14" s="445">
        <f>SUM(Scenarios!J15)</f>
        <v>1359880.9332186326</v>
      </c>
      <c r="Q14" s="445">
        <f>Scenarios!H15</f>
        <v>163185.71198623592</v>
      </c>
      <c r="R14" s="449">
        <f>Scenarios!E15</f>
        <v>34475691.1875</v>
      </c>
      <c r="S14" s="448">
        <f t="shared" si="45"/>
        <v>3921362320.5331206</v>
      </c>
      <c r="T14" s="445">
        <f t="shared" si="46"/>
        <v>73433570.393806159</v>
      </c>
      <c r="U14" s="445">
        <f t="shared" si="2"/>
        <v>0</v>
      </c>
      <c r="V14" s="445">
        <f t="shared" si="3"/>
        <v>3994795890.9269266</v>
      </c>
      <c r="W14" s="454">
        <f t="shared" si="4"/>
        <v>115.87282961785367</v>
      </c>
      <c r="X14" s="463">
        <f t="shared" si="0"/>
        <v>53.310001294891066</v>
      </c>
      <c r="Z14" s="448">
        <f t="shared" si="5"/>
        <v>33286738.210021742</v>
      </c>
      <c r="AA14" s="445">
        <f>SUM(Scenarios!O15)</f>
        <v>1065534.7185057777</v>
      </c>
      <c r="AB14" s="445">
        <f>Scenarios!M15</f>
        <v>123418.25897248258</v>
      </c>
      <c r="AC14" s="449">
        <f>Scenarios!E15</f>
        <v>34475691.1875</v>
      </c>
      <c r="AD14" s="448">
        <f t="shared" si="47"/>
        <v>3961121846.9925871</v>
      </c>
      <c r="AE14" s="445">
        <f t="shared" si="48"/>
        <v>57538874.799311996</v>
      </c>
      <c r="AF14" s="445">
        <f t="shared" si="6"/>
        <v>0</v>
      </c>
      <c r="AG14" s="445">
        <f t="shared" si="7"/>
        <v>4018660721.7918992</v>
      </c>
      <c r="AH14" s="454">
        <f t="shared" si="8"/>
        <v>116.56505158768107</v>
      </c>
      <c r="AI14" s="463">
        <f t="shared" si="9"/>
        <v>53.628474177874537</v>
      </c>
      <c r="AK14" s="448">
        <f t="shared" si="10"/>
        <v>34215974.788095772</v>
      </c>
      <c r="AL14" s="445">
        <v>0</v>
      </c>
      <c r="AM14" s="445">
        <f>Scenarios!R15</f>
        <v>259716.39940422747</v>
      </c>
      <c r="AN14" s="449">
        <f>Scenarios!E15</f>
        <v>34475691.1875</v>
      </c>
      <c r="AO14" s="448">
        <f t="shared" si="49"/>
        <v>4071700999.7833967</v>
      </c>
      <c r="AP14" s="445">
        <f t="shared" si="50"/>
        <v>0</v>
      </c>
      <c r="AQ14" s="445">
        <f t="shared" si="11"/>
        <v>0</v>
      </c>
      <c r="AR14" s="445">
        <f t="shared" si="12"/>
        <v>4071700999.7833967</v>
      </c>
      <c r="AS14" s="454">
        <f t="shared" si="13"/>
        <v>118.10353497016155</v>
      </c>
      <c r="AT14" s="463">
        <f t="shared" si="14"/>
        <v>54.336289386864358</v>
      </c>
      <c r="AV14" s="448">
        <f t="shared" si="15"/>
        <v>31068543.19789014</v>
      </c>
      <c r="AW14" s="445">
        <f>SUM(Scenarios!AF15)</f>
        <v>1282129.1203516256</v>
      </c>
      <c r="AX14" s="445">
        <f>Scenarios!AD15</f>
        <v>153855.49444219505</v>
      </c>
      <c r="AY14" s="449">
        <f>Scenarios!AA15</f>
        <v>32504527.812683959</v>
      </c>
      <c r="AZ14" s="448">
        <f t="shared" si="51"/>
        <v>3697156640.5489268</v>
      </c>
      <c r="BA14" s="445">
        <f t="shared" si="52"/>
        <v>69234972.498987779</v>
      </c>
      <c r="BB14" s="445">
        <f t="shared" si="16"/>
        <v>0</v>
      </c>
      <c r="BC14" s="445">
        <f t="shared" si="17"/>
        <v>3766391613.0479145</v>
      </c>
      <c r="BD14" s="454">
        <f t="shared" si="18"/>
        <v>115.87282961785368</v>
      </c>
      <c r="BE14" s="463">
        <f t="shared" si="19"/>
        <v>50.261977645636861</v>
      </c>
      <c r="BG14" s="448">
        <f t="shared" si="20"/>
        <v>31383553.764209256</v>
      </c>
      <c r="BH14" s="445">
        <f>SUM(Scenarios!AK15)</f>
        <v>1004612.2847744115</v>
      </c>
      <c r="BI14" s="445">
        <f>Scenarios!AI15</f>
        <v>116361.76370029135</v>
      </c>
      <c r="BJ14" s="449">
        <f>Scenarios!AA15</f>
        <v>32504527.812683959</v>
      </c>
      <c r="BK14" s="448">
        <f t="shared" si="53"/>
        <v>3734642897.9409013</v>
      </c>
      <c r="BL14" s="445">
        <f t="shared" si="54"/>
        <v>54249063.377818219</v>
      </c>
      <c r="BM14" s="445">
        <f t="shared" si="21"/>
        <v>0</v>
      </c>
      <c r="BN14" s="445">
        <f t="shared" si="22"/>
        <v>3788891961.3187194</v>
      </c>
      <c r="BO14" s="454">
        <f t="shared" si="23"/>
        <v>116.56505158768105</v>
      </c>
      <c r="BP14" s="463">
        <f t="shared" si="24"/>
        <v>50.562241696217377</v>
      </c>
      <c r="BR14" s="448">
        <f t="shared" si="25"/>
        <v>32259660.816923603</v>
      </c>
      <c r="BS14" s="445">
        <v>0</v>
      </c>
      <c r="BT14" s="445">
        <f>Scenarios!AN15</f>
        <v>244866.99576035433</v>
      </c>
      <c r="BU14" s="449">
        <f>Scenarios!AA15</f>
        <v>32504527.812683959</v>
      </c>
      <c r="BV14" s="448">
        <f t="shared" si="55"/>
        <v>3838899637.2139087</v>
      </c>
      <c r="BW14" s="445">
        <f t="shared" si="56"/>
        <v>0</v>
      </c>
      <c r="BX14" s="445">
        <f t="shared" si="26"/>
        <v>0</v>
      </c>
      <c r="BY14" s="445">
        <f t="shared" si="27"/>
        <v>3838899637.2139087</v>
      </c>
      <c r="BZ14" s="454">
        <f t="shared" si="28"/>
        <v>118.10353497016155</v>
      </c>
      <c r="CA14" s="463">
        <f t="shared" si="29"/>
        <v>51.229587247658912</v>
      </c>
      <c r="CC14" s="448">
        <f t="shared" si="30"/>
        <v>29439317.993156917</v>
      </c>
      <c r="CD14" s="445">
        <f>SUM(Scenarios!BA15)</f>
        <v>1214894.64896704</v>
      </c>
      <c r="CE14" s="445">
        <f>Scenarios!AY15</f>
        <v>145787.35787604479</v>
      </c>
      <c r="CF14" s="449">
        <f>Scenarios!AV15</f>
        <v>30800000</v>
      </c>
      <c r="CG14" s="448">
        <f t="shared" si="57"/>
        <v>3503278841.1856732</v>
      </c>
      <c r="CH14" s="445">
        <f t="shared" si="58"/>
        <v>65604311.044220157</v>
      </c>
      <c r="CI14" s="445">
        <f t="shared" si="31"/>
        <v>0</v>
      </c>
      <c r="CJ14" s="445">
        <f t="shared" si="32"/>
        <v>3568883152.2298932</v>
      </c>
      <c r="CK14" s="454">
        <f t="shared" si="33"/>
        <v>115.87282961785368</v>
      </c>
      <c r="CL14" s="463">
        <f t="shared" si="34"/>
        <v>47.626254422361605</v>
      </c>
      <c r="CN14" s="448">
        <f t="shared" si="35"/>
        <v>29737809.498664737</v>
      </c>
      <c r="CO14" s="445">
        <f>SUM(Scenarios!BF15)</f>
        <v>951930.71406432253</v>
      </c>
      <c r="CP14" s="445">
        <f>Scenarios!BD15</f>
        <v>110259.78727094269</v>
      </c>
      <c r="CQ14" s="449">
        <f>Scenarios!AV15</f>
        <v>30800000</v>
      </c>
      <c r="CR14" s="448">
        <f t="shared" si="59"/>
        <v>3538799330.3411036</v>
      </c>
      <c r="CS14" s="445">
        <f t="shared" si="60"/>
        <v>51404258.559473418</v>
      </c>
      <c r="CT14" s="445">
        <f t="shared" si="36"/>
        <v>0</v>
      </c>
      <c r="CU14" s="445">
        <f t="shared" si="37"/>
        <v>3590203588.9005771</v>
      </c>
      <c r="CV14" s="454">
        <f t="shared" si="38"/>
        <v>116.56505158768107</v>
      </c>
      <c r="CW14" s="463">
        <f t="shared" si="39"/>
        <v>47.910772715049163</v>
      </c>
      <c r="CY14" s="448">
        <f t="shared" si="40"/>
        <v>30567973.756982993</v>
      </c>
      <c r="CZ14" s="445">
        <v>0</v>
      </c>
      <c r="DA14" s="445">
        <f>Scenarios!BI15</f>
        <v>232026.2430170083</v>
      </c>
      <c r="DB14" s="449">
        <f>Scenarios!AV15</f>
        <v>30800000</v>
      </c>
      <c r="DC14" s="448">
        <f t="shared" si="61"/>
        <v>3637588877.080976</v>
      </c>
      <c r="DD14" s="445">
        <f t="shared" si="62"/>
        <v>0</v>
      </c>
      <c r="DE14" s="445">
        <f t="shared" si="41"/>
        <v>0</v>
      </c>
      <c r="DF14" s="445">
        <f t="shared" si="42"/>
        <v>3637588877.080976</v>
      </c>
      <c r="DG14" s="454">
        <f t="shared" si="43"/>
        <v>118.10353497016156</v>
      </c>
      <c r="DH14" s="463">
        <f t="shared" si="44"/>
        <v>48.543122863399226</v>
      </c>
    </row>
    <row r="15" spans="1:112">
      <c r="A15" s="280" t="s">
        <v>248</v>
      </c>
      <c r="B15" s="462">
        <f>1*10^12</f>
        <v>1000000000000</v>
      </c>
      <c r="M15" s="360">
        <v>2026</v>
      </c>
      <c r="N15" s="429"/>
      <c r="O15" s="448">
        <f t="shared" si="1"/>
        <v>33142315.502774503</v>
      </c>
      <c r="P15" s="445">
        <f>SUM(Scenarios!J16)</f>
        <v>1550161.9394870496</v>
      </c>
      <c r="Q15" s="445">
        <f>Scenarios!H16</f>
        <v>186019.43273844593</v>
      </c>
      <c r="R15" s="449">
        <f>Scenarios!E16</f>
        <v>34878496.875</v>
      </c>
      <c r="S15" s="448">
        <f t="shared" si="45"/>
        <v>3943935544.8301659</v>
      </c>
      <c r="T15" s="445">
        <f t="shared" si="46"/>
        <v>83708744.732300684</v>
      </c>
      <c r="U15" s="445">
        <f t="shared" si="2"/>
        <v>0</v>
      </c>
      <c r="V15" s="445">
        <f t="shared" si="3"/>
        <v>4027644289.5624666</v>
      </c>
      <c r="W15" s="454">
        <f t="shared" si="4"/>
        <v>115.47642961785367</v>
      </c>
      <c r="X15" s="463">
        <f t="shared" si="0"/>
        <v>53.748358653216421</v>
      </c>
      <c r="Z15" s="448">
        <f t="shared" si="5"/>
        <v>33586784.665724851</v>
      </c>
      <c r="AA15" s="445">
        <f>SUM(Scenarios!O16)</f>
        <v>1157232.0031452209</v>
      </c>
      <c r="AB15" s="445">
        <f>Scenarios!M16</f>
        <v>134480.20612993313</v>
      </c>
      <c r="AC15" s="449">
        <f>Scenarios!E16</f>
        <v>34878496.875</v>
      </c>
      <c r="AD15" s="448">
        <f t="shared" si="47"/>
        <v>3996827375.2212572</v>
      </c>
      <c r="AE15" s="445">
        <f t="shared" si="48"/>
        <v>62490528.16984193</v>
      </c>
      <c r="AF15" s="445">
        <f t="shared" si="6"/>
        <v>0</v>
      </c>
      <c r="AG15" s="445">
        <f t="shared" si="7"/>
        <v>4059317903.391099</v>
      </c>
      <c r="AH15" s="454">
        <f t="shared" si="8"/>
        <v>116.38454254319407</v>
      </c>
      <c r="AI15" s="463">
        <f t="shared" si="9"/>
        <v>54.17103866999858</v>
      </c>
      <c r="AK15" s="448">
        <f t="shared" si="10"/>
        <v>34512120.067429647</v>
      </c>
      <c r="AL15" s="445">
        <v>0</v>
      </c>
      <c r="AM15" s="445">
        <f>Scenarios!R16</f>
        <v>366376.80757035385</v>
      </c>
      <c r="AN15" s="449">
        <f>Scenarios!E16</f>
        <v>34878496.875</v>
      </c>
      <c r="AO15" s="448">
        <f t="shared" si="49"/>
        <v>4106942288.024128</v>
      </c>
      <c r="AP15" s="445">
        <f t="shared" si="50"/>
        <v>0</v>
      </c>
      <c r="AQ15" s="445">
        <f t="shared" si="11"/>
        <v>0</v>
      </c>
      <c r="AR15" s="445">
        <f t="shared" si="12"/>
        <v>4106942288.024128</v>
      </c>
      <c r="AS15" s="454">
        <f t="shared" si="13"/>
        <v>117.74997938537533</v>
      </c>
      <c r="AT15" s="463">
        <f t="shared" si="14"/>
        <v>54.806579527598203</v>
      </c>
      <c r="AV15" s="448">
        <f t="shared" si="15"/>
        <v>31111061.183079343</v>
      </c>
      <c r="AW15" s="445">
        <f>SUM(Scenarios!AF16)</f>
        <v>1455154.3008220172</v>
      </c>
      <c r="AX15" s="445">
        <f>Scenarios!AD16</f>
        <v>174618.51609864205</v>
      </c>
      <c r="AY15" s="449">
        <f>Scenarios!AA16</f>
        <v>32740834</v>
      </c>
      <c r="AZ15" s="448">
        <f t="shared" si="51"/>
        <v>3702216280.7864418</v>
      </c>
      <c r="BA15" s="445">
        <f t="shared" si="52"/>
        <v>78578332.244388938</v>
      </c>
      <c r="BB15" s="445">
        <f t="shared" si="16"/>
        <v>0</v>
      </c>
      <c r="BC15" s="445">
        <f t="shared" si="17"/>
        <v>3780794613.0308309</v>
      </c>
      <c r="BD15" s="454">
        <f t="shared" si="18"/>
        <v>115.47642961785368</v>
      </c>
      <c r="BE15" s="463">
        <f t="shared" si="19"/>
        <v>50.454183697886862</v>
      </c>
      <c r="BG15" s="448">
        <f t="shared" si="20"/>
        <v>31528289.343295924</v>
      </c>
      <c r="BH15" s="445">
        <f>SUM(Scenarios!AK16)</f>
        <v>1086306.5874155497</v>
      </c>
      <c r="BI15" s="445">
        <f>Scenarios!AI16</f>
        <v>126238.069288527</v>
      </c>
      <c r="BJ15" s="449">
        <f>Scenarios!AA16</f>
        <v>32740834</v>
      </c>
      <c r="BK15" s="448">
        <f t="shared" si="53"/>
        <v>3751866431.8522148</v>
      </c>
      <c r="BL15" s="445">
        <f t="shared" si="54"/>
        <v>58660555.72043968</v>
      </c>
      <c r="BM15" s="445">
        <f t="shared" si="21"/>
        <v>0</v>
      </c>
      <c r="BN15" s="445">
        <f t="shared" si="22"/>
        <v>3810526987.5726547</v>
      </c>
      <c r="BO15" s="454">
        <f t="shared" si="23"/>
        <v>116.38454254319406</v>
      </c>
      <c r="BP15" s="463">
        <f t="shared" si="24"/>
        <v>50.850958143591271</v>
      </c>
      <c r="BR15" s="448">
        <f t="shared" si="25"/>
        <v>32396912.004705846</v>
      </c>
      <c r="BS15" s="445">
        <v>0</v>
      </c>
      <c r="BT15" s="445">
        <f>Scenarios!AN16</f>
        <v>343921.99529415352</v>
      </c>
      <c r="BU15" s="449">
        <f>Scenarios!AA16</f>
        <v>32740834</v>
      </c>
      <c r="BV15" s="448">
        <f t="shared" si="55"/>
        <v>3855232528.5599957</v>
      </c>
      <c r="BW15" s="445">
        <f t="shared" si="56"/>
        <v>0</v>
      </c>
      <c r="BX15" s="445">
        <f t="shared" si="26"/>
        <v>0</v>
      </c>
      <c r="BY15" s="445">
        <f t="shared" si="27"/>
        <v>3855232528.5599957</v>
      </c>
      <c r="BZ15" s="454">
        <f t="shared" si="28"/>
        <v>117.74997938537533</v>
      </c>
      <c r="CA15" s="463">
        <f t="shared" si="29"/>
        <v>51.447547434507705</v>
      </c>
      <c r="CC15" s="448">
        <f t="shared" si="30"/>
        <v>29304846.873667508</v>
      </c>
      <c r="CD15" s="445">
        <f>SUM(Scenarios!BA16)</f>
        <v>1370672.4342254386</v>
      </c>
      <c r="CE15" s="445">
        <f>Scenarios!AY16</f>
        <v>164480.69210705263</v>
      </c>
      <c r="CF15" s="449">
        <f>Scenarios!AV16</f>
        <v>30840000</v>
      </c>
      <c r="CG15" s="448">
        <f t="shared" si="57"/>
        <v>3487276777.9664335</v>
      </c>
      <c r="CH15" s="445">
        <f t="shared" si="58"/>
        <v>74016311.448173687</v>
      </c>
      <c r="CI15" s="445">
        <f t="shared" si="31"/>
        <v>0</v>
      </c>
      <c r="CJ15" s="445">
        <f t="shared" si="32"/>
        <v>3561293089.414607</v>
      </c>
      <c r="CK15" s="454">
        <f t="shared" si="33"/>
        <v>115.47642961785367</v>
      </c>
      <c r="CL15" s="463">
        <f t="shared" si="34"/>
        <v>47.524966078836918</v>
      </c>
      <c r="CN15" s="448">
        <f t="shared" si="35"/>
        <v>29697852.026226524</v>
      </c>
      <c r="CO15" s="445">
        <f>SUM(Scenarios!BF16)</f>
        <v>1023238.9057620079</v>
      </c>
      <c r="CP15" s="445">
        <f>Scenarios!BD16</f>
        <v>118909.06801146767</v>
      </c>
      <c r="CQ15" s="449">
        <f>Scenarios!AV16</f>
        <v>30840000</v>
      </c>
      <c r="CR15" s="448">
        <f t="shared" si="59"/>
        <v>3534044391.1209564</v>
      </c>
      <c r="CS15" s="445">
        <f t="shared" si="60"/>
        <v>55254900.911148429</v>
      </c>
      <c r="CT15" s="445">
        <f t="shared" si="36"/>
        <v>0</v>
      </c>
      <c r="CU15" s="445">
        <f t="shared" si="37"/>
        <v>3589299292.032105</v>
      </c>
      <c r="CV15" s="454">
        <f t="shared" si="38"/>
        <v>116.38454254319406</v>
      </c>
      <c r="CW15" s="463">
        <f t="shared" si="39"/>
        <v>47.898704997812672</v>
      </c>
      <c r="CY15" s="448">
        <f t="shared" si="40"/>
        <v>30516045.077688865</v>
      </c>
      <c r="CZ15" s="445">
        <v>0</v>
      </c>
      <c r="DA15" s="445">
        <f>Scenarios!BI16</f>
        <v>323954.92231113277</v>
      </c>
      <c r="DB15" s="449">
        <f>Scenarios!AV16</f>
        <v>30840000</v>
      </c>
      <c r="DC15" s="448">
        <f t="shared" si="61"/>
        <v>3631409364.2449751</v>
      </c>
      <c r="DD15" s="445">
        <f t="shared" si="62"/>
        <v>0</v>
      </c>
      <c r="DE15" s="445">
        <f t="shared" si="41"/>
        <v>0</v>
      </c>
      <c r="DF15" s="445">
        <f t="shared" si="42"/>
        <v>3631409364.2449751</v>
      </c>
      <c r="DG15" s="454">
        <f t="shared" si="43"/>
        <v>117.74997938537533</v>
      </c>
      <c r="DH15" s="463">
        <f t="shared" si="44"/>
        <v>48.460658115190881</v>
      </c>
    </row>
    <row r="16" spans="1:112">
      <c r="M16" s="360">
        <v>2027</v>
      </c>
      <c r="N16" s="429"/>
      <c r="O16" s="448">
        <f t="shared" si="1"/>
        <v>33314323.353263877</v>
      </c>
      <c r="P16" s="445">
        <f>SUM(Scenarios!J17)</f>
        <v>1756231.4368179662</v>
      </c>
      <c r="Q16" s="445">
        <f>Scenarios!H17</f>
        <v>210747.77241815592</v>
      </c>
      <c r="R16" s="449">
        <f>Scenarios!E17</f>
        <v>35281302.5625</v>
      </c>
      <c r="S16" s="448">
        <f t="shared" si="45"/>
        <v>3964404479.0384016</v>
      </c>
      <c r="T16" s="445">
        <f t="shared" si="46"/>
        <v>94836497.588170171</v>
      </c>
      <c r="U16" s="445">
        <f t="shared" si="2"/>
        <v>0</v>
      </c>
      <c r="V16" s="445">
        <f t="shared" si="3"/>
        <v>4059240976.6265717</v>
      </c>
      <c r="W16" s="454">
        <f t="shared" si="4"/>
        <v>115.053602951187</v>
      </c>
      <c r="X16" s="463">
        <f t="shared" si="0"/>
        <v>54.170012092914654</v>
      </c>
      <c r="Z16" s="448">
        <f t="shared" si="5"/>
        <v>33884778.484137014</v>
      </c>
      <c r="AA16" s="445">
        <f>SUM(Scenarios!O17)</f>
        <v>1250759.7266382168</v>
      </c>
      <c r="AB16" s="445">
        <f>Scenarios!M17</f>
        <v>145764.35172476358</v>
      </c>
      <c r="AC16" s="449">
        <f>Scenarios!E17</f>
        <v>35281302.5625</v>
      </c>
      <c r="AD16" s="448">
        <f t="shared" si="47"/>
        <v>4032288639.6123047</v>
      </c>
      <c r="AE16" s="445">
        <f t="shared" si="48"/>
        <v>67541025.2384637</v>
      </c>
      <c r="AF16" s="445">
        <f t="shared" si="6"/>
        <v>0</v>
      </c>
      <c r="AG16" s="445">
        <f t="shared" si="7"/>
        <v>4099829664.8507686</v>
      </c>
      <c r="AH16" s="454">
        <f t="shared" si="8"/>
        <v>116.20403349870705</v>
      </c>
      <c r="AI16" s="463">
        <f t="shared" si="9"/>
        <v>54.711662550377156</v>
      </c>
      <c r="AK16" s="448">
        <f t="shared" si="10"/>
        <v>34765140.356490351</v>
      </c>
      <c r="AL16" s="445">
        <v>0</v>
      </c>
      <c r="AM16" s="445">
        <f>Scenarios!R17</f>
        <v>516162.20600965025</v>
      </c>
      <c r="AN16" s="449">
        <f>Scenarios!E17</f>
        <v>35281302.5625</v>
      </c>
      <c r="AO16" s="448">
        <f t="shared" si="49"/>
        <v>4137051702.4223518</v>
      </c>
      <c r="AP16" s="445">
        <f t="shared" si="50"/>
        <v>0</v>
      </c>
      <c r="AQ16" s="445">
        <f t="shared" si="11"/>
        <v>0</v>
      </c>
      <c r="AR16" s="445">
        <f t="shared" si="12"/>
        <v>4137051702.4223518</v>
      </c>
      <c r="AS16" s="454">
        <f t="shared" si="13"/>
        <v>117.25904096351493</v>
      </c>
      <c r="AT16" s="463">
        <f t="shared" si="14"/>
        <v>55.208385518288075</v>
      </c>
      <c r="AV16" s="448">
        <f t="shared" si="15"/>
        <v>31138621.840676427</v>
      </c>
      <c r="AW16" s="445">
        <f>SUM(Scenarios!AF17)</f>
        <v>1641534.9636817609</v>
      </c>
      <c r="AX16" s="445">
        <f>Scenarios!AD17</f>
        <v>196984.19564181133</v>
      </c>
      <c r="AY16" s="449">
        <f>Scenarios!AA17</f>
        <v>32977141</v>
      </c>
      <c r="AZ16" s="448">
        <f t="shared" si="51"/>
        <v>3705495999.0404949</v>
      </c>
      <c r="BA16" s="445">
        <f t="shared" si="52"/>
        <v>88642888.038815096</v>
      </c>
      <c r="BB16" s="445">
        <f t="shared" si="16"/>
        <v>0</v>
      </c>
      <c r="BC16" s="445">
        <f t="shared" si="17"/>
        <v>3794138887.0793099</v>
      </c>
      <c r="BD16" s="454">
        <f t="shared" si="18"/>
        <v>115.053602951187</v>
      </c>
      <c r="BE16" s="463">
        <f t="shared" si="19"/>
        <v>50.632261198271671</v>
      </c>
      <c r="BG16" s="448">
        <f t="shared" si="20"/>
        <v>31671821.522055879</v>
      </c>
      <c r="BH16" s="445">
        <f>SUM(Scenarios!AK17)</f>
        <v>1169074.7468691883</v>
      </c>
      <c r="BI16" s="445">
        <f>Scenarios!AI17</f>
        <v>136244.731074932</v>
      </c>
      <c r="BJ16" s="449">
        <f>Scenarios!AA17</f>
        <v>32977141</v>
      </c>
      <c r="BK16" s="448">
        <f t="shared" si="53"/>
        <v>3768946761.1246495</v>
      </c>
      <c r="BL16" s="445">
        <f t="shared" si="54"/>
        <v>63130036.330936164</v>
      </c>
      <c r="BM16" s="445">
        <f t="shared" si="21"/>
        <v>0</v>
      </c>
      <c r="BN16" s="445">
        <f t="shared" si="22"/>
        <v>3832076797.4555855</v>
      </c>
      <c r="BO16" s="454">
        <f t="shared" si="23"/>
        <v>116.20403349870705</v>
      </c>
      <c r="BP16" s="463">
        <f t="shared" si="24"/>
        <v>51.13853739022386</v>
      </c>
      <c r="BR16" s="448">
        <f t="shared" si="25"/>
        <v>32494688.465366449</v>
      </c>
      <c r="BS16" s="445">
        <v>0</v>
      </c>
      <c r="BT16" s="445">
        <f>Scenarios!AN17</f>
        <v>482452.53463354986</v>
      </c>
      <c r="BU16" s="449">
        <f>Scenarios!AA17</f>
        <v>32977141</v>
      </c>
      <c r="BV16" s="448">
        <f t="shared" si="55"/>
        <v>3866867927.3786073</v>
      </c>
      <c r="BW16" s="445">
        <f t="shared" si="56"/>
        <v>0</v>
      </c>
      <c r="BX16" s="445">
        <f t="shared" si="26"/>
        <v>0</v>
      </c>
      <c r="BY16" s="445">
        <f t="shared" si="27"/>
        <v>3866867927.3786073</v>
      </c>
      <c r="BZ16" s="454">
        <f t="shared" si="28"/>
        <v>117.25904096351492</v>
      </c>
      <c r="CA16" s="463">
        <f t="shared" si="29"/>
        <v>51.602820230170572</v>
      </c>
      <c r="CC16" s="448">
        <f t="shared" si="30"/>
        <v>29158399.220844772</v>
      </c>
      <c r="CD16" s="445">
        <f>SUM(Scenarios!BA17)</f>
        <v>1537143.5528171703</v>
      </c>
      <c r="CE16" s="445">
        <f>Scenarios!AY17</f>
        <v>184457.22633806046</v>
      </c>
      <c r="CF16" s="449">
        <f>Scenarios!AV17</f>
        <v>30880000</v>
      </c>
      <c r="CG16" s="448">
        <f t="shared" si="57"/>
        <v>3469849507.2805281</v>
      </c>
      <c r="CH16" s="445">
        <f t="shared" si="58"/>
        <v>83005751.852127194</v>
      </c>
      <c r="CI16" s="445">
        <f t="shared" si="31"/>
        <v>0</v>
      </c>
      <c r="CJ16" s="445">
        <f t="shared" si="32"/>
        <v>3552855259.1326551</v>
      </c>
      <c r="CK16" s="454">
        <f t="shared" si="33"/>
        <v>115.05360295118702</v>
      </c>
      <c r="CL16" s="463">
        <f t="shared" si="34"/>
        <v>47.412364395161774</v>
      </c>
      <c r="CN16" s="448">
        <f t="shared" si="35"/>
        <v>29657690.719795436</v>
      </c>
      <c r="CO16" s="445">
        <f>SUM(Scenarios!BF17)</f>
        <v>1094728.8663780931</v>
      </c>
      <c r="CP16" s="445">
        <f>Scenarios!BD17</f>
        <v>127580.41382647149</v>
      </c>
      <c r="CQ16" s="449">
        <f>Scenarios!AV17</f>
        <v>30880000</v>
      </c>
      <c r="CR16" s="448">
        <f t="shared" si="59"/>
        <v>3529265195.6556568</v>
      </c>
      <c r="CS16" s="445">
        <f t="shared" si="60"/>
        <v>59115358.784417033</v>
      </c>
      <c r="CT16" s="445">
        <f t="shared" si="36"/>
        <v>0</v>
      </c>
      <c r="CU16" s="445">
        <f t="shared" si="37"/>
        <v>3588380554.440074</v>
      </c>
      <c r="CV16" s="454">
        <f t="shared" si="38"/>
        <v>116.20403349870706</v>
      </c>
      <c r="CW16" s="463">
        <f t="shared" si="39"/>
        <v>47.886444571107994</v>
      </c>
      <c r="CY16" s="448">
        <f t="shared" si="40"/>
        <v>30428228.444986057</v>
      </c>
      <c r="CZ16" s="445">
        <v>0</v>
      </c>
      <c r="DA16" s="445">
        <f>Scenarios!BI17</f>
        <v>451771.55501394195</v>
      </c>
      <c r="DB16" s="449">
        <f>Scenarios!AV17</f>
        <v>30880000</v>
      </c>
      <c r="DC16" s="448">
        <f t="shared" si="61"/>
        <v>3620959184.9533405</v>
      </c>
      <c r="DD16" s="445">
        <f t="shared" si="62"/>
        <v>0</v>
      </c>
      <c r="DE16" s="445">
        <f t="shared" si="41"/>
        <v>0</v>
      </c>
      <c r="DF16" s="445">
        <f t="shared" si="42"/>
        <v>3620959184.9533405</v>
      </c>
      <c r="DG16" s="454">
        <f t="shared" si="43"/>
        <v>117.25904096351492</v>
      </c>
      <c r="DH16" s="463">
        <f t="shared" si="44"/>
        <v>48.321201910974253</v>
      </c>
    </row>
    <row r="17" spans="13:112">
      <c r="M17" s="360">
        <v>2028</v>
      </c>
      <c r="N17" s="429"/>
      <c r="O17" s="448">
        <f t="shared" si="1"/>
        <v>33468196.95139325</v>
      </c>
      <c r="P17" s="445">
        <f>SUM(Scenarios!J18)</f>
        <v>1978492.2308988834</v>
      </c>
      <c r="Q17" s="445">
        <f>Scenarios!H18</f>
        <v>237419.06770786599</v>
      </c>
      <c r="R17" s="449">
        <f>Scenarios!E18</f>
        <v>35684108.25</v>
      </c>
      <c r="S17" s="448">
        <f t="shared" si="45"/>
        <v>3982715437.2157969</v>
      </c>
      <c r="T17" s="445">
        <f t="shared" si="46"/>
        <v>106838580.4685397</v>
      </c>
      <c r="U17" s="445">
        <f t="shared" si="2"/>
        <v>0</v>
      </c>
      <c r="V17" s="445">
        <f t="shared" si="3"/>
        <v>4089554017.6843367</v>
      </c>
      <c r="W17" s="454">
        <f t="shared" si="4"/>
        <v>114.60434961785367</v>
      </c>
      <c r="X17" s="463">
        <f t="shared" si="0"/>
        <v>54.574535453347615</v>
      </c>
      <c r="Z17" s="448">
        <f t="shared" si="5"/>
        <v>34180719.665258266</v>
      </c>
      <c r="AA17" s="445">
        <f>SUM(Scenarios!O18)</f>
        <v>1346117.8889847649</v>
      </c>
      <c r="AB17" s="445">
        <f>Scenarios!M18</f>
        <v>157270.69575697396</v>
      </c>
      <c r="AC17" s="449">
        <f>Scenarios!E18</f>
        <v>35684108.25</v>
      </c>
      <c r="AD17" s="448">
        <f t="shared" si="47"/>
        <v>4067505640.1657338</v>
      </c>
      <c r="AE17" s="445">
        <f t="shared" si="48"/>
        <v>72690366.005177304</v>
      </c>
      <c r="AF17" s="445">
        <f t="shared" si="6"/>
        <v>0</v>
      </c>
      <c r="AG17" s="445">
        <f t="shared" si="7"/>
        <v>4140196006.1709113</v>
      </c>
      <c r="AH17" s="454">
        <f t="shared" si="8"/>
        <v>116.02352445422008</v>
      </c>
      <c r="AI17" s="463">
        <f t="shared" si="9"/>
        <v>55.250345819010313</v>
      </c>
      <c r="AK17" s="448">
        <f t="shared" si="10"/>
        <v>34958207.492161348</v>
      </c>
      <c r="AL17" s="445">
        <v>0</v>
      </c>
      <c r="AM17" s="445">
        <f>Scenarios!R18</f>
        <v>725900.75783864828</v>
      </c>
      <c r="AN17" s="449">
        <f>Scenarios!E18</f>
        <v>35684108.25</v>
      </c>
      <c r="AO17" s="448">
        <f t="shared" si="49"/>
        <v>4160026691.5672007</v>
      </c>
      <c r="AP17" s="445">
        <f t="shared" si="50"/>
        <v>0</v>
      </c>
      <c r="AQ17" s="445">
        <f t="shared" si="11"/>
        <v>0</v>
      </c>
      <c r="AR17" s="445">
        <f t="shared" si="12"/>
        <v>4160026691.5672007</v>
      </c>
      <c r="AS17" s="454">
        <f t="shared" si="13"/>
        <v>116.57925321889473</v>
      </c>
      <c r="AT17" s="463">
        <f t="shared" si="14"/>
        <v>55.514983586000071</v>
      </c>
      <c r="AV17" s="448">
        <f t="shared" si="15"/>
        <v>31150959.730060183</v>
      </c>
      <c r="AW17" s="445">
        <f>SUM(Scenarios!AF18)</f>
        <v>1841507.3838748389</v>
      </c>
      <c r="AX17" s="445">
        <f>Scenarios!AD18</f>
        <v>220980.88606498064</v>
      </c>
      <c r="AY17" s="449">
        <f>Scenarios!AA18</f>
        <v>33213448</v>
      </c>
      <c r="AZ17" s="448">
        <f t="shared" si="51"/>
        <v>3706964207.8771615</v>
      </c>
      <c r="BA17" s="445">
        <f t="shared" si="52"/>
        <v>99441398.729241297</v>
      </c>
      <c r="BB17" s="445">
        <f t="shared" si="16"/>
        <v>0</v>
      </c>
      <c r="BC17" s="445">
        <f t="shared" si="17"/>
        <v>3806405606.6064029</v>
      </c>
      <c r="BD17" s="454">
        <f t="shared" si="18"/>
        <v>114.60434961785367</v>
      </c>
      <c r="BE17" s="463">
        <f t="shared" si="19"/>
        <v>50.795958881890165</v>
      </c>
      <c r="BG17" s="448">
        <f t="shared" si="20"/>
        <v>31814149.515831955</v>
      </c>
      <c r="BH17" s="445">
        <f>SUM(Scenarios!AK18)</f>
        <v>1252916.7380178336</v>
      </c>
      <c r="BI17" s="445">
        <f>Scenarios!AI18</f>
        <v>146381.7461502089</v>
      </c>
      <c r="BJ17" s="449">
        <f>Scenarios!AA18</f>
        <v>33213448</v>
      </c>
      <c r="BK17" s="448">
        <f t="shared" si="53"/>
        <v>3785883792.3840027</v>
      </c>
      <c r="BL17" s="445">
        <f t="shared" si="54"/>
        <v>67657503.852963015</v>
      </c>
      <c r="BM17" s="445">
        <f t="shared" si="21"/>
        <v>0</v>
      </c>
      <c r="BN17" s="445">
        <f t="shared" si="22"/>
        <v>3853541296.2369657</v>
      </c>
      <c r="BO17" s="454">
        <f t="shared" si="23"/>
        <v>116.02352445422004</v>
      </c>
      <c r="BP17" s="463">
        <f t="shared" si="24"/>
        <v>51.424978171949014</v>
      </c>
      <c r="BR17" s="448">
        <f t="shared" si="25"/>
        <v>32537806.425752882</v>
      </c>
      <c r="BS17" s="445">
        <v>0</v>
      </c>
      <c r="BT17" s="445">
        <f>Scenarios!AN18</f>
        <v>675641.57424711704</v>
      </c>
      <c r="BU17" s="449">
        <f>Scenarios!AA18</f>
        <v>33213448</v>
      </c>
      <c r="BV17" s="448">
        <f t="shared" si="55"/>
        <v>3871998964.6645927</v>
      </c>
      <c r="BW17" s="445">
        <f t="shared" si="56"/>
        <v>0</v>
      </c>
      <c r="BX17" s="445">
        <f t="shared" si="26"/>
        <v>0</v>
      </c>
      <c r="BY17" s="445">
        <f t="shared" si="27"/>
        <v>3871998964.6645927</v>
      </c>
      <c r="BZ17" s="454">
        <f t="shared" si="28"/>
        <v>116.57925321889473</v>
      </c>
      <c r="CA17" s="463">
        <f t="shared" si="29"/>
        <v>51.671293216482908</v>
      </c>
      <c r="CC17" s="448">
        <f t="shared" si="30"/>
        <v>28999930.234688696</v>
      </c>
      <c r="CD17" s="445">
        <f>SUM(Scenarios!BA18)</f>
        <v>1714348.0047422363</v>
      </c>
      <c r="CE17" s="445">
        <f>Scenarios!AY18</f>
        <v>205721.76056906834</v>
      </c>
      <c r="CF17" s="449">
        <f>Scenarios!AV18</f>
        <v>30920000</v>
      </c>
      <c r="CG17" s="448">
        <f t="shared" si="57"/>
        <v>3450991697.9279547</v>
      </c>
      <c r="CH17" s="445">
        <f t="shared" si="58"/>
        <v>92574792.256080762</v>
      </c>
      <c r="CI17" s="445">
        <f t="shared" si="31"/>
        <v>0</v>
      </c>
      <c r="CJ17" s="445">
        <f t="shared" si="32"/>
        <v>3543566490.1840353</v>
      </c>
      <c r="CK17" s="454">
        <f t="shared" si="33"/>
        <v>114.60434961785367</v>
      </c>
      <c r="CL17" s="463">
        <f t="shared" si="34"/>
        <v>47.288407052108639</v>
      </c>
      <c r="CN17" s="448">
        <f t="shared" si="35"/>
        <v>29617325.579371467</v>
      </c>
      <c r="CO17" s="445">
        <f>SUM(Scenarios!BF18)</f>
        <v>1166400.5959125778</v>
      </c>
      <c r="CP17" s="445">
        <f>Scenarios!BD18</f>
        <v>136273.82471595419</v>
      </c>
      <c r="CQ17" s="449">
        <f>Scenarios!AV18</f>
        <v>30920000</v>
      </c>
      <c r="CR17" s="448">
        <f t="shared" si="59"/>
        <v>3524461743.9452047</v>
      </c>
      <c r="CS17" s="445">
        <f t="shared" si="60"/>
        <v>62985632.179279201</v>
      </c>
      <c r="CT17" s="445">
        <f t="shared" si="36"/>
        <v>0</v>
      </c>
      <c r="CU17" s="445">
        <f t="shared" si="37"/>
        <v>3587447376.1244841</v>
      </c>
      <c r="CV17" s="454">
        <f t="shared" si="38"/>
        <v>116.02352445422005</v>
      </c>
      <c r="CW17" s="463">
        <f t="shared" si="39"/>
        <v>47.873991434935142</v>
      </c>
      <c r="CY17" s="448">
        <f t="shared" si="40"/>
        <v>30291012.685111139</v>
      </c>
      <c r="CZ17" s="445">
        <v>0</v>
      </c>
      <c r="DA17" s="445">
        <f>Scenarios!BI18</f>
        <v>628987.31488886254</v>
      </c>
      <c r="DB17" s="449">
        <f>Scenarios!AV18</f>
        <v>30920000</v>
      </c>
      <c r="DC17" s="448">
        <f t="shared" si="61"/>
        <v>3604630509.5282254</v>
      </c>
      <c r="DD17" s="445">
        <f t="shared" si="62"/>
        <v>0</v>
      </c>
      <c r="DE17" s="445">
        <f t="shared" si="41"/>
        <v>0</v>
      </c>
      <c r="DF17" s="445">
        <f t="shared" si="42"/>
        <v>3604630509.5282254</v>
      </c>
      <c r="DG17" s="454">
        <f t="shared" si="43"/>
        <v>116.57925321889475</v>
      </c>
      <c r="DH17" s="463">
        <f t="shared" si="44"/>
        <v>48.103297985010514</v>
      </c>
    </row>
    <row r="18" spans="13:112">
      <c r="M18" s="360">
        <v>2029</v>
      </c>
      <c r="N18" s="429"/>
      <c r="O18" s="448">
        <f t="shared" si="1"/>
        <v>33603485.154792622</v>
      </c>
      <c r="P18" s="445">
        <f>SUM(Scenarios!J19)</f>
        <v>2217347.1274172999</v>
      </c>
      <c r="Q18" s="445">
        <f>Scenarios!H19</f>
        <v>266081.65529007599</v>
      </c>
      <c r="R18" s="449">
        <f>Scenarios!E19</f>
        <v>36086913.9375</v>
      </c>
      <c r="S18" s="448">
        <f t="shared" si="45"/>
        <v>3998814733.4203219</v>
      </c>
      <c r="T18" s="445">
        <f t="shared" si="46"/>
        <v>119736744.8805342</v>
      </c>
      <c r="U18" s="445">
        <f t="shared" si="2"/>
        <v>0</v>
      </c>
      <c r="V18" s="445">
        <f t="shared" si="3"/>
        <v>4118551478.3008561</v>
      </c>
      <c r="W18" s="454">
        <f t="shared" si="4"/>
        <v>114.12866961785366</v>
      </c>
      <c r="X18" s="463">
        <f t="shared" si="0"/>
        <v>54.961502573877148</v>
      </c>
      <c r="Z18" s="448">
        <f t="shared" si="5"/>
        <v>34474608.209088571</v>
      </c>
      <c r="AA18" s="445">
        <f>SUM(Scenarios!O19)</f>
        <v>1443306.4901848652</v>
      </c>
      <c r="AB18" s="445">
        <f>Scenarios!M19</f>
        <v>168999.23822656425</v>
      </c>
      <c r="AC18" s="449">
        <f>Scenarios!E19</f>
        <v>36086913.9375</v>
      </c>
      <c r="AD18" s="448">
        <f t="shared" si="47"/>
        <v>4102478376.8815398</v>
      </c>
      <c r="AE18" s="445">
        <f t="shared" si="48"/>
        <v>77938550.469982713</v>
      </c>
      <c r="AF18" s="445">
        <f t="shared" si="6"/>
        <v>0</v>
      </c>
      <c r="AG18" s="445">
        <f t="shared" si="7"/>
        <v>4180416927.3515224</v>
      </c>
      <c r="AH18" s="454">
        <f t="shared" si="8"/>
        <v>115.84301540973304</v>
      </c>
      <c r="AI18" s="463">
        <f t="shared" si="9"/>
        <v>55.787088475897981</v>
      </c>
      <c r="AK18" s="448">
        <f t="shared" si="10"/>
        <v>35068484.437598348</v>
      </c>
      <c r="AL18" s="445">
        <v>0</v>
      </c>
      <c r="AM18" s="445">
        <f>Scenarios!R19</f>
        <v>1018429.4999016544</v>
      </c>
      <c r="AN18" s="449">
        <f>Scenarios!E19</f>
        <v>36086913.9375</v>
      </c>
      <c r="AO18" s="448">
        <f t="shared" si="49"/>
        <v>4173149648.0742035</v>
      </c>
      <c r="AP18" s="445">
        <f t="shared" si="50"/>
        <v>0</v>
      </c>
      <c r="AQ18" s="445">
        <f t="shared" si="11"/>
        <v>0</v>
      </c>
      <c r="AR18" s="445">
        <f t="shared" si="12"/>
        <v>4173149648.0742035</v>
      </c>
      <c r="AS18" s="454">
        <f t="shared" si="13"/>
        <v>115.64163273428716</v>
      </c>
      <c r="AT18" s="463">
        <f t="shared" si="14"/>
        <v>55.690107634257458</v>
      </c>
      <c r="AV18" s="448">
        <f t="shared" si="15"/>
        <v>31147810.187390603</v>
      </c>
      <c r="AW18" s="445">
        <f>SUM(Scenarios!AF19)</f>
        <v>2055307.8684012494</v>
      </c>
      <c r="AX18" s="445">
        <f>Scenarios!AD19</f>
        <v>246636.94420814991</v>
      </c>
      <c r="AY18" s="449">
        <f>Scenarios!AA19</f>
        <v>33449755</v>
      </c>
      <c r="AZ18" s="448">
        <f t="shared" si="51"/>
        <v>3706589412.2994819</v>
      </c>
      <c r="BA18" s="445">
        <f t="shared" si="52"/>
        <v>110986624.89366747</v>
      </c>
      <c r="BB18" s="445">
        <f t="shared" si="16"/>
        <v>0</v>
      </c>
      <c r="BC18" s="445">
        <f t="shared" si="17"/>
        <v>3817576037.1931496</v>
      </c>
      <c r="BD18" s="454">
        <f t="shared" si="18"/>
        <v>114.12866961785369</v>
      </c>
      <c r="BE18" s="463">
        <f t="shared" si="19"/>
        <v>50.945026740500026</v>
      </c>
      <c r="BG18" s="448">
        <f t="shared" si="20"/>
        <v>31955273.324624155</v>
      </c>
      <c r="BH18" s="445">
        <f>SUM(Scenarios!AK19)</f>
        <v>1337832.5608614853</v>
      </c>
      <c r="BI18" s="445">
        <f>Scenarios!AI19</f>
        <v>156649.1145143577</v>
      </c>
      <c r="BJ18" s="449">
        <f>Scenarios!AA19</f>
        <v>33449755</v>
      </c>
      <c r="BK18" s="448">
        <f t="shared" si="53"/>
        <v>3802677525.6302743</v>
      </c>
      <c r="BL18" s="445">
        <f t="shared" si="54"/>
        <v>72242958.286520213</v>
      </c>
      <c r="BM18" s="445">
        <f t="shared" si="21"/>
        <v>0</v>
      </c>
      <c r="BN18" s="445">
        <f t="shared" si="22"/>
        <v>3874920483.9167943</v>
      </c>
      <c r="BO18" s="454">
        <f t="shared" si="23"/>
        <v>115.84301540973303</v>
      </c>
      <c r="BP18" s="463">
        <f t="shared" si="24"/>
        <v>51.710280488766742</v>
      </c>
      <c r="BR18" s="448">
        <f t="shared" si="25"/>
        <v>32505750.275309961</v>
      </c>
      <c r="BS18" s="445">
        <v>0</v>
      </c>
      <c r="BT18" s="445">
        <f>Scenarios!AN19</f>
        <v>944004.72469004022</v>
      </c>
      <c r="BU18" s="449">
        <f>Scenarios!AA19</f>
        <v>33449755</v>
      </c>
      <c r="BV18" s="448">
        <f t="shared" si="55"/>
        <v>3868184282.7618852</v>
      </c>
      <c r="BW18" s="445">
        <f t="shared" si="56"/>
        <v>0</v>
      </c>
      <c r="BX18" s="445">
        <f t="shared" si="26"/>
        <v>0</v>
      </c>
      <c r="BY18" s="445">
        <f t="shared" si="27"/>
        <v>3868184282.7618852</v>
      </c>
      <c r="BZ18" s="454">
        <f t="shared" si="28"/>
        <v>115.64163273428714</v>
      </c>
      <c r="CA18" s="463">
        <f t="shared" si="29"/>
        <v>51.62038681156875</v>
      </c>
      <c r="CC18" s="448">
        <f t="shared" si="30"/>
        <v>28829395.115199286</v>
      </c>
      <c r="CD18" s="445">
        <f>SUM(Scenarios!BA19)</f>
        <v>1902325.7900006347</v>
      </c>
      <c r="CE18" s="445">
        <f>Scenarios!AY19</f>
        <v>228279.09480007616</v>
      </c>
      <c r="CF18" s="449">
        <f>Scenarios!AV19</f>
        <v>30960000</v>
      </c>
      <c r="CG18" s="448">
        <f t="shared" si="57"/>
        <v>3430698018.708715</v>
      </c>
      <c r="CH18" s="445">
        <f t="shared" si="58"/>
        <v>102725592.66003427</v>
      </c>
      <c r="CI18" s="445">
        <f t="shared" si="31"/>
        <v>0</v>
      </c>
      <c r="CJ18" s="445">
        <f t="shared" si="32"/>
        <v>3533423611.3687491</v>
      </c>
      <c r="CK18" s="454">
        <f t="shared" si="33"/>
        <v>114.12866961785366</v>
      </c>
      <c r="CL18" s="463">
        <f t="shared" si="34"/>
        <v>47.153051730450052</v>
      </c>
      <c r="CN18" s="448">
        <f t="shared" si="35"/>
        <v>29576756.604954623</v>
      </c>
      <c r="CO18" s="445">
        <f>SUM(Scenarios!BF19)</f>
        <v>1238254.094365462</v>
      </c>
      <c r="CP18" s="445">
        <f>Scenarios!BD19</f>
        <v>144989.30067991573</v>
      </c>
      <c r="CQ18" s="449">
        <f>Scenarios!AV19</f>
        <v>30960000</v>
      </c>
      <c r="CR18" s="448">
        <f t="shared" si="59"/>
        <v>3519634035.9896002</v>
      </c>
      <c r="CS18" s="445">
        <f t="shared" si="60"/>
        <v>66865721.095734946</v>
      </c>
      <c r="CT18" s="445">
        <f t="shared" si="36"/>
        <v>0</v>
      </c>
      <c r="CU18" s="445">
        <f t="shared" si="37"/>
        <v>3586499757.0853353</v>
      </c>
      <c r="CV18" s="454">
        <f t="shared" si="38"/>
        <v>115.84301540973306</v>
      </c>
      <c r="CW18" s="463">
        <f t="shared" si="39"/>
        <v>47.86134558929411</v>
      </c>
      <c r="CY18" s="448">
        <f t="shared" si="40"/>
        <v>30086260.079441428</v>
      </c>
      <c r="CZ18" s="445">
        <v>0</v>
      </c>
      <c r="DA18" s="445">
        <f>Scenarios!BI19</f>
        <v>873739.92055857053</v>
      </c>
      <c r="DB18" s="449">
        <f>Scenarios!AV19</f>
        <v>30960000</v>
      </c>
      <c r="DC18" s="448">
        <f t="shared" si="61"/>
        <v>3580264949.4535298</v>
      </c>
      <c r="DD18" s="445">
        <f t="shared" si="62"/>
        <v>0</v>
      </c>
      <c r="DE18" s="445">
        <f t="shared" si="41"/>
        <v>0</v>
      </c>
      <c r="DF18" s="445">
        <f t="shared" si="42"/>
        <v>3580264949.4535298</v>
      </c>
      <c r="DG18" s="454">
        <f t="shared" si="43"/>
        <v>115.64163273428714</v>
      </c>
      <c r="DH18" s="463">
        <f t="shared" si="44"/>
        <v>47.778142939646891</v>
      </c>
    </row>
    <row r="19" spans="13:112">
      <c r="M19" s="360">
        <v>2030</v>
      </c>
      <c r="N19" s="429"/>
      <c r="O19" s="448">
        <f>R19-Q19-P19</f>
        <v>33719736.821091995</v>
      </c>
      <c r="P19" s="445">
        <f>SUM(Scenarios!J20)</f>
        <v>2473198.9320607162</v>
      </c>
      <c r="Q19" s="445">
        <f>Scenarios!H20</f>
        <v>296783.87184728601</v>
      </c>
      <c r="R19" s="449">
        <f>Scenarios!E20</f>
        <v>36489719.625</v>
      </c>
      <c r="S19" s="448">
        <f>O19*$D$10</f>
        <v>3203374998.0037394</v>
      </c>
      <c r="T19" s="445">
        <f t="shared" si="46"/>
        <v>133552742.33127868</v>
      </c>
      <c r="U19" s="445">
        <f t="shared" si="2"/>
        <v>0</v>
      </c>
      <c r="V19" s="445">
        <f t="shared" si="3"/>
        <v>3336927740.3350182</v>
      </c>
      <c r="W19" s="454">
        <f t="shared" si="4"/>
        <v>91.448434644830954</v>
      </c>
      <c r="X19" s="463">
        <f t="shared" si="0"/>
        <v>44.530841378466747</v>
      </c>
      <c r="Z19" s="448">
        <f t="shared" si="5"/>
        <v>34766444.115627952</v>
      </c>
      <c r="AA19" s="445">
        <f>SUM(Scenarios!O20)</f>
        <v>1542325.530238518</v>
      </c>
      <c r="AB19" s="445">
        <f>Scenarios!M20</f>
        <v>180949.97913353448</v>
      </c>
      <c r="AC19" s="449">
        <f>Scenarios!E20</f>
        <v>36489719.625</v>
      </c>
      <c r="AD19" s="448">
        <f>Z19*$D$10</f>
        <v>3302812190.9846554</v>
      </c>
      <c r="AE19" s="445">
        <f t="shared" si="48"/>
        <v>83285578.632879972</v>
      </c>
      <c r="AF19" s="445">
        <f t="shared" si="6"/>
        <v>0</v>
      </c>
      <c r="AG19" s="445">
        <f t="shared" si="7"/>
        <v>3386097769.6175356</v>
      </c>
      <c r="AH19" s="454">
        <f t="shared" si="8"/>
        <v>92.795938264695167</v>
      </c>
      <c r="AI19" s="463">
        <f t="shared" si="9"/>
        <v>45.187008651161278</v>
      </c>
      <c r="AK19" s="448">
        <f t="shared" si="10"/>
        <v>35065490.789337523</v>
      </c>
      <c r="AL19" s="445">
        <v>0</v>
      </c>
      <c r="AM19" s="445">
        <f>Scenarios!R20</f>
        <v>1424228.8356624753</v>
      </c>
      <c r="AN19" s="449">
        <f>Scenarios!E20</f>
        <v>36489719.625</v>
      </c>
      <c r="AO19" s="448">
        <f>AK19*$D$10</f>
        <v>3331221624.9870648</v>
      </c>
      <c r="AP19" s="445">
        <f t="shared" si="50"/>
        <v>0</v>
      </c>
      <c r="AQ19" s="445">
        <f t="shared" si="11"/>
        <v>0</v>
      </c>
      <c r="AR19" s="445">
        <f t="shared" si="12"/>
        <v>3331221624.9870648</v>
      </c>
      <c r="AS19" s="454">
        <f t="shared" si="13"/>
        <v>91.29205867355482</v>
      </c>
      <c r="AT19" s="463">
        <f t="shared" si="14"/>
        <v>44.454694054574915</v>
      </c>
      <c r="AV19" s="448">
        <f t="shared" si="15"/>
        <v>31128909.716239087</v>
      </c>
      <c r="AW19" s="445">
        <f>SUM(Scenarios!AF20)</f>
        <v>2283172.809885642</v>
      </c>
      <c r="AX19" s="445">
        <f>Scenarios!AD20</f>
        <v>273980.73718627705</v>
      </c>
      <c r="AY19" s="449">
        <f>Scenarios!AA20</f>
        <v>33686063.263311006</v>
      </c>
      <c r="AZ19" s="448">
        <f>AV19*$D$10</f>
        <v>2957246423.0427132</v>
      </c>
      <c r="BA19" s="445">
        <f t="shared" si="52"/>
        <v>123291331.73382467</v>
      </c>
      <c r="BB19" s="445">
        <f t="shared" si="16"/>
        <v>0</v>
      </c>
      <c r="BC19" s="445">
        <f t="shared" si="17"/>
        <v>3080537754.7765379</v>
      </c>
      <c r="BD19" s="454">
        <f t="shared" si="18"/>
        <v>91.448434644830968</v>
      </c>
      <c r="BE19" s="463">
        <f t="shared" si="19"/>
        <v>41.109352312363747</v>
      </c>
      <c r="BG19" s="448">
        <f t="shared" si="20"/>
        <v>32095194.152081944</v>
      </c>
      <c r="BH19" s="445">
        <f>SUM(Scenarios!AK20)</f>
        <v>1423822.2687970137</v>
      </c>
      <c r="BI19" s="445">
        <f>Scenarios!AI20</f>
        <v>167046.84243204977</v>
      </c>
      <c r="BJ19" s="449">
        <f>Scenarios!AA20</f>
        <v>33686063.263311006</v>
      </c>
      <c r="BK19" s="448">
        <f>BG19*$D$10</f>
        <v>3049043444.4477849</v>
      </c>
      <c r="BL19" s="445">
        <f t="shared" si="54"/>
        <v>76886402.515038744</v>
      </c>
      <c r="BM19" s="445">
        <f t="shared" si="21"/>
        <v>0</v>
      </c>
      <c r="BN19" s="445">
        <f t="shared" si="22"/>
        <v>3125929846.9628239</v>
      </c>
      <c r="BO19" s="454">
        <f t="shared" si="23"/>
        <v>92.795938264695167</v>
      </c>
      <c r="BP19" s="463">
        <f t="shared" si="24"/>
        <v>41.715103534528751</v>
      </c>
      <c r="BR19" s="448">
        <f t="shared" si="25"/>
        <v>32371263.830687031</v>
      </c>
      <c r="BS19" s="445">
        <v>0</v>
      </c>
      <c r="BT19" s="445">
        <f>Scenarios!AN20</f>
        <v>1314799.4326239747</v>
      </c>
      <c r="BU19" s="449">
        <f>Scenarios!AA20</f>
        <v>33686063.263311006</v>
      </c>
      <c r="BV19" s="448">
        <f>BR19*$D$10</f>
        <v>3075270063.9152679</v>
      </c>
      <c r="BW19" s="445">
        <f t="shared" si="56"/>
        <v>0</v>
      </c>
      <c r="BX19" s="445">
        <f t="shared" si="26"/>
        <v>0</v>
      </c>
      <c r="BY19" s="445">
        <f t="shared" si="27"/>
        <v>3075270063.9152679</v>
      </c>
      <c r="BZ19" s="454">
        <f t="shared" si="28"/>
        <v>91.29205867355482</v>
      </c>
      <c r="CA19" s="463">
        <f t="shared" si="29"/>
        <v>41.03905570289912</v>
      </c>
      <c r="CC19" s="448">
        <f t="shared" si="30"/>
        <v>28646749.062376551</v>
      </c>
      <c r="CD19" s="445">
        <f>SUM(Scenarios!BA20)</f>
        <v>2101116.9085923661</v>
      </c>
      <c r="CE19" s="445">
        <f>Scenarios!AY20</f>
        <v>252134.02903108401</v>
      </c>
      <c r="CF19" s="449">
        <f>Scenarios!AV20</f>
        <v>31000000</v>
      </c>
      <c r="CG19" s="448">
        <f>CC19*$D$10</f>
        <v>2721441160.9257722</v>
      </c>
      <c r="CH19" s="445">
        <f t="shared" si="58"/>
        <v>113460313.06398778</v>
      </c>
      <c r="CI19" s="445">
        <f t="shared" si="31"/>
        <v>0</v>
      </c>
      <c r="CJ19" s="445">
        <f t="shared" si="32"/>
        <v>2834901473.9897599</v>
      </c>
      <c r="CK19" s="454">
        <f t="shared" si="33"/>
        <v>91.448434644830968</v>
      </c>
      <c r="CL19" s="463">
        <f t="shared" si="34"/>
        <v>37.831369956229672</v>
      </c>
      <c r="CN19" s="448">
        <f t="shared" si="35"/>
        <v>29535983.796544898</v>
      </c>
      <c r="CO19" s="445">
        <f>SUM(Scenarios!BF20)</f>
        <v>1310289.361736746</v>
      </c>
      <c r="CP19" s="445">
        <f>Scenarios!BD20</f>
        <v>153726.84171835615</v>
      </c>
      <c r="CQ19" s="449">
        <f>Scenarios!AV20</f>
        <v>31000000</v>
      </c>
      <c r="CR19" s="448">
        <f>CN19*$D$10</f>
        <v>2805918460.6717653</v>
      </c>
      <c r="CS19" s="445">
        <f t="shared" si="60"/>
        <v>70755625.533784285</v>
      </c>
      <c r="CT19" s="445">
        <f t="shared" si="36"/>
        <v>0</v>
      </c>
      <c r="CU19" s="445">
        <f t="shared" si="37"/>
        <v>2876674086.2055497</v>
      </c>
      <c r="CV19" s="454">
        <f t="shared" si="38"/>
        <v>92.795938264695152</v>
      </c>
      <c r="CW19" s="463">
        <f t="shared" si="39"/>
        <v>38.388819716397023</v>
      </c>
      <c r="CY19" s="448">
        <f t="shared" si="40"/>
        <v>29790040.19873894</v>
      </c>
      <c r="CZ19" s="445">
        <v>0</v>
      </c>
      <c r="DA19" s="445">
        <f>Scenarios!BI20</f>
        <v>1209959.8012610581</v>
      </c>
      <c r="DB19" s="449">
        <f>Scenarios!AV20</f>
        <v>31000000</v>
      </c>
      <c r="DC19" s="448">
        <f>CY19*$D$10</f>
        <v>2830053818.8801994</v>
      </c>
      <c r="DD19" s="445">
        <f t="shared" si="62"/>
        <v>0</v>
      </c>
      <c r="DE19" s="445">
        <f t="shared" si="41"/>
        <v>0</v>
      </c>
      <c r="DF19" s="445">
        <f t="shared" si="42"/>
        <v>2830053818.8801994</v>
      </c>
      <c r="DG19" s="454">
        <f t="shared" si="43"/>
        <v>91.29205867355482</v>
      </c>
      <c r="DH19" s="463">
        <f t="shared" si="44"/>
        <v>37.766678666055171</v>
      </c>
    </row>
    <row r="20" spans="13:112">
      <c r="M20" s="360">
        <v>2031</v>
      </c>
      <c r="N20" s="429"/>
      <c r="O20" s="448">
        <f t="shared" si="1"/>
        <v>33816500.807921372</v>
      </c>
      <c r="P20" s="445">
        <f>SUM(Scenarios!J21)</f>
        <v>2746450.4505166342</v>
      </c>
      <c r="Q20" s="445">
        <f>Scenarios!H21</f>
        <v>329574.05406199599</v>
      </c>
      <c r="R20" s="449">
        <f>Scenarios!E21</f>
        <v>36892525.3125</v>
      </c>
      <c r="S20" s="448">
        <f t="shared" ref="S20:S39" si="63">O20*$D$10</f>
        <v>3212567576.7525306</v>
      </c>
      <c r="T20" s="445">
        <f t="shared" si="46"/>
        <v>148308324.32789823</v>
      </c>
      <c r="U20" s="445">
        <f t="shared" si="2"/>
        <v>0</v>
      </c>
      <c r="V20" s="445">
        <f t="shared" si="3"/>
        <v>3360875901.0804286</v>
      </c>
      <c r="W20" s="454">
        <f t="shared" si="4"/>
        <v>91.099101311497634</v>
      </c>
      <c r="X20" s="463">
        <f t="shared" si="0"/>
        <v>44.850426287234612</v>
      </c>
      <c r="Z20" s="448">
        <f t="shared" si="5"/>
        <v>34909495.235653207</v>
      </c>
      <c r="AA20" s="445">
        <f>SUM(Scenarios!O21)</f>
        <v>1745066.4676251775</v>
      </c>
      <c r="AB20" s="445">
        <f>Scenarios!M21</f>
        <v>237963.6092216151</v>
      </c>
      <c r="AC20" s="449">
        <f>Scenarios!E21</f>
        <v>36892525.3125</v>
      </c>
      <c r="AD20" s="448">
        <f t="shared" ref="AD20:AD39" si="64">Z20*$D$10</f>
        <v>3316402047.3870544</v>
      </c>
      <c r="AE20" s="445">
        <f t="shared" si="48"/>
        <v>94233589.251759589</v>
      </c>
      <c r="AF20" s="445">
        <f t="shared" si="6"/>
        <v>0</v>
      </c>
      <c r="AG20" s="445">
        <f t="shared" si="7"/>
        <v>3410635636.638814</v>
      </c>
      <c r="AH20" s="454">
        <f t="shared" si="8"/>
        <v>92.447876846294804</v>
      </c>
      <c r="AI20" s="463">
        <f t="shared" si="9"/>
        <v>45.514463109009611</v>
      </c>
      <c r="AK20" s="448">
        <f t="shared" si="10"/>
        <v>34909495.235653207</v>
      </c>
      <c r="AL20" s="445">
        <v>0</v>
      </c>
      <c r="AM20" s="445">
        <f>Scenarios!R21</f>
        <v>1983030.0768467926</v>
      </c>
      <c r="AN20" s="449">
        <f>Scenarios!E21</f>
        <v>36892525.3125</v>
      </c>
      <c r="AO20" s="448">
        <f t="shared" ref="AO20:AO39" si="65">AK20*$D$10</f>
        <v>3316402047.3870544</v>
      </c>
      <c r="AP20" s="445">
        <f t="shared" si="50"/>
        <v>0</v>
      </c>
      <c r="AQ20" s="445">
        <f t="shared" si="11"/>
        <v>0</v>
      </c>
      <c r="AR20" s="445">
        <f t="shared" si="12"/>
        <v>3316402047.3870544</v>
      </c>
      <c r="AS20" s="454">
        <f t="shared" si="13"/>
        <v>89.893603630960556</v>
      </c>
      <c r="AT20" s="463">
        <f t="shared" si="14"/>
        <v>44.256928831365229</v>
      </c>
      <c r="AV20" s="448">
        <f t="shared" si="15"/>
        <v>31024992.345142581</v>
      </c>
      <c r="AW20" s="445">
        <f>SUM(Scenarios!AF21)</f>
        <v>2519734.5132655539</v>
      </c>
      <c r="AX20" s="445">
        <f>Scenarios!AD21</f>
        <v>302368.14159186638</v>
      </c>
      <c r="AY20" s="449">
        <f>Scenarios!AA21</f>
        <v>33847095</v>
      </c>
      <c r="AZ20" s="448">
        <f t="shared" ref="AZ20:AZ39" si="66">AV20*$D$10</f>
        <v>2947374272.7885451</v>
      </c>
      <c r="BA20" s="445">
        <f t="shared" si="52"/>
        <v>136065663.71633992</v>
      </c>
      <c r="BB20" s="445">
        <f t="shared" si="16"/>
        <v>0</v>
      </c>
      <c r="BC20" s="445">
        <f t="shared" si="17"/>
        <v>3083439936.5048852</v>
      </c>
      <c r="BD20" s="454">
        <f t="shared" si="18"/>
        <v>91.099101311497634</v>
      </c>
      <c r="BE20" s="463">
        <f t="shared" si="19"/>
        <v>41.148081528053496</v>
      </c>
      <c r="BG20" s="448">
        <f t="shared" si="20"/>
        <v>32027761.494625974</v>
      </c>
      <c r="BH20" s="445">
        <f>SUM(Scenarios!AK21)</f>
        <v>1601013.4847291445</v>
      </c>
      <c r="BI20" s="445">
        <f>Scenarios!AI21</f>
        <v>218320.02064488336</v>
      </c>
      <c r="BJ20" s="449">
        <f>Scenarios!AA21</f>
        <v>33847095</v>
      </c>
      <c r="BK20" s="448">
        <f t="shared" ref="BK20:BK39" si="67">BG20*$D$10</f>
        <v>3042637341.9894676</v>
      </c>
      <c r="BL20" s="445">
        <f t="shared" si="54"/>
        <v>86454728.175373808</v>
      </c>
      <c r="BM20" s="445">
        <f t="shared" si="21"/>
        <v>0</v>
      </c>
      <c r="BN20" s="445">
        <f t="shared" si="22"/>
        <v>3129092070.1648417</v>
      </c>
      <c r="BO20" s="454">
        <f t="shared" si="23"/>
        <v>92.447876846294832</v>
      </c>
      <c r="BP20" s="463">
        <f t="shared" si="24"/>
        <v>41.757302967890837</v>
      </c>
      <c r="BR20" s="448">
        <f t="shared" si="25"/>
        <v>32027761.494625971</v>
      </c>
      <c r="BS20" s="445">
        <v>0</v>
      </c>
      <c r="BT20" s="445">
        <f>Scenarios!AN21</f>
        <v>1819333.5053740281</v>
      </c>
      <c r="BU20" s="449">
        <f>Scenarios!AA21</f>
        <v>33847095</v>
      </c>
      <c r="BV20" s="448">
        <f t="shared" ref="BV20:BV39" si="68">BR20*$D$10</f>
        <v>3042637341.9894671</v>
      </c>
      <c r="BW20" s="445">
        <f t="shared" si="56"/>
        <v>0</v>
      </c>
      <c r="BX20" s="445">
        <f t="shared" si="26"/>
        <v>0</v>
      </c>
      <c r="BY20" s="445">
        <f t="shared" si="27"/>
        <v>3042637341.9894671</v>
      </c>
      <c r="BZ20" s="454">
        <f t="shared" si="28"/>
        <v>89.89360363096057</v>
      </c>
      <c r="CA20" s="463">
        <f t="shared" si="29"/>
        <v>40.603576520578095</v>
      </c>
      <c r="CC20" s="448">
        <f t="shared" si="30"/>
        <v>27681984.785498016</v>
      </c>
      <c r="CD20" s="445">
        <f>SUM(Scenarios!BA21)</f>
        <v>2248227.8700910588</v>
      </c>
      <c r="CE20" s="445">
        <f>Scenarios!AY21</f>
        <v>269787.34441092698</v>
      </c>
      <c r="CF20" s="449">
        <f>Scenarios!AV21</f>
        <v>30200000</v>
      </c>
      <c r="CG20" s="448">
        <f t="shared" ref="CG20:CG39" si="69">CC20*$D$10</f>
        <v>2629788554.6223116</v>
      </c>
      <c r="CH20" s="445">
        <f t="shared" si="58"/>
        <v>121404304.98491718</v>
      </c>
      <c r="CI20" s="445">
        <f t="shared" si="31"/>
        <v>0</v>
      </c>
      <c r="CJ20" s="445">
        <f t="shared" si="32"/>
        <v>2751192859.6072288</v>
      </c>
      <c r="CK20" s="454">
        <f t="shared" si="33"/>
        <v>91.099101311497634</v>
      </c>
      <c r="CL20" s="463">
        <f t="shared" si="34"/>
        <v>36.714290019489567</v>
      </c>
      <c r="CN20" s="448">
        <f t="shared" si="35"/>
        <v>28576703.470052727</v>
      </c>
      <c r="CO20" s="445">
        <f>SUM(Scenarios!BF21)</f>
        <v>1428500.9463535992</v>
      </c>
      <c r="CP20" s="445">
        <f>Scenarios!BD21</f>
        <v>194795.58359367258</v>
      </c>
      <c r="CQ20" s="449">
        <f>Scenarios!AV21</f>
        <v>30200000</v>
      </c>
      <c r="CR20" s="448">
        <f t="shared" ref="CR20:CR39" si="70">CN20*$D$10</f>
        <v>2714786829.6550088</v>
      </c>
      <c r="CS20" s="445">
        <f t="shared" si="60"/>
        <v>77139051.103094354</v>
      </c>
      <c r="CT20" s="445">
        <f t="shared" si="36"/>
        <v>0</v>
      </c>
      <c r="CU20" s="445">
        <f t="shared" si="37"/>
        <v>2791925880.7581034</v>
      </c>
      <c r="CV20" s="454">
        <f t="shared" si="38"/>
        <v>92.447876846294818</v>
      </c>
      <c r="CW20" s="463">
        <f t="shared" si="39"/>
        <v>37.257866579991664</v>
      </c>
      <c r="CY20" s="448">
        <f t="shared" si="40"/>
        <v>28576703.470052727</v>
      </c>
      <c r="CZ20" s="445">
        <v>0</v>
      </c>
      <c r="DA20" s="445">
        <f>Scenarios!BI21</f>
        <v>1623296.5299472716</v>
      </c>
      <c r="DB20" s="449">
        <f>Scenarios!AV21</f>
        <v>30200000</v>
      </c>
      <c r="DC20" s="448">
        <f t="shared" ref="DC20:DC39" si="71">CY20*$D$10</f>
        <v>2714786829.6550088</v>
      </c>
      <c r="DD20" s="445">
        <f t="shared" si="62"/>
        <v>0</v>
      </c>
      <c r="DE20" s="445">
        <f t="shared" si="41"/>
        <v>0</v>
      </c>
      <c r="DF20" s="445">
        <f t="shared" si="42"/>
        <v>2714786829.6550088</v>
      </c>
      <c r="DG20" s="454">
        <f t="shared" si="43"/>
        <v>89.893603630960556</v>
      </c>
      <c r="DH20" s="463">
        <f t="shared" si="44"/>
        <v>36.228456560938483</v>
      </c>
    </row>
    <row r="21" spans="13:112">
      <c r="M21" s="360">
        <v>2032</v>
      </c>
      <c r="N21" s="429"/>
      <c r="O21" s="448">
        <f t="shared" si="1"/>
        <v>33893325.972910739</v>
      </c>
      <c r="P21" s="445">
        <f>SUM(Scenarios!J22)</f>
        <v>3037504.4884725506</v>
      </c>
      <c r="Q21" s="445">
        <f>Scenarios!H22</f>
        <v>364500.53861670598</v>
      </c>
      <c r="R21" s="449">
        <f>Scenarios!E22</f>
        <v>37295331</v>
      </c>
      <c r="S21" s="448">
        <f t="shared" si="63"/>
        <v>3219865967.4265203</v>
      </c>
      <c r="T21" s="445">
        <f t="shared" si="46"/>
        <v>164025242.37751773</v>
      </c>
      <c r="U21" s="445">
        <f t="shared" si="2"/>
        <v>0</v>
      </c>
      <c r="V21" s="445">
        <f t="shared" si="3"/>
        <v>3383891209.804038</v>
      </c>
      <c r="W21" s="454">
        <f t="shared" si="4"/>
        <v>90.732301311497622</v>
      </c>
      <c r="X21" s="463">
        <f t="shared" si="0"/>
        <v>45.15756241417531</v>
      </c>
      <c r="Z21" s="448">
        <f t="shared" si="5"/>
        <v>34550439.470049806</v>
      </c>
      <c r="AA21" s="445">
        <f>SUM(Scenarios!O22)</f>
        <v>2415504.5463561732</v>
      </c>
      <c r="AB21" s="445">
        <f>Scenarios!M22</f>
        <v>329386.98359402362</v>
      </c>
      <c r="AC21" s="449">
        <f>Scenarios!E22</f>
        <v>37295331</v>
      </c>
      <c r="AD21" s="448">
        <f t="shared" si="64"/>
        <v>3282291749.6547318</v>
      </c>
      <c r="AE21" s="445">
        <f t="shared" si="48"/>
        <v>130437245.50323336</v>
      </c>
      <c r="AF21" s="445">
        <f t="shared" si="6"/>
        <v>0</v>
      </c>
      <c r="AG21" s="445">
        <f t="shared" si="7"/>
        <v>3412728995.1579652</v>
      </c>
      <c r="AH21" s="454">
        <f t="shared" si="8"/>
        <v>91.505529074348885</v>
      </c>
      <c r="AI21" s="463">
        <f t="shared" si="9"/>
        <v>45.542398690304282</v>
      </c>
      <c r="AK21" s="448">
        <f t="shared" si="10"/>
        <v>34550439.470049806</v>
      </c>
      <c r="AL21" s="445">
        <v>0</v>
      </c>
      <c r="AM21" s="445">
        <f>Scenarios!R22</f>
        <v>2744891.5299501969</v>
      </c>
      <c r="AN21" s="449">
        <f>Scenarios!E22</f>
        <v>37295331</v>
      </c>
      <c r="AO21" s="448">
        <f t="shared" si="65"/>
        <v>3282291749.6547318</v>
      </c>
      <c r="AP21" s="445">
        <f t="shared" si="50"/>
        <v>0</v>
      </c>
      <c r="AQ21" s="445">
        <f t="shared" si="11"/>
        <v>0</v>
      </c>
      <c r="AR21" s="445">
        <f t="shared" si="12"/>
        <v>3282291749.6547318</v>
      </c>
      <c r="AS21" s="454">
        <f t="shared" si="13"/>
        <v>88.00811419678061</v>
      </c>
      <c r="AT21" s="463">
        <f t="shared" si="14"/>
        <v>43.801731603289248</v>
      </c>
      <c r="AV21" s="448">
        <f t="shared" si="15"/>
        <v>30905974.105422132</v>
      </c>
      <c r="AW21" s="445">
        <f>SUM(Scenarios!AF22)</f>
        <v>2769779.3701588153</v>
      </c>
      <c r="AX21" s="445">
        <f>Scenarios!AD22</f>
        <v>332373.52441905777</v>
      </c>
      <c r="AY21" s="449">
        <f>Scenarios!AA22</f>
        <v>34008127</v>
      </c>
      <c r="AZ21" s="448">
        <f t="shared" si="66"/>
        <v>2936067540.0151024</v>
      </c>
      <c r="BA21" s="445">
        <f t="shared" si="52"/>
        <v>149568085.98857602</v>
      </c>
      <c r="BB21" s="445">
        <f t="shared" si="16"/>
        <v>0</v>
      </c>
      <c r="BC21" s="445">
        <f t="shared" si="17"/>
        <v>3085635626.0036783</v>
      </c>
      <c r="BD21" s="454">
        <f t="shared" si="18"/>
        <v>90.732301311497636</v>
      </c>
      <c r="BE21" s="463">
        <f t="shared" si="19"/>
        <v>41.177382702185987</v>
      </c>
      <c r="BG21" s="448">
        <f t="shared" si="20"/>
        <v>31505169.732995976</v>
      </c>
      <c r="BH21" s="445">
        <f>SUM(Scenarios!AK22)</f>
        <v>2202602.3949635448</v>
      </c>
      <c r="BI21" s="445">
        <f>Scenarios!AI22</f>
        <v>300354.87204048334</v>
      </c>
      <c r="BJ21" s="449">
        <f>Scenarios!AA22</f>
        <v>34008127</v>
      </c>
      <c r="BK21" s="448">
        <f t="shared" si="67"/>
        <v>2992991124.6346178</v>
      </c>
      <c r="BL21" s="445">
        <f t="shared" si="54"/>
        <v>118940529.32803142</v>
      </c>
      <c r="BM21" s="445">
        <f t="shared" si="21"/>
        <v>0</v>
      </c>
      <c r="BN21" s="445">
        <f t="shared" si="22"/>
        <v>3111931653.9626493</v>
      </c>
      <c r="BO21" s="454">
        <f t="shared" si="23"/>
        <v>91.505529074348885</v>
      </c>
      <c r="BP21" s="463">
        <f t="shared" si="24"/>
        <v>41.528299575743191</v>
      </c>
      <c r="BR21" s="448">
        <f t="shared" si="25"/>
        <v>31505169.732995972</v>
      </c>
      <c r="BS21" s="445">
        <v>0</v>
      </c>
      <c r="BT21" s="445">
        <f>Scenarios!AN22</f>
        <v>2502957.267004028</v>
      </c>
      <c r="BU21" s="449">
        <f>Scenarios!AA22</f>
        <v>34008127</v>
      </c>
      <c r="BV21" s="448">
        <f t="shared" si="68"/>
        <v>2992991124.6346173</v>
      </c>
      <c r="BW21" s="445">
        <f t="shared" si="56"/>
        <v>0</v>
      </c>
      <c r="BX21" s="445">
        <f t="shared" si="26"/>
        <v>0</v>
      </c>
      <c r="BY21" s="445">
        <f t="shared" si="27"/>
        <v>2992991124.6346173</v>
      </c>
      <c r="BZ21" s="454">
        <f t="shared" si="28"/>
        <v>88.008114196780596</v>
      </c>
      <c r="CA21" s="463">
        <f t="shared" si="29"/>
        <v>39.941054583603893</v>
      </c>
      <c r="CC21" s="448">
        <f t="shared" si="30"/>
        <v>26718191.175286148</v>
      </c>
      <c r="CD21" s="445">
        <f>SUM(Scenarios!BA22)</f>
        <v>2394472.1649230835</v>
      </c>
      <c r="CE21" s="445">
        <f>Scenarios!AY22</f>
        <v>287336.65979076998</v>
      </c>
      <c r="CF21" s="449">
        <f>Scenarios!AV22</f>
        <v>29400000</v>
      </c>
      <c r="CG21" s="448">
        <f t="shared" si="69"/>
        <v>2538228161.652184</v>
      </c>
      <c r="CH21" s="445">
        <f t="shared" si="58"/>
        <v>129301496.90584651</v>
      </c>
      <c r="CI21" s="445">
        <f t="shared" si="31"/>
        <v>0</v>
      </c>
      <c r="CJ21" s="445">
        <f t="shared" si="32"/>
        <v>2667529658.5580306</v>
      </c>
      <c r="CK21" s="454">
        <f t="shared" si="33"/>
        <v>90.732301311497636</v>
      </c>
      <c r="CL21" s="463">
        <f t="shared" si="34"/>
        <v>35.597816117431812</v>
      </c>
      <c r="CN21" s="448">
        <f t="shared" si="35"/>
        <v>27236195.340898413</v>
      </c>
      <c r="CO21" s="445">
        <f>SUM(Scenarios!BF22)</f>
        <v>1904148.1000093953</v>
      </c>
      <c r="CP21" s="445">
        <f>Scenarios!BD22</f>
        <v>259656.55909219023</v>
      </c>
      <c r="CQ21" s="449">
        <f>Scenarios!AV22</f>
        <v>29400000</v>
      </c>
      <c r="CR21" s="448">
        <f t="shared" si="70"/>
        <v>2587438557.3853493</v>
      </c>
      <c r="CS21" s="445">
        <f t="shared" si="60"/>
        <v>102823997.40050735</v>
      </c>
      <c r="CT21" s="445">
        <f t="shared" si="36"/>
        <v>0</v>
      </c>
      <c r="CU21" s="445">
        <f t="shared" si="37"/>
        <v>2690262554.7858567</v>
      </c>
      <c r="CV21" s="454">
        <f t="shared" si="38"/>
        <v>91.505529074348871</v>
      </c>
      <c r="CW21" s="463">
        <f t="shared" si="39"/>
        <v>35.901183488489366</v>
      </c>
      <c r="CY21" s="448">
        <f t="shared" si="40"/>
        <v>27236195.340898413</v>
      </c>
      <c r="CZ21" s="445">
        <v>0</v>
      </c>
      <c r="DA21" s="445">
        <f>Scenarios!BI22</f>
        <v>2163804.6591015854</v>
      </c>
      <c r="DB21" s="449">
        <f>Scenarios!AV22</f>
        <v>29400000</v>
      </c>
      <c r="DC21" s="448">
        <f t="shared" si="71"/>
        <v>2587438557.3853493</v>
      </c>
      <c r="DD21" s="445">
        <f t="shared" si="62"/>
        <v>0</v>
      </c>
      <c r="DE21" s="445">
        <f t="shared" si="41"/>
        <v>0</v>
      </c>
      <c r="DF21" s="445">
        <f t="shared" si="42"/>
        <v>2587438557.3853493</v>
      </c>
      <c r="DG21" s="454">
        <f t="shared" si="43"/>
        <v>88.008114196780582</v>
      </c>
      <c r="DH21" s="463">
        <f t="shared" si="44"/>
        <v>34.529011396539254</v>
      </c>
    </row>
    <row r="22" spans="13:112">
      <c r="M22" s="360">
        <v>2033</v>
      </c>
      <c r="N22" s="429"/>
      <c r="O22" s="448">
        <f t="shared" si="1"/>
        <v>33949761.173690118</v>
      </c>
      <c r="P22" s="445">
        <f>SUM(Scenarios!J23)</f>
        <v>3346763.8516159677</v>
      </c>
      <c r="Q22" s="445">
        <f>Scenarios!H23</f>
        <v>401611.66219391604</v>
      </c>
      <c r="R22" s="449">
        <f>Scenarios!E23</f>
        <v>37698136.6875</v>
      </c>
      <c r="S22" s="448">
        <f t="shared" si="63"/>
        <v>3225227311.5005612</v>
      </c>
      <c r="T22" s="445">
        <f t="shared" si="46"/>
        <v>180725247.98726225</v>
      </c>
      <c r="U22" s="445">
        <f t="shared" si="2"/>
        <v>0</v>
      </c>
      <c r="V22" s="445">
        <f t="shared" si="3"/>
        <v>3405952559.4878235</v>
      </c>
      <c r="W22" s="454">
        <f t="shared" si="4"/>
        <v>90.348034644830975</v>
      </c>
      <c r="X22" s="463">
        <f t="shared" si="0"/>
        <v>45.451968089038658</v>
      </c>
      <c r="Z22" s="448">
        <f t="shared" si="5"/>
        <v>33928323.018749952</v>
      </c>
      <c r="AA22" s="445">
        <f>SUM(Scenarios!O23)</f>
        <v>3317436.0285000443</v>
      </c>
      <c r="AB22" s="445">
        <f>Scenarios!M23</f>
        <v>452377.64025000611</v>
      </c>
      <c r="AC22" s="449">
        <f>Scenarios!E23</f>
        <v>37698136.6875</v>
      </c>
      <c r="AD22" s="448">
        <f t="shared" si="64"/>
        <v>3223190686.7812452</v>
      </c>
      <c r="AE22" s="445">
        <f t="shared" si="48"/>
        <v>179141545.53900239</v>
      </c>
      <c r="AF22" s="445">
        <f t="shared" si="6"/>
        <v>0</v>
      </c>
      <c r="AG22" s="445">
        <f t="shared" si="7"/>
        <v>3402332232.3202477</v>
      </c>
      <c r="AH22" s="454">
        <f t="shared" si="8"/>
        <v>90.251999999999938</v>
      </c>
      <c r="AI22" s="463">
        <f t="shared" si="9"/>
        <v>45.403655321312584</v>
      </c>
      <c r="AK22" s="448">
        <f t="shared" si="10"/>
        <v>33928323.018749952</v>
      </c>
      <c r="AL22" s="445">
        <v>0</v>
      </c>
      <c r="AM22" s="445">
        <f>Scenarios!R23</f>
        <v>3769813.6687500509</v>
      </c>
      <c r="AN22" s="449">
        <f>Scenarios!E23</f>
        <v>37698136.6875</v>
      </c>
      <c r="AO22" s="448">
        <f t="shared" si="65"/>
        <v>3223190686.7812452</v>
      </c>
      <c r="AP22" s="445">
        <f t="shared" si="50"/>
        <v>0</v>
      </c>
      <c r="AQ22" s="445">
        <f t="shared" si="11"/>
        <v>0</v>
      </c>
      <c r="AR22" s="445">
        <f t="shared" si="12"/>
        <v>3223190686.7812452</v>
      </c>
      <c r="AS22" s="454">
        <f t="shared" si="13"/>
        <v>85.499999999999872</v>
      </c>
      <c r="AT22" s="463">
        <f t="shared" si="14"/>
        <v>43.013036054294901</v>
      </c>
      <c r="AV22" s="448">
        <f t="shared" si="15"/>
        <v>30771674.397915006</v>
      </c>
      <c r="AW22" s="445">
        <f>SUM(Scenarios!AF23)</f>
        <v>3033468.3947187434</v>
      </c>
      <c r="AX22" s="445">
        <f>Scenarios!AD23</f>
        <v>364016.20736624917</v>
      </c>
      <c r="AY22" s="449">
        <f>Scenarios!AA23</f>
        <v>34169159</v>
      </c>
      <c r="AZ22" s="448">
        <f t="shared" si="66"/>
        <v>2923309067.8019257</v>
      </c>
      <c r="BA22" s="445">
        <f t="shared" si="52"/>
        <v>163807293.31481215</v>
      </c>
      <c r="BB22" s="445">
        <f t="shared" si="16"/>
        <v>0</v>
      </c>
      <c r="BC22" s="445">
        <f t="shared" si="17"/>
        <v>3087116361.1167378</v>
      </c>
      <c r="BD22" s="454">
        <f t="shared" si="18"/>
        <v>90.34803464483096</v>
      </c>
      <c r="BE22" s="463">
        <f t="shared" si="19"/>
        <v>41.197142908451809</v>
      </c>
      <c r="BG22" s="448">
        <f t="shared" si="20"/>
        <v>30752243.099999953</v>
      </c>
      <c r="BH22" s="445">
        <f>SUM(Scenarios!AK23)</f>
        <v>3006885.9920000406</v>
      </c>
      <c r="BI22" s="445">
        <f>Scenarios!AI23</f>
        <v>410029.90800000553</v>
      </c>
      <c r="BJ22" s="449">
        <f>Scenarios!AA23</f>
        <v>34169159</v>
      </c>
      <c r="BK22" s="448">
        <f t="shared" si="67"/>
        <v>2921463094.4999957</v>
      </c>
      <c r="BL22" s="445">
        <f t="shared" si="54"/>
        <v>162371843.56800219</v>
      </c>
      <c r="BM22" s="445">
        <f t="shared" si="21"/>
        <v>0</v>
      </c>
      <c r="BN22" s="445">
        <f t="shared" si="22"/>
        <v>3083834938.0679979</v>
      </c>
      <c r="BO22" s="454">
        <f t="shared" si="23"/>
        <v>90.251999999999938</v>
      </c>
      <c r="BP22" s="463">
        <f t="shared" si="24"/>
        <v>41.153352769542657</v>
      </c>
      <c r="BR22" s="448">
        <f t="shared" si="25"/>
        <v>30752243.099999953</v>
      </c>
      <c r="BS22" s="445">
        <v>0</v>
      </c>
      <c r="BT22" s="445">
        <f>Scenarios!AN23</f>
        <v>3416915.900000046</v>
      </c>
      <c r="BU22" s="449">
        <f>Scenarios!AA23</f>
        <v>34169159</v>
      </c>
      <c r="BV22" s="448">
        <f t="shared" si="68"/>
        <v>2921463094.4999957</v>
      </c>
      <c r="BW22" s="445">
        <f t="shared" si="56"/>
        <v>0</v>
      </c>
      <c r="BX22" s="445">
        <f t="shared" si="26"/>
        <v>0</v>
      </c>
      <c r="BY22" s="445">
        <f t="shared" si="27"/>
        <v>2921463094.4999957</v>
      </c>
      <c r="BZ22" s="454">
        <f t="shared" si="28"/>
        <v>85.499999999999872</v>
      </c>
      <c r="CA22" s="463">
        <f t="shared" si="29"/>
        <v>38.986522867037792</v>
      </c>
      <c r="CC22" s="448">
        <f t="shared" si="30"/>
        <v>25756264.231740944</v>
      </c>
      <c r="CD22" s="445">
        <f>SUM(Scenarios!BA23)</f>
        <v>2539049.7930884417</v>
      </c>
      <c r="CE22" s="445">
        <f>Scenarios!AY23</f>
        <v>304685.97517061298</v>
      </c>
      <c r="CF22" s="449">
        <f>Scenarios!AV23</f>
        <v>28600000</v>
      </c>
      <c r="CG22" s="448">
        <f t="shared" si="69"/>
        <v>2446845102.0153899</v>
      </c>
      <c r="CH22" s="445">
        <f t="shared" si="58"/>
        <v>137108688.82677585</v>
      </c>
      <c r="CI22" s="445">
        <f t="shared" si="31"/>
        <v>0</v>
      </c>
      <c r="CJ22" s="445">
        <f t="shared" si="32"/>
        <v>2583953790.8421659</v>
      </c>
      <c r="CK22" s="454">
        <f t="shared" si="33"/>
        <v>90.348034644830975</v>
      </c>
      <c r="CL22" s="463">
        <f t="shared" si="34"/>
        <v>34.482507666686267</v>
      </c>
      <c r="CN22" s="448">
        <f t="shared" si="35"/>
        <v>25739999.999999963</v>
      </c>
      <c r="CO22" s="445">
        <f>SUM(Scenarios!BF23)</f>
        <v>2516800.0000000335</v>
      </c>
      <c r="CP22" s="445">
        <f>Scenarios!BD23</f>
        <v>343200.0000000046</v>
      </c>
      <c r="CQ22" s="449">
        <f>Scenarios!AV23</f>
        <v>28600000</v>
      </c>
      <c r="CR22" s="448">
        <f t="shared" si="70"/>
        <v>2445299999.9999967</v>
      </c>
      <c r="CS22" s="445">
        <f t="shared" si="60"/>
        <v>135907200.00000182</v>
      </c>
      <c r="CT22" s="445">
        <f t="shared" si="36"/>
        <v>0</v>
      </c>
      <c r="CU22" s="445">
        <f t="shared" si="37"/>
        <v>2581207199.9999986</v>
      </c>
      <c r="CV22" s="454">
        <f t="shared" si="38"/>
        <v>90.251999999999953</v>
      </c>
      <c r="CW22" s="463">
        <f t="shared" si="39"/>
        <v>34.445854789956059</v>
      </c>
      <c r="CY22" s="448">
        <f t="shared" si="40"/>
        <v>25739999.999999963</v>
      </c>
      <c r="CZ22" s="445">
        <v>0</v>
      </c>
      <c r="DA22" s="445">
        <f>Scenarios!BI23</f>
        <v>2860000.0000000386</v>
      </c>
      <c r="DB22" s="449">
        <f>Scenarios!AV23</f>
        <v>28600000</v>
      </c>
      <c r="DC22" s="448">
        <f t="shared" si="71"/>
        <v>2445299999.9999967</v>
      </c>
      <c r="DD22" s="445">
        <f t="shared" si="62"/>
        <v>0</v>
      </c>
      <c r="DE22" s="445">
        <f t="shared" si="41"/>
        <v>0</v>
      </c>
      <c r="DF22" s="445">
        <f t="shared" si="42"/>
        <v>2445299999.9999967</v>
      </c>
      <c r="DG22" s="454">
        <f t="shared" si="43"/>
        <v>85.499999999999886</v>
      </c>
      <c r="DH22" s="463">
        <f t="shared" si="44"/>
        <v>32.632191913101543</v>
      </c>
    </row>
    <row r="23" spans="13:112">
      <c r="M23" s="360">
        <v>2034</v>
      </c>
      <c r="N23" s="429"/>
      <c r="O23" s="448">
        <f t="shared" si="1"/>
        <v>33985355.267889485</v>
      </c>
      <c r="P23" s="445">
        <f>SUM(Scenarios!J24)</f>
        <v>3674631.3456343845</v>
      </c>
      <c r="Q23" s="445">
        <f>Scenarios!H24</f>
        <v>440955.76147612609</v>
      </c>
      <c r="R23" s="449">
        <f>Scenarios!E24</f>
        <v>38100942.375</v>
      </c>
      <c r="S23" s="448">
        <f t="shared" si="63"/>
        <v>3228608750.449501</v>
      </c>
      <c r="T23" s="445">
        <f t="shared" si="46"/>
        <v>198430092.66425675</v>
      </c>
      <c r="U23" s="445">
        <f t="shared" si="2"/>
        <v>0</v>
      </c>
      <c r="V23" s="445">
        <f t="shared" si="3"/>
        <v>3427038843.1137576</v>
      </c>
      <c r="W23" s="454">
        <f t="shared" si="4"/>
        <v>89.946301311497621</v>
      </c>
      <c r="X23" s="463">
        <f t="shared" si="0"/>
        <v>45.733361641574369</v>
      </c>
      <c r="Z23" s="448">
        <f t="shared" si="5"/>
        <v>32976486.565884992</v>
      </c>
      <c r="AA23" s="445">
        <f>SUM(Scenarios!O24)</f>
        <v>4509521.1120212087</v>
      </c>
      <c r="AB23" s="445">
        <f>Scenarios!M24</f>
        <v>614934.69709380111</v>
      </c>
      <c r="AC23" s="449">
        <f>Scenarios!E24</f>
        <v>38100942.375</v>
      </c>
      <c r="AD23" s="448">
        <f t="shared" si="64"/>
        <v>3132766223.7590742</v>
      </c>
      <c r="AE23" s="445">
        <f t="shared" si="48"/>
        <v>243514140.04914528</v>
      </c>
      <c r="AF23" s="445">
        <f t="shared" si="6"/>
        <v>0</v>
      </c>
      <c r="AG23" s="445">
        <f t="shared" si="7"/>
        <v>3376280363.8082194</v>
      </c>
      <c r="AH23" s="454">
        <f t="shared" si="8"/>
        <v>88.614090711403819</v>
      </c>
      <c r="AI23" s="463">
        <f t="shared" si="9"/>
        <v>45.055996721967148</v>
      </c>
      <c r="AK23" s="448">
        <f t="shared" si="10"/>
        <v>32976486.565884992</v>
      </c>
      <c r="AL23" s="445">
        <v>0</v>
      </c>
      <c r="AM23" s="445">
        <f>Scenarios!R24</f>
        <v>5124455.8091150094</v>
      </c>
      <c r="AN23" s="449">
        <f>Scenarios!E24</f>
        <v>38100942.375</v>
      </c>
      <c r="AO23" s="448">
        <f t="shared" si="65"/>
        <v>3132766223.7590742</v>
      </c>
      <c r="AP23" s="445">
        <f t="shared" si="50"/>
        <v>0</v>
      </c>
      <c r="AQ23" s="445">
        <f t="shared" si="11"/>
        <v>0</v>
      </c>
      <c r="AR23" s="445">
        <f t="shared" si="12"/>
        <v>3132766223.7590742</v>
      </c>
      <c r="AS23" s="454">
        <f t="shared" si="13"/>
        <v>82.222801549775951</v>
      </c>
      <c r="AT23" s="463">
        <f t="shared" si="14"/>
        <v>41.806334041871615</v>
      </c>
      <c r="AV23" s="448">
        <f t="shared" si="15"/>
        <v>30621912.86678122</v>
      </c>
      <c r="AW23" s="445">
        <f>SUM(Scenarios!AF24)</f>
        <v>3310962.6189453392</v>
      </c>
      <c r="AX23" s="445">
        <f>Scenarios!AD24</f>
        <v>397315.51427344058</v>
      </c>
      <c r="AY23" s="449">
        <f>Scenarios!AA24</f>
        <v>34330191</v>
      </c>
      <c r="AZ23" s="448">
        <f t="shared" si="66"/>
        <v>2909081722.3442159</v>
      </c>
      <c r="BA23" s="445">
        <f t="shared" si="52"/>
        <v>178791981.42304832</v>
      </c>
      <c r="BB23" s="445">
        <f t="shared" si="16"/>
        <v>0</v>
      </c>
      <c r="BC23" s="445">
        <f t="shared" si="17"/>
        <v>3087873703.7672644</v>
      </c>
      <c r="BD23" s="454">
        <f t="shared" si="18"/>
        <v>89.946301311497635</v>
      </c>
      <c r="BE23" s="463">
        <f t="shared" si="19"/>
        <v>41.207249541877552</v>
      </c>
      <c r="BG23" s="448">
        <f t="shared" si="20"/>
        <v>29712889.281672675</v>
      </c>
      <c r="BH23" s="445">
        <f>SUM(Scenarios!AK24)</f>
        <v>4063225.5121280444</v>
      </c>
      <c r="BI23" s="445">
        <f>Scenarios!AI24</f>
        <v>554076.20619927871</v>
      </c>
      <c r="BJ23" s="449">
        <f>Scenarios!AA24</f>
        <v>34330191</v>
      </c>
      <c r="BK23" s="448">
        <f t="shared" si="67"/>
        <v>2822724481.758904</v>
      </c>
      <c r="BL23" s="445">
        <f t="shared" si="54"/>
        <v>219414177.65491441</v>
      </c>
      <c r="BM23" s="445">
        <f t="shared" si="21"/>
        <v>0</v>
      </c>
      <c r="BN23" s="445">
        <f t="shared" si="22"/>
        <v>3042138659.4138184</v>
      </c>
      <c r="BO23" s="454">
        <f t="shared" si="23"/>
        <v>88.614090711403804</v>
      </c>
      <c r="BP23" s="463">
        <f t="shared" si="24"/>
        <v>40.596921670247951</v>
      </c>
      <c r="BR23" s="448">
        <f t="shared" si="25"/>
        <v>29712889.281672679</v>
      </c>
      <c r="BS23" s="445">
        <v>0</v>
      </c>
      <c r="BT23" s="445">
        <f>Scenarios!AN24</f>
        <v>4617301.718327323</v>
      </c>
      <c r="BU23" s="449">
        <f>Scenarios!AA24</f>
        <v>34330191</v>
      </c>
      <c r="BV23" s="448">
        <f t="shared" si="68"/>
        <v>2822724481.7589045</v>
      </c>
      <c r="BW23" s="445">
        <f t="shared" si="56"/>
        <v>0</v>
      </c>
      <c r="BX23" s="445">
        <f t="shared" si="26"/>
        <v>0</v>
      </c>
      <c r="BY23" s="445">
        <f t="shared" si="27"/>
        <v>2822724481.7589045</v>
      </c>
      <c r="BZ23" s="454">
        <f t="shared" si="28"/>
        <v>82.222801549775951</v>
      </c>
      <c r="CA23" s="463">
        <f t="shared" si="29"/>
        <v>37.66886967102883</v>
      </c>
      <c r="CC23" s="448">
        <f t="shared" si="30"/>
        <v>24797099.954862412</v>
      </c>
      <c r="CD23" s="445">
        <f>SUM(Scenarios!BA24)</f>
        <v>2681160.7545871339</v>
      </c>
      <c r="CE23" s="445">
        <f>Scenarios!AY24</f>
        <v>321739.29055045597</v>
      </c>
      <c r="CF23" s="449">
        <f>Scenarios!AV24</f>
        <v>27800000</v>
      </c>
      <c r="CG23" s="448">
        <f t="shared" si="69"/>
        <v>2355724495.7119293</v>
      </c>
      <c r="CH23" s="445">
        <f t="shared" si="58"/>
        <v>144782680.74770522</v>
      </c>
      <c r="CI23" s="445">
        <f t="shared" si="31"/>
        <v>0</v>
      </c>
      <c r="CJ23" s="445">
        <f t="shared" si="32"/>
        <v>2500507176.4596348</v>
      </c>
      <c r="CK23" s="454">
        <f t="shared" si="33"/>
        <v>89.946301311497649</v>
      </c>
      <c r="CL23" s="463">
        <f t="shared" si="34"/>
        <v>33.368924083882789</v>
      </c>
      <c r="CN23" s="448">
        <f t="shared" si="35"/>
        <v>24060988.242987067</v>
      </c>
      <c r="CO23" s="445">
        <f>SUM(Scenarios!BF24)</f>
        <v>3290330.346171381</v>
      </c>
      <c r="CP23" s="445">
        <f>Scenarios!BD24</f>
        <v>448681.41084155196</v>
      </c>
      <c r="CQ23" s="449">
        <f>Scenarios!AV24</f>
        <v>27800000</v>
      </c>
      <c r="CR23" s="448">
        <f t="shared" si="70"/>
        <v>2285793883.0837712</v>
      </c>
      <c r="CS23" s="445">
        <f t="shared" si="60"/>
        <v>177677838.69325456</v>
      </c>
      <c r="CT23" s="445">
        <f t="shared" si="36"/>
        <v>0</v>
      </c>
      <c r="CU23" s="445">
        <f t="shared" si="37"/>
        <v>2463471721.7770257</v>
      </c>
      <c r="CV23" s="454">
        <f t="shared" si="38"/>
        <v>88.614090711403804</v>
      </c>
      <c r="CW23" s="463">
        <f t="shared" si="39"/>
        <v>32.87469103894275</v>
      </c>
      <c r="CY23" s="448">
        <f t="shared" si="40"/>
        <v>24060988.242987067</v>
      </c>
      <c r="CZ23" s="445">
        <v>0</v>
      </c>
      <c r="DA23" s="445">
        <f>Scenarios!BI24</f>
        <v>3739011.7570129326</v>
      </c>
      <c r="DB23" s="449">
        <f>Scenarios!AV24</f>
        <v>27800000</v>
      </c>
      <c r="DC23" s="448">
        <f t="shared" si="71"/>
        <v>2285793883.0837712</v>
      </c>
      <c r="DD23" s="445">
        <f t="shared" si="62"/>
        <v>0</v>
      </c>
      <c r="DE23" s="445">
        <f t="shared" si="41"/>
        <v>0</v>
      </c>
      <c r="DF23" s="445">
        <f t="shared" si="42"/>
        <v>2285793883.0837712</v>
      </c>
      <c r="DG23" s="454">
        <f t="shared" si="43"/>
        <v>82.222801549775937</v>
      </c>
      <c r="DH23" s="463">
        <f t="shared" si="44"/>
        <v>30.503604738307494</v>
      </c>
    </row>
    <row r="24" spans="13:112">
      <c r="M24" s="360">
        <v>2035</v>
      </c>
      <c r="N24" s="429"/>
      <c r="O24" s="448">
        <f t="shared" si="1"/>
        <v>33999657.113138862</v>
      </c>
      <c r="P24" s="445">
        <f>SUM(Scenarios!J25)</f>
        <v>4021509.7762153014</v>
      </c>
      <c r="Q24" s="445">
        <f>Scenarios!H25</f>
        <v>482581.17314583616</v>
      </c>
      <c r="R24" s="449">
        <f>Scenarios!E25</f>
        <v>38503748.0625</v>
      </c>
      <c r="S24" s="448">
        <f t="shared" si="63"/>
        <v>3229967425.7481918</v>
      </c>
      <c r="T24" s="445">
        <f t="shared" si="46"/>
        <v>217161527.91562629</v>
      </c>
      <c r="U24" s="445">
        <f t="shared" si="2"/>
        <v>0</v>
      </c>
      <c r="V24" s="445">
        <f t="shared" si="3"/>
        <v>3447128953.6638184</v>
      </c>
      <c r="W24" s="454">
        <f t="shared" si="4"/>
        <v>89.527101311497631</v>
      </c>
      <c r="X24" s="463">
        <f t="shared" si="0"/>
        <v>46.001461401532239</v>
      </c>
      <c r="Z24" s="448">
        <f t="shared" si="5"/>
        <v>31629547.123032756</v>
      </c>
      <c r="AA24" s="445">
        <f>SUM(Scenarios!O25)</f>
        <v>6049296.8267311752</v>
      </c>
      <c r="AB24" s="445">
        <f>Scenarios!M25</f>
        <v>824904.11273606936</v>
      </c>
      <c r="AC24" s="449">
        <f>Scenarios!E25</f>
        <v>38503748.0625</v>
      </c>
      <c r="AD24" s="448">
        <f t="shared" si="64"/>
        <v>3004806976.6881118</v>
      </c>
      <c r="AE24" s="445">
        <f t="shared" si="48"/>
        <v>326662028.64348346</v>
      </c>
      <c r="AF24" s="445">
        <f t="shared" si="6"/>
        <v>0</v>
      </c>
      <c r="AG24" s="445">
        <f t="shared" si="7"/>
        <v>3331469005.3315954</v>
      </c>
      <c r="AH24" s="454">
        <f t="shared" si="8"/>
        <v>86.523239242161381</v>
      </c>
      <c r="AI24" s="463">
        <f t="shared" si="9"/>
        <v>44.457995311221637</v>
      </c>
      <c r="AK24" s="448">
        <f t="shared" si="10"/>
        <v>31629547.123032756</v>
      </c>
      <c r="AL24" s="445">
        <v>0</v>
      </c>
      <c r="AM24" s="445">
        <f>Scenarios!R25</f>
        <v>6874200.9394672448</v>
      </c>
      <c r="AN24" s="449">
        <f>Scenarios!E25</f>
        <v>38503748.0625</v>
      </c>
      <c r="AO24" s="448">
        <f t="shared" si="65"/>
        <v>3004806976.6881118</v>
      </c>
      <c r="AP24" s="445">
        <f t="shared" si="50"/>
        <v>0</v>
      </c>
      <c r="AQ24" s="445">
        <f t="shared" si="11"/>
        <v>0</v>
      </c>
      <c r="AR24" s="445">
        <f t="shared" si="12"/>
        <v>3004806976.6881118</v>
      </c>
      <c r="AS24" s="454">
        <f t="shared" si="13"/>
        <v>78.03933715259754</v>
      </c>
      <c r="AT24" s="463">
        <f t="shared" si="14"/>
        <v>40.098735502847525</v>
      </c>
      <c r="AV24" s="448">
        <f t="shared" si="15"/>
        <v>30456510.664588131</v>
      </c>
      <c r="AW24" s="445">
        <f>SUM(Scenarios!AF25)</f>
        <v>3602423.2532543689</v>
      </c>
      <c r="AX24" s="445">
        <f>Scenarios!AD25</f>
        <v>432290.79039052426</v>
      </c>
      <c r="AY24" s="449">
        <f>Scenarios!AA25</f>
        <v>34491224.708233021</v>
      </c>
      <c r="AZ24" s="448">
        <f t="shared" si="66"/>
        <v>2893368513.1358724</v>
      </c>
      <c r="BA24" s="445">
        <f t="shared" si="52"/>
        <v>194530855.67573592</v>
      </c>
      <c r="BB24" s="445">
        <f t="shared" si="16"/>
        <v>0</v>
      </c>
      <c r="BC24" s="445">
        <f t="shared" si="17"/>
        <v>3087899368.8116083</v>
      </c>
      <c r="BD24" s="454">
        <f t="shared" si="18"/>
        <v>89.527101311497645</v>
      </c>
      <c r="BE24" s="463">
        <f t="shared" si="19"/>
        <v>41.207592038361618</v>
      </c>
      <c r="BG24" s="448">
        <f t="shared" si="20"/>
        <v>28333392.776966311</v>
      </c>
      <c r="BH24" s="445">
        <f>SUM(Scenarios!AK25)</f>
        <v>5418892.0995147061</v>
      </c>
      <c r="BI24" s="445">
        <f>Scenarios!AI25</f>
        <v>738939.83175200538</v>
      </c>
      <c r="BJ24" s="449">
        <f>Scenarios!AA25</f>
        <v>34491224.708233021</v>
      </c>
      <c r="BK24" s="448">
        <f t="shared" si="67"/>
        <v>2691672313.8117995</v>
      </c>
      <c r="BL24" s="445">
        <f t="shared" si="54"/>
        <v>292620173.37379414</v>
      </c>
      <c r="BM24" s="445">
        <f t="shared" si="21"/>
        <v>0</v>
      </c>
      <c r="BN24" s="445">
        <f t="shared" si="22"/>
        <v>2984292487.1855936</v>
      </c>
      <c r="BO24" s="454">
        <f t="shared" si="23"/>
        <v>86.523239242161381</v>
      </c>
      <c r="BP24" s="463">
        <f t="shared" si="24"/>
        <v>39.824972464183354</v>
      </c>
      <c r="BR24" s="448">
        <f t="shared" si="25"/>
        <v>28333392.776966311</v>
      </c>
      <c r="BS24" s="445">
        <v>0</v>
      </c>
      <c r="BT24" s="445">
        <f>Scenarios!AN25</f>
        <v>6157831.9312667111</v>
      </c>
      <c r="BU24" s="449">
        <f>Scenarios!AA25</f>
        <v>34491224.708233021</v>
      </c>
      <c r="BV24" s="448">
        <f t="shared" si="68"/>
        <v>2691672313.8117995</v>
      </c>
      <c r="BW24" s="445">
        <f t="shared" si="56"/>
        <v>0</v>
      </c>
      <c r="BX24" s="445">
        <f t="shared" si="26"/>
        <v>0</v>
      </c>
      <c r="BY24" s="445">
        <f t="shared" si="27"/>
        <v>2691672313.8117995</v>
      </c>
      <c r="BZ24" s="454">
        <f t="shared" si="28"/>
        <v>78.03933715259754</v>
      </c>
      <c r="CA24" s="463">
        <f t="shared" si="29"/>
        <v>35.919996528642237</v>
      </c>
      <c r="CC24" s="448">
        <f t="shared" si="30"/>
        <v>23841594.344650544</v>
      </c>
      <c r="CD24" s="445">
        <f>SUM(Scenarios!BA25)</f>
        <v>2820005.0494191581</v>
      </c>
      <c r="CE24" s="445">
        <f>Scenarios!AY25</f>
        <v>338400.60593029897</v>
      </c>
      <c r="CF24" s="449">
        <f>Scenarios!AV25</f>
        <v>27000000</v>
      </c>
      <c r="CG24" s="448">
        <f t="shared" si="69"/>
        <v>2264951462.7418017</v>
      </c>
      <c r="CH24" s="445">
        <f t="shared" si="58"/>
        <v>152280272.66863453</v>
      </c>
      <c r="CI24" s="445">
        <f t="shared" si="31"/>
        <v>0</v>
      </c>
      <c r="CJ24" s="445">
        <f t="shared" si="32"/>
        <v>2417231735.4104362</v>
      </c>
      <c r="CK24" s="454">
        <f t="shared" si="33"/>
        <v>89.527101311497631</v>
      </c>
      <c r="CL24" s="463">
        <f t="shared" si="34"/>
        <v>32.257624785651231</v>
      </c>
      <c r="CN24" s="448">
        <f t="shared" si="35"/>
        <v>22179601.085475091</v>
      </c>
      <c r="CO24" s="445">
        <f>SUM(Scenarios!BF25)</f>
        <v>4241951.0447819205</v>
      </c>
      <c r="CP24" s="445">
        <f>Scenarios!BD25</f>
        <v>578447.86974298919</v>
      </c>
      <c r="CQ24" s="449">
        <f>Scenarios!AV25</f>
        <v>27000000</v>
      </c>
      <c r="CR24" s="448">
        <f t="shared" si="70"/>
        <v>2107062103.1201336</v>
      </c>
      <c r="CS24" s="445">
        <f t="shared" si="60"/>
        <v>229065356.41822371</v>
      </c>
      <c r="CT24" s="445">
        <f t="shared" si="36"/>
        <v>0</v>
      </c>
      <c r="CU24" s="445">
        <f t="shared" si="37"/>
        <v>2336127459.5383573</v>
      </c>
      <c r="CV24" s="454">
        <f t="shared" si="38"/>
        <v>86.523239242161381</v>
      </c>
      <c r="CW24" s="463">
        <f t="shared" si="39"/>
        <v>31.17529938785513</v>
      </c>
      <c r="CY24" s="448">
        <f t="shared" si="40"/>
        <v>22179601.085475091</v>
      </c>
      <c r="CZ24" s="445">
        <v>0</v>
      </c>
      <c r="DA24" s="445">
        <f>Scenarios!BI25</f>
        <v>4820398.91452491</v>
      </c>
      <c r="DB24" s="449">
        <f>Scenarios!AV25</f>
        <v>27000000</v>
      </c>
      <c r="DC24" s="448">
        <f t="shared" si="71"/>
        <v>2107062103.1201336</v>
      </c>
      <c r="DD24" s="445">
        <f t="shared" si="62"/>
        <v>0</v>
      </c>
      <c r="DE24" s="445">
        <f t="shared" si="41"/>
        <v>0</v>
      </c>
      <c r="DF24" s="445">
        <f t="shared" si="42"/>
        <v>2107062103.1201336</v>
      </c>
      <c r="DG24" s="454">
        <f t="shared" si="43"/>
        <v>78.03933715259754</v>
      </c>
      <c r="DH24" s="463">
        <f t="shared" si="44"/>
        <v>28.11845373649027</v>
      </c>
    </row>
    <row r="25" spans="13:112">
      <c r="M25" s="360">
        <v>2036</v>
      </c>
      <c r="N25" s="429"/>
      <c r="O25" s="448">
        <f t="shared" si="1"/>
        <v>33992215.567068234</v>
      </c>
      <c r="P25" s="445">
        <f>SUM(Scenarios!J26)</f>
        <v>4387801.9490462188</v>
      </c>
      <c r="Q25" s="445">
        <f>Scenarios!H26</f>
        <v>526536.23388554621</v>
      </c>
      <c r="R25" s="449">
        <f>Scenarios!E26</f>
        <v>38906553.75</v>
      </c>
      <c r="S25" s="448">
        <f t="shared" si="63"/>
        <v>3229260478.8714824</v>
      </c>
      <c r="T25" s="445">
        <f t="shared" si="46"/>
        <v>236941305.24849582</v>
      </c>
      <c r="U25" s="445">
        <f t="shared" si="2"/>
        <v>0</v>
      </c>
      <c r="V25" s="445">
        <f t="shared" si="3"/>
        <v>3466201784.119978</v>
      </c>
      <c r="W25" s="454">
        <f t="shared" si="4"/>
        <v>89.090434644830964</v>
      </c>
      <c r="X25" s="463">
        <f t="shared" si="0"/>
        <v>46.255985698662023</v>
      </c>
      <c r="Z25" s="448">
        <f t="shared" si="5"/>
        <v>29837250.415324766</v>
      </c>
      <c r="AA25" s="445">
        <f>SUM(Scenarios!O26)</f>
        <v>7980986.9345142068</v>
      </c>
      <c r="AB25" s="445">
        <f>Scenarios!M26</f>
        <v>1088316.4001610281</v>
      </c>
      <c r="AC25" s="449">
        <f>Scenarios!E26</f>
        <v>38906553.75</v>
      </c>
      <c r="AD25" s="448">
        <f t="shared" si="64"/>
        <v>2834538789.455853</v>
      </c>
      <c r="AE25" s="445">
        <f t="shared" si="48"/>
        <v>430973294.46376717</v>
      </c>
      <c r="AF25" s="445">
        <f t="shared" si="6"/>
        <v>0</v>
      </c>
      <c r="AG25" s="445">
        <f t="shared" si="7"/>
        <v>3265512083.91962</v>
      </c>
      <c r="AH25" s="454">
        <f t="shared" si="8"/>
        <v>83.932185433401955</v>
      </c>
      <c r="AI25" s="463">
        <f t="shared" si="9"/>
        <v>43.577809273715843</v>
      </c>
      <c r="AK25" s="448">
        <f t="shared" si="10"/>
        <v>29837250.415324762</v>
      </c>
      <c r="AL25" s="445">
        <v>0</v>
      </c>
      <c r="AM25" s="445">
        <f>Scenarios!R26</f>
        <v>9069303.3346752357</v>
      </c>
      <c r="AN25" s="449">
        <f>Scenarios!E26</f>
        <v>38906553.75</v>
      </c>
      <c r="AO25" s="448">
        <f t="shared" si="65"/>
        <v>2834538789.4558525</v>
      </c>
      <c r="AP25" s="445">
        <f t="shared" si="50"/>
        <v>0</v>
      </c>
      <c r="AQ25" s="445">
        <f t="shared" si="11"/>
        <v>0</v>
      </c>
      <c r="AR25" s="445">
        <f t="shared" si="12"/>
        <v>2834538789.4558525</v>
      </c>
      <c r="AS25" s="454">
        <f t="shared" si="13"/>
        <v>72.855046675930595</v>
      </c>
      <c r="AT25" s="463">
        <f t="shared" si="14"/>
        <v>37.826529981046924</v>
      </c>
      <c r="AV25" s="448">
        <f t="shared" si="15"/>
        <v>30293143.727947265</v>
      </c>
      <c r="AW25" s="445">
        <f>SUM(Scenarios!AF26)</f>
        <v>3910316.3143327986</v>
      </c>
      <c r="AX25" s="445">
        <f>Scenarios!AD26</f>
        <v>469237.9577199358</v>
      </c>
      <c r="AY25" s="449">
        <f>Scenarios!AA26</f>
        <v>34672698</v>
      </c>
      <c r="AZ25" s="448">
        <f t="shared" si="66"/>
        <v>2877848654.1549902</v>
      </c>
      <c r="BA25" s="445">
        <f t="shared" si="52"/>
        <v>211157080.97397113</v>
      </c>
      <c r="BB25" s="445">
        <f t="shared" si="16"/>
        <v>0</v>
      </c>
      <c r="BC25" s="445">
        <f t="shared" si="17"/>
        <v>3089005735.1289616</v>
      </c>
      <c r="BD25" s="454">
        <f t="shared" si="18"/>
        <v>89.090434644830978</v>
      </c>
      <c r="BE25" s="463">
        <f t="shared" si="19"/>
        <v>41.222356344579289</v>
      </c>
      <c r="BG25" s="448">
        <f t="shared" si="20"/>
        <v>26590326.643899426</v>
      </c>
      <c r="BH25" s="445">
        <f>SUM(Scenarios!AK26)</f>
        <v>7112486.7933685044</v>
      </c>
      <c r="BI25" s="445">
        <f>Scenarios!AI26</f>
        <v>969884.56273206871</v>
      </c>
      <c r="BJ25" s="449">
        <f>Scenarios!AA26</f>
        <v>34672698</v>
      </c>
      <c r="BK25" s="448">
        <f t="shared" si="67"/>
        <v>2526081031.1704454</v>
      </c>
      <c r="BL25" s="445">
        <f t="shared" si="54"/>
        <v>384074286.84189922</v>
      </c>
      <c r="BM25" s="445">
        <f t="shared" si="21"/>
        <v>0</v>
      </c>
      <c r="BN25" s="445">
        <f t="shared" si="22"/>
        <v>2910155318.0123448</v>
      </c>
      <c r="BO25" s="454">
        <f t="shared" si="23"/>
        <v>83.932185433401941</v>
      </c>
      <c r="BP25" s="463">
        <f t="shared" si="24"/>
        <v>38.835622146285537</v>
      </c>
      <c r="BR25" s="448">
        <f t="shared" si="25"/>
        <v>26590326.643899426</v>
      </c>
      <c r="BS25" s="445">
        <v>0</v>
      </c>
      <c r="BT25" s="445">
        <f>Scenarios!AN26</f>
        <v>8082371.3561005732</v>
      </c>
      <c r="BU25" s="449">
        <f>Scenarios!AA26</f>
        <v>34672698</v>
      </c>
      <c r="BV25" s="448">
        <f t="shared" si="68"/>
        <v>2526081031.1704454</v>
      </c>
      <c r="BW25" s="445">
        <f t="shared" si="56"/>
        <v>0</v>
      </c>
      <c r="BX25" s="445">
        <f t="shared" si="26"/>
        <v>0</v>
      </c>
      <c r="BY25" s="445">
        <f t="shared" si="27"/>
        <v>2526081031.1704454</v>
      </c>
      <c r="BZ25" s="454">
        <f t="shared" si="28"/>
        <v>72.855046675930595</v>
      </c>
      <c r="CA25" s="463">
        <f t="shared" si="29"/>
        <v>33.710203654847888</v>
      </c>
      <c r="CC25" s="448">
        <f t="shared" si="30"/>
        <v>22890643.401105341</v>
      </c>
      <c r="CD25" s="445">
        <f>SUM(Scenarios!BA26)</f>
        <v>2954782.6775845168</v>
      </c>
      <c r="CE25" s="445">
        <f>Scenarios!AY26</f>
        <v>354573.92131014203</v>
      </c>
      <c r="CF25" s="449">
        <f>Scenarios!AV26</f>
        <v>26200000</v>
      </c>
      <c r="CG25" s="448">
        <f t="shared" si="69"/>
        <v>2174611123.1050072</v>
      </c>
      <c r="CH25" s="445">
        <f t="shared" si="58"/>
        <v>159558264.58956391</v>
      </c>
      <c r="CI25" s="445">
        <f t="shared" si="31"/>
        <v>0</v>
      </c>
      <c r="CJ25" s="445">
        <f t="shared" si="32"/>
        <v>2334169387.694571</v>
      </c>
      <c r="CK25" s="454">
        <f t="shared" si="33"/>
        <v>89.09043464483095</v>
      </c>
      <c r="CL25" s="463">
        <f t="shared" si="34"/>
        <v>31.149169188621464</v>
      </c>
      <c r="CN25" s="448">
        <f t="shared" si="35"/>
        <v>20092654.977993488</v>
      </c>
      <c r="CO25" s="445">
        <f>SUM(Scenarios!BF26)</f>
        <v>5374463.6193657275</v>
      </c>
      <c r="CP25" s="445">
        <f>Scenarios!BD26</f>
        <v>732881.40264078102</v>
      </c>
      <c r="CQ25" s="449">
        <f>Scenarios!AV26</f>
        <v>26200000</v>
      </c>
      <c r="CR25" s="448">
        <f t="shared" si="70"/>
        <v>1908802222.9093814</v>
      </c>
      <c r="CS25" s="445">
        <f t="shared" si="60"/>
        <v>290221035.44574928</v>
      </c>
      <c r="CT25" s="445">
        <f t="shared" si="36"/>
        <v>0</v>
      </c>
      <c r="CU25" s="445">
        <f t="shared" si="37"/>
        <v>2199023258.3551307</v>
      </c>
      <c r="CV25" s="454">
        <f t="shared" si="38"/>
        <v>83.932185433401941</v>
      </c>
      <c r="CW25" s="463">
        <f t="shared" si="39"/>
        <v>29.345662694973463</v>
      </c>
      <c r="CY25" s="448">
        <f t="shared" si="40"/>
        <v>20092654.977993492</v>
      </c>
      <c r="CZ25" s="445">
        <v>0</v>
      </c>
      <c r="DA25" s="445">
        <f>Scenarios!BI26</f>
        <v>6107345.0220065089</v>
      </c>
      <c r="DB25" s="449">
        <f>Scenarios!AV26</f>
        <v>26200000</v>
      </c>
      <c r="DC25" s="448">
        <f t="shared" si="71"/>
        <v>1908802222.9093816</v>
      </c>
      <c r="DD25" s="445">
        <f t="shared" si="62"/>
        <v>0</v>
      </c>
      <c r="DE25" s="445">
        <f t="shared" si="41"/>
        <v>0</v>
      </c>
      <c r="DF25" s="445">
        <f t="shared" si="42"/>
        <v>1908802222.9093816</v>
      </c>
      <c r="DG25" s="454">
        <f t="shared" si="43"/>
        <v>72.855046675930595</v>
      </c>
      <c r="DH25" s="463">
        <f t="shared" si="44"/>
        <v>25.472702924849248</v>
      </c>
    </row>
    <row r="26" spans="13:112">
      <c r="M26" s="360">
        <v>2037</v>
      </c>
      <c r="N26" s="429"/>
      <c r="O26" s="446">
        <f t="shared" si="1"/>
        <v>33962579.487307608</v>
      </c>
      <c r="P26" s="438">
        <f>SUM(Scenarios!J27)</f>
        <v>4773910.6698146351</v>
      </c>
      <c r="Q26" s="438">
        <f>Scenarios!H27</f>
        <v>572869.28037775622</v>
      </c>
      <c r="R26" s="447">
        <f>Scenarios!E27</f>
        <v>39309359.4375</v>
      </c>
      <c r="S26" s="446">
        <f t="shared" si="63"/>
        <v>3226445051.2942228</v>
      </c>
      <c r="T26" s="438">
        <f t="shared" si="46"/>
        <v>257791176.1699903</v>
      </c>
      <c r="U26" s="438">
        <f t="shared" si="2"/>
        <v>0</v>
      </c>
      <c r="V26" s="438">
        <f t="shared" si="3"/>
        <v>3484236227.4642134</v>
      </c>
      <c r="W26" s="453">
        <f t="shared" si="4"/>
        <v>88.636301311497647</v>
      </c>
      <c r="X26" s="463">
        <f t="shared" si="0"/>
        <v>46.496652862713489</v>
      </c>
      <c r="Z26" s="446">
        <f t="shared" si="5"/>
        <v>27583392.08781743</v>
      </c>
      <c r="AA26" s="438">
        <f>SUM(Scenarios!O27)</f>
        <v>10318851.26772066</v>
      </c>
      <c r="AB26" s="438">
        <f>Scenarios!M27</f>
        <v>1407116.0819619084</v>
      </c>
      <c r="AC26" s="447">
        <f>Scenarios!E27</f>
        <v>39309359.4375</v>
      </c>
      <c r="AD26" s="446">
        <f t="shared" si="64"/>
        <v>2620422248.3426561</v>
      </c>
      <c r="AE26" s="438">
        <f t="shared" si="48"/>
        <v>557217968.45691562</v>
      </c>
      <c r="AF26" s="438">
        <f t="shared" si="6"/>
        <v>0</v>
      </c>
      <c r="AG26" s="438">
        <f t="shared" si="7"/>
        <v>3177640216.799572</v>
      </c>
      <c r="AH26" s="453">
        <f t="shared" si="8"/>
        <v>80.836733599077533</v>
      </c>
      <c r="AI26" s="463">
        <f t="shared" si="9"/>
        <v>42.405171302250594</v>
      </c>
      <c r="AK26" s="446">
        <f t="shared" si="10"/>
        <v>27583392.08781743</v>
      </c>
      <c r="AL26" s="438">
        <v>0</v>
      </c>
      <c r="AM26" s="438">
        <f>Scenarios!R27</f>
        <v>11725967.34968257</v>
      </c>
      <c r="AN26" s="447">
        <f>Scenarios!E27</f>
        <v>39309359.4375</v>
      </c>
      <c r="AO26" s="446">
        <f t="shared" si="65"/>
        <v>2620422248.3426561</v>
      </c>
      <c r="AP26" s="438">
        <f t="shared" si="50"/>
        <v>0</v>
      </c>
      <c r="AQ26" s="438">
        <f t="shared" si="11"/>
        <v>0</v>
      </c>
      <c r="AR26" s="438">
        <f t="shared" si="12"/>
        <v>2620422248.3426561</v>
      </c>
      <c r="AS26" s="453">
        <f t="shared" si="13"/>
        <v>66.661535212981576</v>
      </c>
      <c r="AT26" s="463">
        <f t="shared" si="14"/>
        <v>34.969174212276087</v>
      </c>
      <c r="AV26" s="446">
        <f t="shared" si="15"/>
        <v>30113376.813829735</v>
      </c>
      <c r="AW26" s="438">
        <f>SUM(Scenarios!AF27)</f>
        <v>4232851.9519377332</v>
      </c>
      <c r="AX26" s="438">
        <f>Scenarios!AD27</f>
        <v>507942.23423252802</v>
      </c>
      <c r="AY26" s="447">
        <f>Scenarios!AA27</f>
        <v>34854171</v>
      </c>
      <c r="AZ26" s="446">
        <f t="shared" si="66"/>
        <v>2860770797.3138247</v>
      </c>
      <c r="BA26" s="438">
        <f t="shared" si="52"/>
        <v>228574005.4046376</v>
      </c>
      <c r="BB26" s="438">
        <f t="shared" si="16"/>
        <v>0</v>
      </c>
      <c r="BC26" s="438">
        <f t="shared" si="17"/>
        <v>3089344802.7184625</v>
      </c>
      <c r="BD26" s="453">
        <f t="shared" si="18"/>
        <v>88.636301311497618</v>
      </c>
      <c r="BE26" s="463">
        <f t="shared" si="19"/>
        <v>41.226881154889718</v>
      </c>
      <c r="BG26" s="446">
        <f t="shared" si="20"/>
        <v>24457184.709850334</v>
      </c>
      <c r="BH26" s="438">
        <f>SUM(Scenarios!AK27)</f>
        <v>9149347.9353317078</v>
      </c>
      <c r="BI26" s="438">
        <f>Scenarios!AI27</f>
        <v>1247638.3548179604</v>
      </c>
      <c r="BJ26" s="447">
        <f>Scenarios!AA27</f>
        <v>34854171</v>
      </c>
      <c r="BK26" s="446">
        <f t="shared" si="67"/>
        <v>2323432547.4357815</v>
      </c>
      <c r="BL26" s="438">
        <f t="shared" si="54"/>
        <v>494064788.50791222</v>
      </c>
      <c r="BM26" s="438">
        <f t="shared" si="21"/>
        <v>0</v>
      </c>
      <c r="BN26" s="438">
        <f t="shared" si="22"/>
        <v>2817497335.9436936</v>
      </c>
      <c r="BO26" s="453">
        <f t="shared" si="23"/>
        <v>80.836733599077533</v>
      </c>
      <c r="BP26" s="463">
        <f t="shared" si="24"/>
        <v>37.599114129622976</v>
      </c>
      <c r="BR26" s="446">
        <f t="shared" si="25"/>
        <v>24457184.70985033</v>
      </c>
      <c r="BS26" s="438">
        <v>0</v>
      </c>
      <c r="BT26" s="438">
        <f>Scenarios!AN27</f>
        <v>10396986.29014967</v>
      </c>
      <c r="BU26" s="447">
        <f>Scenarios!AA27</f>
        <v>34854171</v>
      </c>
      <c r="BV26" s="446">
        <f t="shared" si="68"/>
        <v>2323432547.4357815</v>
      </c>
      <c r="BW26" s="438">
        <f t="shared" si="56"/>
        <v>0</v>
      </c>
      <c r="BX26" s="438">
        <f t="shared" si="26"/>
        <v>0</v>
      </c>
      <c r="BY26" s="438">
        <f t="shared" si="27"/>
        <v>2323432547.4357815</v>
      </c>
      <c r="BZ26" s="453">
        <f t="shared" si="28"/>
        <v>66.661535212981576</v>
      </c>
      <c r="CA26" s="463">
        <f t="shared" si="29"/>
        <v>31.005887533256015</v>
      </c>
      <c r="CC26" s="446">
        <f t="shared" si="30"/>
        <v>21945143.124226809</v>
      </c>
      <c r="CD26" s="438">
        <f>SUM(Scenarios!BA27)</f>
        <v>3084693.6390832085</v>
      </c>
      <c r="CE26" s="438">
        <f>Scenarios!AY27</f>
        <v>370163.23668998503</v>
      </c>
      <c r="CF26" s="447">
        <f>Scenarios!AV27</f>
        <v>25400000</v>
      </c>
      <c r="CG26" s="446">
        <f t="shared" si="69"/>
        <v>2084788596.8015468</v>
      </c>
      <c r="CH26" s="438">
        <f t="shared" si="58"/>
        <v>166573456.51049325</v>
      </c>
      <c r="CI26" s="438">
        <f t="shared" si="31"/>
        <v>0</v>
      </c>
      <c r="CJ26" s="438">
        <f t="shared" si="32"/>
        <v>2251362053.3120399</v>
      </c>
      <c r="CK26" s="453">
        <f t="shared" si="33"/>
        <v>88.636301311497633</v>
      </c>
      <c r="CL26" s="463">
        <f t="shared" si="34"/>
        <v>30.04411670942336</v>
      </c>
      <c r="CN26" s="446">
        <f t="shared" si="35"/>
        <v>17823189.414839286</v>
      </c>
      <c r="CO26" s="438">
        <f>SUM(Scenarios!BF27)</f>
        <v>6667593.3149414286</v>
      </c>
      <c r="CP26" s="438">
        <f>Scenarios!BD27</f>
        <v>909217.27021928586</v>
      </c>
      <c r="CQ26" s="447">
        <f>Scenarios!AV27</f>
        <v>25400000</v>
      </c>
      <c r="CR26" s="446">
        <f t="shared" si="70"/>
        <v>1693202994.4097321</v>
      </c>
      <c r="CS26" s="438">
        <f t="shared" si="60"/>
        <v>360050039.00683713</v>
      </c>
      <c r="CT26" s="438">
        <f t="shared" si="36"/>
        <v>0</v>
      </c>
      <c r="CU26" s="438">
        <f t="shared" si="37"/>
        <v>2053253033.4165692</v>
      </c>
      <c r="CV26" s="453">
        <f t="shared" si="38"/>
        <v>80.836733599077533</v>
      </c>
      <c r="CW26" s="463">
        <f t="shared" si="39"/>
        <v>27.40037910792438</v>
      </c>
      <c r="CY26" s="446">
        <f t="shared" si="40"/>
        <v>17823189.414839286</v>
      </c>
      <c r="CZ26" s="438">
        <v>0</v>
      </c>
      <c r="DA26" s="438">
        <f>Scenarios!BI27</f>
        <v>7576810.5851607146</v>
      </c>
      <c r="DB26" s="447">
        <f>Scenarios!AV27</f>
        <v>25400000</v>
      </c>
      <c r="DC26" s="446">
        <f t="shared" si="71"/>
        <v>1693202994.4097321</v>
      </c>
      <c r="DD26" s="438">
        <f t="shared" si="62"/>
        <v>0</v>
      </c>
      <c r="DE26" s="438">
        <f t="shared" si="41"/>
        <v>0</v>
      </c>
      <c r="DF26" s="438">
        <f t="shared" si="42"/>
        <v>1693202994.4097321</v>
      </c>
      <c r="DG26" s="453">
        <f t="shared" si="43"/>
        <v>66.661535212981576</v>
      </c>
      <c r="DH26" s="463">
        <f t="shared" si="44"/>
        <v>22.595560896992868</v>
      </c>
    </row>
    <row r="27" spans="13:112">
      <c r="M27" s="360">
        <v>2038</v>
      </c>
      <c r="N27" s="429"/>
      <c r="O27" s="446">
        <f t="shared" si="1"/>
        <v>33910297.731486984</v>
      </c>
      <c r="P27" s="438">
        <f>SUM(Scenarios!J28)</f>
        <v>5180238.7442080537</v>
      </c>
      <c r="Q27" s="438">
        <f>Scenarios!H28</f>
        <v>621628.64930496633</v>
      </c>
      <c r="R27" s="447">
        <f>Scenarios!E28</f>
        <v>39712165.125</v>
      </c>
      <c r="S27" s="446">
        <f t="shared" si="63"/>
        <v>3221478284.4912634</v>
      </c>
      <c r="T27" s="438">
        <f t="shared" si="46"/>
        <v>279732892.18723488</v>
      </c>
      <c r="U27" s="438">
        <f t="shared" si="2"/>
        <v>0</v>
      </c>
      <c r="V27" s="438">
        <f t="shared" si="3"/>
        <v>3501211176.6784983</v>
      </c>
      <c r="W27" s="453">
        <f t="shared" si="4"/>
        <v>88.164701311497637</v>
      </c>
      <c r="X27" s="463">
        <f t="shared" si="0"/>
        <v>46.723181223436384</v>
      </c>
      <c r="Z27" s="446">
        <f t="shared" si="5"/>
        <v>24904967.635705456</v>
      </c>
      <c r="AA27" s="438">
        <f>SUM(Scenarios!O28)</f>
        <v>13030333.7905792</v>
      </c>
      <c r="AB27" s="438">
        <f>Scenarios!M28</f>
        <v>1776863.6987153452</v>
      </c>
      <c r="AC27" s="447">
        <f>Scenarios!E28</f>
        <v>39712165.125</v>
      </c>
      <c r="AD27" s="446">
        <f t="shared" si="64"/>
        <v>2365971925.3920183</v>
      </c>
      <c r="AE27" s="438">
        <f t="shared" si="48"/>
        <v>703638024.69127679</v>
      </c>
      <c r="AF27" s="438">
        <f t="shared" si="6"/>
        <v>0</v>
      </c>
      <c r="AG27" s="438">
        <f t="shared" si="7"/>
        <v>3069609950.0832949</v>
      </c>
      <c r="AH27" s="453">
        <f t="shared" si="8"/>
        <v>77.296464204891294</v>
      </c>
      <c r="AI27" s="463">
        <f t="shared" si="9"/>
        <v>40.963522262906096</v>
      </c>
      <c r="AK27" s="446">
        <f t="shared" si="10"/>
        <v>24904967.635705456</v>
      </c>
      <c r="AL27" s="438">
        <v>0</v>
      </c>
      <c r="AM27" s="438">
        <f>Scenarios!R28</f>
        <v>14807197.489294546</v>
      </c>
      <c r="AN27" s="447">
        <f>Scenarios!E28</f>
        <v>39712165.125</v>
      </c>
      <c r="AO27" s="446">
        <f t="shared" si="65"/>
        <v>2365971925.3920183</v>
      </c>
      <c r="AP27" s="438">
        <f t="shared" si="50"/>
        <v>0</v>
      </c>
      <c r="AQ27" s="438">
        <f t="shared" si="11"/>
        <v>0</v>
      </c>
      <c r="AR27" s="438">
        <f t="shared" si="12"/>
        <v>2365971925.3920183</v>
      </c>
      <c r="AS27" s="453">
        <f t="shared" si="13"/>
        <v>59.578013889314938</v>
      </c>
      <c r="AT27" s="463">
        <f t="shared" si="14"/>
        <v>31.57356967668704</v>
      </c>
      <c r="AV27" s="446">
        <f t="shared" si="15"/>
        <v>29917006.930112213</v>
      </c>
      <c r="AW27" s="438">
        <f>SUM(Scenarios!AF28)</f>
        <v>4570211.6695426693</v>
      </c>
      <c r="AX27" s="438">
        <f>Scenarios!AD28</f>
        <v>548425.40034512023</v>
      </c>
      <c r="AY27" s="447">
        <f>Scenarios!AA28</f>
        <v>35035644</v>
      </c>
      <c r="AZ27" s="446">
        <f t="shared" si="66"/>
        <v>2842115658.3606601</v>
      </c>
      <c r="BA27" s="438">
        <f t="shared" si="52"/>
        <v>246791430.15530413</v>
      </c>
      <c r="BB27" s="438">
        <f t="shared" si="16"/>
        <v>0</v>
      </c>
      <c r="BC27" s="438">
        <f t="shared" si="17"/>
        <v>3088907088.515964</v>
      </c>
      <c r="BD27" s="453">
        <f t="shared" si="18"/>
        <v>88.164701311497623</v>
      </c>
      <c r="BE27" s="463">
        <f t="shared" si="19"/>
        <v>41.221039919107199</v>
      </c>
      <c r="BG27" s="446">
        <f t="shared" si="20"/>
        <v>21972148.261611514</v>
      </c>
      <c r="BH27" s="438">
        <f>SUM(Scenarios!AK28)</f>
        <v>11495876.249781871</v>
      </c>
      <c r="BI27" s="438">
        <f>Scenarios!AI28</f>
        <v>1567619.4886066185</v>
      </c>
      <c r="BJ27" s="447">
        <f>Scenarios!AA28</f>
        <v>35035644</v>
      </c>
      <c r="BK27" s="446">
        <f t="shared" si="67"/>
        <v>2087354084.8530939</v>
      </c>
      <c r="BL27" s="438">
        <f t="shared" si="54"/>
        <v>620777317.48822105</v>
      </c>
      <c r="BM27" s="438">
        <f t="shared" si="21"/>
        <v>0</v>
      </c>
      <c r="BN27" s="438">
        <f t="shared" si="22"/>
        <v>2708131402.3413148</v>
      </c>
      <c r="BO27" s="453">
        <f t="shared" si="23"/>
        <v>77.296464204891308</v>
      </c>
      <c r="BP27" s="463">
        <f t="shared" si="24"/>
        <v>36.139640799533275</v>
      </c>
      <c r="BR27" s="446">
        <f t="shared" si="25"/>
        <v>21972148.26161151</v>
      </c>
      <c r="BS27" s="438">
        <v>0</v>
      </c>
      <c r="BT27" s="438">
        <f>Scenarios!AN28</f>
        <v>13063495.73838849</v>
      </c>
      <c r="BU27" s="447">
        <f>Scenarios!AA28</f>
        <v>35035644</v>
      </c>
      <c r="BV27" s="446">
        <f t="shared" si="68"/>
        <v>2087354084.8530934</v>
      </c>
      <c r="BW27" s="438">
        <f t="shared" si="56"/>
        <v>0</v>
      </c>
      <c r="BX27" s="438">
        <f t="shared" si="26"/>
        <v>0</v>
      </c>
      <c r="BY27" s="438">
        <f t="shared" si="27"/>
        <v>2087354084.8530934</v>
      </c>
      <c r="BZ27" s="453">
        <f t="shared" si="28"/>
        <v>59.578013889314931</v>
      </c>
      <c r="CA27" s="463">
        <f t="shared" si="29"/>
        <v>27.855452945455646</v>
      </c>
      <c r="CC27" s="446">
        <f t="shared" si="30"/>
        <v>21005989.514014937</v>
      </c>
      <c r="CD27" s="438">
        <f>SUM(Scenarios!BA28)</f>
        <v>3208937.9339152342</v>
      </c>
      <c r="CE27" s="438">
        <f>Scenarios!AY28</f>
        <v>385072.55206982803</v>
      </c>
      <c r="CF27" s="447">
        <f>Scenarios!AV28</f>
        <v>24600000</v>
      </c>
      <c r="CG27" s="446">
        <f t="shared" si="69"/>
        <v>1995569003.831419</v>
      </c>
      <c r="CH27" s="438">
        <f t="shared" si="58"/>
        <v>173282648.43142265</v>
      </c>
      <c r="CI27" s="438">
        <f t="shared" si="31"/>
        <v>0</v>
      </c>
      <c r="CJ27" s="438">
        <f t="shared" si="32"/>
        <v>2168851652.2628417</v>
      </c>
      <c r="CK27" s="453">
        <f t="shared" si="33"/>
        <v>88.164701311497623</v>
      </c>
      <c r="CL27" s="463">
        <f t="shared" si="34"/>
        <v>28.943026764686756</v>
      </c>
      <c r="CN27" s="446">
        <f t="shared" si="35"/>
        <v>15427569.912391026</v>
      </c>
      <c r="CO27" s="438">
        <f>SUM(Scenarios!BF28)</f>
        <v>8071738.4770958973</v>
      </c>
      <c r="CP27" s="438">
        <f>Scenarios!BD28</f>
        <v>1100691.6105130769</v>
      </c>
      <c r="CQ27" s="447">
        <f>Scenarios!AV28</f>
        <v>24600000</v>
      </c>
      <c r="CR27" s="446">
        <f t="shared" si="70"/>
        <v>1465619141.6771474</v>
      </c>
      <c r="CS27" s="438">
        <f t="shared" si="60"/>
        <v>435873877.76317847</v>
      </c>
      <c r="CT27" s="438">
        <f t="shared" si="36"/>
        <v>0</v>
      </c>
      <c r="CU27" s="438">
        <f t="shared" si="37"/>
        <v>1901493019.4403257</v>
      </c>
      <c r="CV27" s="453">
        <f t="shared" si="38"/>
        <v>77.296464204891294</v>
      </c>
      <c r="CW27" s="463">
        <f t="shared" si="39"/>
        <v>25.375162610640707</v>
      </c>
      <c r="CY27" s="446">
        <f t="shared" si="40"/>
        <v>15427569.912391026</v>
      </c>
      <c r="CZ27" s="438">
        <v>0</v>
      </c>
      <c r="DA27" s="438">
        <f>Scenarios!BI28</f>
        <v>9172430.0876089744</v>
      </c>
      <c r="DB27" s="447">
        <f>Scenarios!AV28</f>
        <v>24600000</v>
      </c>
      <c r="DC27" s="446">
        <f t="shared" si="71"/>
        <v>1465619141.6771474</v>
      </c>
      <c r="DD27" s="438">
        <f t="shared" si="62"/>
        <v>0</v>
      </c>
      <c r="DE27" s="438">
        <f t="shared" si="41"/>
        <v>0</v>
      </c>
      <c r="DF27" s="438">
        <f t="shared" si="42"/>
        <v>1465619141.6771474</v>
      </c>
      <c r="DG27" s="453">
        <f t="shared" si="43"/>
        <v>59.578013889314931</v>
      </c>
      <c r="DH27" s="463">
        <f t="shared" si="44"/>
        <v>19.558485708389114</v>
      </c>
    </row>
    <row r="28" spans="13:112">
      <c r="M28" s="360">
        <v>2039</v>
      </c>
      <c r="N28" s="429"/>
      <c r="O28" s="446">
        <f t="shared" si="1"/>
        <v>33834919.157236353</v>
      </c>
      <c r="P28" s="438">
        <f>SUM(Scenarios!J29)</f>
        <v>5607188.9779139711</v>
      </c>
      <c r="Q28" s="438">
        <f>Scenarios!H29</f>
        <v>672862.67734967649</v>
      </c>
      <c r="R28" s="447">
        <f>Scenarios!E29</f>
        <v>40114970.8125</v>
      </c>
      <c r="S28" s="446">
        <f t="shared" si="63"/>
        <v>3214317319.9374533</v>
      </c>
      <c r="T28" s="438">
        <f t="shared" si="46"/>
        <v>302788204.80735445</v>
      </c>
      <c r="U28" s="438">
        <f t="shared" si="2"/>
        <v>0</v>
      </c>
      <c r="V28" s="438">
        <f t="shared" si="3"/>
        <v>3517105524.7448077</v>
      </c>
      <c r="W28" s="453">
        <f t="shared" si="4"/>
        <v>87.675634644830964</v>
      </c>
      <c r="X28" s="463">
        <f t="shared" si="0"/>
        <v>46.935289110580477</v>
      </c>
      <c r="Z28" s="446">
        <f t="shared" si="5"/>
        <v>21902555.258381482</v>
      </c>
      <c r="AA28" s="438">
        <f>SUM(Scenarios!O29)</f>
        <v>16026925.687624294</v>
      </c>
      <c r="AB28" s="438">
        <f>Scenarios!M29</f>
        <v>2185489.8664942221</v>
      </c>
      <c r="AC28" s="447">
        <f>Scenarios!E29</f>
        <v>40114970.8125</v>
      </c>
      <c r="AD28" s="446">
        <f t="shared" si="64"/>
        <v>2080742749.5462408</v>
      </c>
      <c r="AE28" s="438">
        <f t="shared" si="48"/>
        <v>865453987.13171184</v>
      </c>
      <c r="AF28" s="438">
        <f t="shared" si="6"/>
        <v>0</v>
      </c>
      <c r="AG28" s="438">
        <f t="shared" si="7"/>
        <v>2946196736.6779528</v>
      </c>
      <c r="AH28" s="453">
        <f t="shared" si="8"/>
        <v>73.443821022547155</v>
      </c>
      <c r="AI28" s="463">
        <f t="shared" si="9"/>
        <v>39.316589917404244</v>
      </c>
      <c r="AK28" s="446">
        <f t="shared" si="10"/>
        <v>21902555.258381482</v>
      </c>
      <c r="AL28" s="438">
        <v>0</v>
      </c>
      <c r="AM28" s="438">
        <f>Scenarios!R29</f>
        <v>18212415.554118518</v>
      </c>
      <c r="AN28" s="447">
        <f>Scenarios!E29</f>
        <v>40114970.8125</v>
      </c>
      <c r="AO28" s="446">
        <f t="shared" si="65"/>
        <v>2080742749.5462408</v>
      </c>
      <c r="AP28" s="438">
        <f t="shared" si="50"/>
        <v>0</v>
      </c>
      <c r="AQ28" s="438">
        <f t="shared" si="11"/>
        <v>0</v>
      </c>
      <c r="AR28" s="438">
        <f t="shared" si="12"/>
        <v>2080742749.5462408</v>
      </c>
      <c r="AS28" s="453">
        <f t="shared" si="13"/>
        <v>51.869481826916157</v>
      </c>
      <c r="AT28" s="463">
        <f t="shared" si="14"/>
        <v>27.767225585812621</v>
      </c>
      <c r="AV28" s="446">
        <f t="shared" si="15"/>
        <v>29703830.827034686</v>
      </c>
      <c r="AW28" s="438">
        <f>SUM(Scenarios!AF29)</f>
        <v>4922576.9401476048</v>
      </c>
      <c r="AX28" s="438">
        <f>Scenarios!AD29</f>
        <v>590709.23281771259</v>
      </c>
      <c r="AY28" s="447">
        <f>Scenarios!AA29</f>
        <v>35217117</v>
      </c>
      <c r="AZ28" s="446">
        <f t="shared" si="66"/>
        <v>2821863928.568295</v>
      </c>
      <c r="BA28" s="438">
        <f t="shared" si="52"/>
        <v>265819154.76797065</v>
      </c>
      <c r="BB28" s="438">
        <f t="shared" si="16"/>
        <v>0</v>
      </c>
      <c r="BC28" s="438">
        <f t="shared" si="17"/>
        <v>3087683083.3362656</v>
      </c>
      <c r="BD28" s="453">
        <f t="shared" si="18"/>
        <v>87.675634644830964</v>
      </c>
      <c r="BE28" s="463">
        <f t="shared" si="19"/>
        <v>41.204705738464099</v>
      </c>
      <c r="BG28" s="446">
        <f t="shared" si="20"/>
        <v>19228353.791872423</v>
      </c>
      <c r="BH28" s="438">
        <f>SUM(Scenarios!AK29)</f>
        <v>14070111.623152267</v>
      </c>
      <c r="BI28" s="438">
        <f>Scenarios!AI29</f>
        <v>1918651.5849753094</v>
      </c>
      <c r="BJ28" s="447">
        <f>Scenarios!AA29</f>
        <v>35217117</v>
      </c>
      <c r="BK28" s="446">
        <f t="shared" si="67"/>
        <v>1826693610.2278802</v>
      </c>
      <c r="BL28" s="438">
        <f t="shared" si="54"/>
        <v>759786027.65022242</v>
      </c>
      <c r="BM28" s="438">
        <f t="shared" si="21"/>
        <v>0</v>
      </c>
      <c r="BN28" s="438">
        <f t="shared" si="22"/>
        <v>2586479637.8781028</v>
      </c>
      <c r="BO28" s="453">
        <f t="shared" si="23"/>
        <v>73.443821022547155</v>
      </c>
      <c r="BP28" s="463">
        <f t="shared" si="24"/>
        <v>34.516214747706933</v>
      </c>
      <c r="BR28" s="446">
        <f t="shared" si="25"/>
        <v>19228353.791872419</v>
      </c>
      <c r="BS28" s="438">
        <v>0</v>
      </c>
      <c r="BT28" s="438">
        <f>Scenarios!AN29</f>
        <v>15988763.208127579</v>
      </c>
      <c r="BU28" s="447">
        <f>Scenarios!AA29</f>
        <v>35217117</v>
      </c>
      <c r="BV28" s="446">
        <f t="shared" si="68"/>
        <v>1826693610.2278798</v>
      </c>
      <c r="BW28" s="438">
        <f t="shared" si="56"/>
        <v>0</v>
      </c>
      <c r="BX28" s="438">
        <f t="shared" si="26"/>
        <v>0</v>
      </c>
      <c r="BY28" s="438">
        <f t="shared" si="27"/>
        <v>1826693610.2278798</v>
      </c>
      <c r="BZ28" s="453">
        <f t="shared" si="28"/>
        <v>51.86948182691615</v>
      </c>
      <c r="CA28" s="463">
        <f t="shared" si="29"/>
        <v>24.376974790574806</v>
      </c>
      <c r="CC28" s="446">
        <f t="shared" si="30"/>
        <v>20074078.570469737</v>
      </c>
      <c r="CD28" s="438">
        <f>SUM(Scenarios!BA29)</f>
        <v>3326715.5620805924</v>
      </c>
      <c r="CE28" s="438">
        <f>Scenarios!AY29</f>
        <v>399205.86744967109</v>
      </c>
      <c r="CF28" s="447">
        <f>Scenarios!AV29</f>
        <v>23800000</v>
      </c>
      <c r="CG28" s="446">
        <f t="shared" si="69"/>
        <v>1907037464.1946249</v>
      </c>
      <c r="CH28" s="438">
        <f t="shared" si="58"/>
        <v>179642640.35235199</v>
      </c>
      <c r="CI28" s="438">
        <f t="shared" si="31"/>
        <v>0</v>
      </c>
      <c r="CJ28" s="438">
        <f t="shared" si="32"/>
        <v>2086680104.5469768</v>
      </c>
      <c r="CK28" s="453">
        <f t="shared" si="33"/>
        <v>87.675634644830964</v>
      </c>
      <c r="CL28" s="463">
        <f t="shared" si="34"/>
        <v>27.846458771041522</v>
      </c>
      <c r="CN28" s="446">
        <f t="shared" si="35"/>
        <v>12994670.184006363</v>
      </c>
      <c r="CO28" s="438">
        <f>SUM(Scenarios!BF29)</f>
        <v>9508690.2380743995</v>
      </c>
      <c r="CP28" s="438">
        <f>Scenarios!BD29</f>
        <v>1296639.5779192364</v>
      </c>
      <c r="CQ28" s="447">
        <f>Scenarios!AV29</f>
        <v>23800000</v>
      </c>
      <c r="CR28" s="446">
        <f t="shared" si="70"/>
        <v>1234493667.4806044</v>
      </c>
      <c r="CS28" s="438">
        <f t="shared" si="60"/>
        <v>513469272.85601759</v>
      </c>
      <c r="CT28" s="438">
        <f t="shared" si="36"/>
        <v>0</v>
      </c>
      <c r="CU28" s="438">
        <f t="shared" si="37"/>
        <v>1747962940.336622</v>
      </c>
      <c r="CV28" s="453">
        <f t="shared" si="38"/>
        <v>73.443821022547141</v>
      </c>
      <c r="CW28" s="463">
        <f t="shared" si="39"/>
        <v>23.326324837874285</v>
      </c>
      <c r="CY28" s="446">
        <f t="shared" si="40"/>
        <v>12994670.184006363</v>
      </c>
      <c r="CZ28" s="438">
        <v>0</v>
      </c>
      <c r="DA28" s="438">
        <f>Scenarios!BI29</f>
        <v>10805329.815993637</v>
      </c>
      <c r="DB28" s="447">
        <f>Scenarios!AV29</f>
        <v>23800000</v>
      </c>
      <c r="DC28" s="446">
        <f t="shared" si="71"/>
        <v>1234493667.4806044</v>
      </c>
      <c r="DD28" s="438">
        <f t="shared" si="62"/>
        <v>0</v>
      </c>
      <c r="DE28" s="438">
        <f t="shared" si="41"/>
        <v>0</v>
      </c>
      <c r="DF28" s="438">
        <f t="shared" si="42"/>
        <v>1234493667.4806044</v>
      </c>
      <c r="DG28" s="453">
        <f t="shared" si="43"/>
        <v>51.86948182691615</v>
      </c>
      <c r="DH28" s="463">
        <f t="shared" si="44"/>
        <v>16.474148068840513</v>
      </c>
    </row>
    <row r="29" spans="13:112">
      <c r="M29" s="360">
        <v>2040</v>
      </c>
      <c r="N29" s="429"/>
      <c r="O29" s="446">
        <f t="shared" si="1"/>
        <v>33735992.622185729</v>
      </c>
      <c r="P29" s="438">
        <f>SUM(Scenarios!J30)</f>
        <v>6055164.1766198874</v>
      </c>
      <c r="Q29" s="438">
        <f>Scenarios!H30</f>
        <v>726619.70119438658</v>
      </c>
      <c r="R29" s="447">
        <f>Scenarios!E30</f>
        <v>40517776.5</v>
      </c>
      <c r="S29" s="446">
        <f t="shared" si="63"/>
        <v>3204919299.1076441</v>
      </c>
      <c r="T29" s="438">
        <f t="shared" si="46"/>
        <v>326978865.53747392</v>
      </c>
      <c r="U29" s="438">
        <f t="shared" si="2"/>
        <v>0</v>
      </c>
      <c r="V29" s="438">
        <f t="shared" si="3"/>
        <v>3531898164.6451178</v>
      </c>
      <c r="W29" s="453">
        <f t="shared" si="4"/>
        <v>87.169101311497627</v>
      </c>
      <c r="X29" s="463">
        <f t="shared" si="0"/>
        <v>47.132694853895536</v>
      </c>
      <c r="Z29" s="446">
        <f t="shared" si="5"/>
        <v>18732701.521348011</v>
      </c>
      <c r="AA29" s="438">
        <f>SUM(Scenarios!O30)</f>
        <v>19170865.981213752</v>
      </c>
      <c r="AB29" s="438">
        <f>Scenarios!M30</f>
        <v>2614208.9974382389</v>
      </c>
      <c r="AC29" s="447">
        <f>Scenarios!E30</f>
        <v>40517776.5</v>
      </c>
      <c r="AD29" s="446">
        <f t="shared" si="64"/>
        <v>1779606644.5280609</v>
      </c>
      <c r="AE29" s="438">
        <f t="shared" si="48"/>
        <v>1035226762.9855427</v>
      </c>
      <c r="AF29" s="438">
        <f t="shared" si="6"/>
        <v>0</v>
      </c>
      <c r="AG29" s="438">
        <f t="shared" si="7"/>
        <v>2814833407.5136037</v>
      </c>
      <c r="AH29" s="453">
        <f t="shared" si="8"/>
        <v>69.471566573096723</v>
      </c>
      <c r="AI29" s="463">
        <f t="shared" si="9"/>
        <v>37.563564371403757</v>
      </c>
      <c r="AK29" s="446">
        <f t="shared" si="10"/>
        <v>18732701.521348007</v>
      </c>
      <c r="AL29" s="438">
        <v>0</v>
      </c>
      <c r="AM29" s="438">
        <f>Scenarios!R30</f>
        <v>21785074.978651993</v>
      </c>
      <c r="AN29" s="447">
        <f>Scenarios!E30</f>
        <v>40517776.5</v>
      </c>
      <c r="AO29" s="446">
        <f t="shared" si="65"/>
        <v>1779606644.5280607</v>
      </c>
      <c r="AP29" s="438">
        <f t="shared" si="50"/>
        <v>0</v>
      </c>
      <c r="AQ29" s="438">
        <f t="shared" si="11"/>
        <v>0</v>
      </c>
      <c r="AR29" s="438">
        <f t="shared" si="12"/>
        <v>1779606644.5280607</v>
      </c>
      <c r="AS29" s="453">
        <f t="shared" si="13"/>
        <v>43.921626462598724</v>
      </c>
      <c r="AT29" s="463">
        <f t="shared" si="14"/>
        <v>23.748605714665047</v>
      </c>
      <c r="AV29" s="446">
        <f t="shared" si="15"/>
        <v>29473646.582754619</v>
      </c>
      <c r="AW29" s="438">
        <f>SUM(Scenarios!AF30)</f>
        <v>5290129.4750961494</v>
      </c>
      <c r="AX29" s="438">
        <f>Scenarios!AD30</f>
        <v>634815.53701153805</v>
      </c>
      <c r="AY29" s="447">
        <f>Scenarios!AA30</f>
        <v>35398591.594862312</v>
      </c>
      <c r="AZ29" s="446">
        <f t="shared" si="66"/>
        <v>2799996425.3616886</v>
      </c>
      <c r="BA29" s="438">
        <f t="shared" si="52"/>
        <v>285666991.65519208</v>
      </c>
      <c r="BB29" s="438">
        <f t="shared" si="16"/>
        <v>0</v>
      </c>
      <c r="BC29" s="438">
        <f t="shared" si="17"/>
        <v>3085663417.0168805</v>
      </c>
      <c r="BD29" s="453">
        <f t="shared" si="18"/>
        <v>87.169101311497613</v>
      </c>
      <c r="BE29" s="463">
        <f t="shared" si="19"/>
        <v>41.177753569431836</v>
      </c>
      <c r="BG29" s="446">
        <f t="shared" si="20"/>
        <v>16365933.86664873</v>
      </c>
      <c r="BH29" s="438">
        <f>SUM(Scenarios!AK30)</f>
        <v>16748738.800827954</v>
      </c>
      <c r="BI29" s="438">
        <f>Scenarios!AI30</f>
        <v>2283918.9273856296</v>
      </c>
      <c r="BJ29" s="447">
        <f>Scenarios!AA30</f>
        <v>35398591.594862312</v>
      </c>
      <c r="BK29" s="446">
        <f t="shared" si="67"/>
        <v>1554763717.3316293</v>
      </c>
      <c r="BL29" s="438">
        <f t="shared" si="54"/>
        <v>904431895.24470949</v>
      </c>
      <c r="BM29" s="438">
        <f t="shared" si="21"/>
        <v>0</v>
      </c>
      <c r="BN29" s="438">
        <f t="shared" si="22"/>
        <v>2459195612.5763388</v>
      </c>
      <c r="BO29" s="453">
        <f t="shared" si="23"/>
        <v>69.471566573096709</v>
      </c>
      <c r="BP29" s="463">
        <f t="shared" si="24"/>
        <v>32.817626950250897</v>
      </c>
      <c r="BR29" s="446">
        <f t="shared" si="25"/>
        <v>16365933.86664873</v>
      </c>
      <c r="BS29" s="438">
        <v>0</v>
      </c>
      <c r="BT29" s="438">
        <f>Scenarios!AN30</f>
        <v>19032657.728213582</v>
      </c>
      <c r="BU29" s="447">
        <f>Scenarios!AA30</f>
        <v>35398591.594862312</v>
      </c>
      <c r="BV29" s="446">
        <f t="shared" si="68"/>
        <v>1554763717.3316293</v>
      </c>
      <c r="BW29" s="438">
        <f t="shared" si="56"/>
        <v>0</v>
      </c>
      <c r="BX29" s="438">
        <f t="shared" si="26"/>
        <v>0</v>
      </c>
      <c r="BY29" s="438">
        <f t="shared" si="27"/>
        <v>1554763717.3316293</v>
      </c>
      <c r="BZ29" s="453">
        <f t="shared" si="28"/>
        <v>43.921626462598724</v>
      </c>
      <c r="CA29" s="463">
        <f t="shared" si="29"/>
        <v>20.748107800062552</v>
      </c>
      <c r="CC29" s="446">
        <f t="shared" si="30"/>
        <v>19150306.293591201</v>
      </c>
      <c r="CD29" s="438">
        <f>SUM(Scenarios!BA30)</f>
        <v>3437226.5235792841</v>
      </c>
      <c r="CE29" s="438">
        <f>Scenarios!AY30</f>
        <v>412467.18282951415</v>
      </c>
      <c r="CF29" s="447">
        <f>Scenarios!AV30</f>
        <v>23000000</v>
      </c>
      <c r="CG29" s="446">
        <f t="shared" si="69"/>
        <v>1819279097.8911641</v>
      </c>
      <c r="CH29" s="438">
        <f t="shared" si="58"/>
        <v>185610232.27328134</v>
      </c>
      <c r="CI29" s="438">
        <f t="shared" si="31"/>
        <v>0</v>
      </c>
      <c r="CJ29" s="438">
        <f t="shared" si="32"/>
        <v>2004889330.1644454</v>
      </c>
      <c r="CK29" s="453">
        <f t="shared" si="33"/>
        <v>87.169101311497627</v>
      </c>
      <c r="CL29" s="463">
        <f t="shared" si="34"/>
        <v>26.754972145117524</v>
      </c>
      <c r="CN29" s="446">
        <f t="shared" si="35"/>
        <v>10633656.933050219</v>
      </c>
      <c r="CO29" s="438">
        <f>SUM(Scenarios!BF30)</f>
        <v>10882381.898915809</v>
      </c>
      <c r="CP29" s="438">
        <f>Scenarios!BD30</f>
        <v>1483961.1680339738</v>
      </c>
      <c r="CQ29" s="447">
        <f>Scenarios!AV30</f>
        <v>23000000</v>
      </c>
      <c r="CR29" s="446">
        <f t="shared" si="70"/>
        <v>1010197408.6397707</v>
      </c>
      <c r="CS29" s="438">
        <f t="shared" si="60"/>
        <v>587648622.54145372</v>
      </c>
      <c r="CT29" s="438">
        <f t="shared" si="36"/>
        <v>0</v>
      </c>
      <c r="CU29" s="438">
        <f t="shared" si="37"/>
        <v>1597846031.1812243</v>
      </c>
      <c r="CV29" s="453">
        <f t="shared" si="38"/>
        <v>69.471566573096709</v>
      </c>
      <c r="CW29" s="463">
        <f t="shared" si="39"/>
        <v>21.323035348257239</v>
      </c>
      <c r="CY29" s="446">
        <f t="shared" si="40"/>
        <v>10633656.933050217</v>
      </c>
      <c r="CZ29" s="438">
        <v>0</v>
      </c>
      <c r="DA29" s="438">
        <f>Scenarios!BI30</f>
        <v>12366343.066949783</v>
      </c>
      <c r="DB29" s="447">
        <f>Scenarios!AV30</f>
        <v>23000000</v>
      </c>
      <c r="DC29" s="446">
        <f t="shared" si="71"/>
        <v>1010197408.6397706</v>
      </c>
      <c r="DD29" s="438">
        <f t="shared" si="62"/>
        <v>0</v>
      </c>
      <c r="DE29" s="438">
        <f t="shared" si="41"/>
        <v>0</v>
      </c>
      <c r="DF29" s="438">
        <f t="shared" si="42"/>
        <v>1010197408.6397706</v>
      </c>
      <c r="DG29" s="453">
        <f t="shared" si="43"/>
        <v>43.921626462598724</v>
      </c>
      <c r="DH29" s="463">
        <f t="shared" si="44"/>
        <v>13.480945368196503</v>
      </c>
    </row>
    <row r="30" spans="13:112">
      <c r="M30" s="360">
        <v>2041</v>
      </c>
      <c r="N30" s="429"/>
      <c r="O30" s="446">
        <f t="shared" si="1"/>
        <v>33613066.983965099</v>
      </c>
      <c r="P30" s="438">
        <f>SUM(Scenarios!J31)</f>
        <v>6524567.1460133037</v>
      </c>
      <c r="Q30" s="438">
        <f>Scenarios!H31</f>
        <v>782948.05752159643</v>
      </c>
      <c r="R30" s="447">
        <f>Scenarios!E31</f>
        <v>40920582.1875</v>
      </c>
      <c r="S30" s="446">
        <f t="shared" si="63"/>
        <v>3193241363.4766846</v>
      </c>
      <c r="T30" s="438">
        <f t="shared" si="46"/>
        <v>352326625.88471842</v>
      </c>
      <c r="U30" s="438">
        <f t="shared" si="2"/>
        <v>0</v>
      </c>
      <c r="V30" s="438">
        <f t="shared" si="3"/>
        <v>3545567989.361403</v>
      </c>
      <c r="W30" s="453">
        <f t="shared" si="4"/>
        <v>86.64510131149764</v>
      </c>
      <c r="X30" s="463">
        <f t="shared" si="0"/>
        <v>47.31511678313133</v>
      </c>
      <c r="Z30" s="446">
        <f t="shared" si="5"/>
        <v>15580102.414877508</v>
      </c>
      <c r="AA30" s="438">
        <f>SUM(Scenarios!O31)</f>
        <v>22299622.199907791</v>
      </c>
      <c r="AB30" s="438">
        <f>Scenarios!M31</f>
        <v>3040857.5727146985</v>
      </c>
      <c r="AC30" s="447">
        <f>Scenarios!E31</f>
        <v>40920582.1875</v>
      </c>
      <c r="AD30" s="446">
        <f t="shared" si="64"/>
        <v>1480109729.4133632</v>
      </c>
      <c r="AE30" s="438">
        <f t="shared" si="48"/>
        <v>1204179598.7950208</v>
      </c>
      <c r="AF30" s="438">
        <f t="shared" si="6"/>
        <v>0</v>
      </c>
      <c r="AG30" s="438">
        <f t="shared" si="7"/>
        <v>2684289328.208384</v>
      </c>
      <c r="AH30" s="453">
        <f t="shared" si="8"/>
        <v>65.59753514524418</v>
      </c>
      <c r="AI30" s="463">
        <f t="shared" si="9"/>
        <v>35.821471602006518</v>
      </c>
      <c r="AK30" s="446">
        <f t="shared" si="10"/>
        <v>15580102.414877512</v>
      </c>
      <c r="AL30" s="438">
        <v>0</v>
      </c>
      <c r="AM30" s="438">
        <f>Scenarios!R31</f>
        <v>25340479.772622488</v>
      </c>
      <c r="AN30" s="447">
        <f>Scenarios!E31</f>
        <v>40920582.1875</v>
      </c>
      <c r="AO30" s="446">
        <f t="shared" si="65"/>
        <v>1480109729.4133637</v>
      </c>
      <c r="AP30" s="438">
        <f t="shared" si="50"/>
        <v>0</v>
      </c>
      <c r="AQ30" s="438">
        <f t="shared" si="11"/>
        <v>0</v>
      </c>
      <c r="AR30" s="438">
        <f t="shared" si="12"/>
        <v>1480109729.4133637</v>
      </c>
      <c r="AS30" s="453">
        <f t="shared" si="13"/>
        <v>36.170299890442237</v>
      </c>
      <c r="AT30" s="463">
        <f t="shared" si="14"/>
        <v>19.751860607150757</v>
      </c>
      <c r="AV30" s="446">
        <f t="shared" si="15"/>
        <v>29232846.268210184</v>
      </c>
      <c r="AW30" s="438">
        <f>SUM(Scenarios!AF31)</f>
        <v>5674331.0105266236</v>
      </c>
      <c r="AX30" s="438">
        <f>Scenarios!AD31</f>
        <v>680919.72126319481</v>
      </c>
      <c r="AY30" s="447">
        <f>Scenarios!AA31</f>
        <v>35588097</v>
      </c>
      <c r="AZ30" s="446">
        <f t="shared" si="66"/>
        <v>2777120395.4799676</v>
      </c>
      <c r="BA30" s="438">
        <f t="shared" si="52"/>
        <v>306413874.5684377</v>
      </c>
      <c r="BB30" s="438">
        <f t="shared" si="16"/>
        <v>0</v>
      </c>
      <c r="BC30" s="438">
        <f t="shared" si="17"/>
        <v>3083534270.0484052</v>
      </c>
      <c r="BD30" s="453">
        <f t="shared" si="18"/>
        <v>86.64510131149764</v>
      </c>
      <c r="BE30" s="463">
        <f t="shared" si="19"/>
        <v>41.149340396207087</v>
      </c>
      <c r="BG30" s="446">
        <f t="shared" si="20"/>
        <v>13549812.010738399</v>
      </c>
      <c r="BH30" s="438">
        <f>SUM(Scenarios!AK31)</f>
        <v>19393690.79055021</v>
      </c>
      <c r="BI30" s="438">
        <f>Scenarios!AI31</f>
        <v>2644594.1987113925</v>
      </c>
      <c r="BJ30" s="447">
        <f>Scenarios!AA31</f>
        <v>35588097</v>
      </c>
      <c r="BK30" s="446">
        <f t="shared" si="67"/>
        <v>1287232141.0201478</v>
      </c>
      <c r="BL30" s="438">
        <f t="shared" si="54"/>
        <v>1047259302.6897113</v>
      </c>
      <c r="BM30" s="438">
        <f t="shared" si="21"/>
        <v>0</v>
      </c>
      <c r="BN30" s="438">
        <f t="shared" si="22"/>
        <v>2334491443.7098589</v>
      </c>
      <c r="BO30" s="453">
        <f t="shared" si="23"/>
        <v>65.59753514524418</v>
      </c>
      <c r="BP30" s="463">
        <f t="shared" si="24"/>
        <v>31.153466981815608</v>
      </c>
      <c r="BR30" s="446">
        <f t="shared" si="25"/>
        <v>13549812.010738395</v>
      </c>
      <c r="BS30" s="438">
        <v>0</v>
      </c>
      <c r="BT30" s="438">
        <f>Scenarios!AN31</f>
        <v>22038284.989261605</v>
      </c>
      <c r="BU30" s="447">
        <f>Scenarios!AA31</f>
        <v>35588097</v>
      </c>
      <c r="BV30" s="446">
        <f t="shared" si="68"/>
        <v>1287232141.0201476</v>
      </c>
      <c r="BW30" s="438">
        <f t="shared" si="56"/>
        <v>0</v>
      </c>
      <c r="BX30" s="438">
        <f t="shared" si="26"/>
        <v>0</v>
      </c>
      <c r="BY30" s="438">
        <f t="shared" si="27"/>
        <v>1287232141.0201476</v>
      </c>
      <c r="BZ30" s="453">
        <f t="shared" si="28"/>
        <v>36.17029989044223</v>
      </c>
      <c r="CA30" s="463">
        <f t="shared" si="29"/>
        <v>17.177935738961317</v>
      </c>
      <c r="CC30" s="446">
        <f t="shared" si="30"/>
        <v>19073419.136399467</v>
      </c>
      <c r="CD30" s="438">
        <f>SUM(Scenarios!BA31)</f>
        <v>3702304.3425004766</v>
      </c>
      <c r="CE30" s="438">
        <f>Scenarios!AY31</f>
        <v>444276.52110005723</v>
      </c>
      <c r="CF30" s="447">
        <f>Scenarios!AV31</f>
        <v>23220000</v>
      </c>
      <c r="CG30" s="446">
        <f t="shared" si="69"/>
        <v>1811974817.9579494</v>
      </c>
      <c r="CH30" s="438">
        <f t="shared" si="58"/>
        <v>199924434.49502572</v>
      </c>
      <c r="CI30" s="438">
        <f t="shared" si="31"/>
        <v>0</v>
      </c>
      <c r="CJ30" s="438">
        <f t="shared" si="32"/>
        <v>2011899252.452975</v>
      </c>
      <c r="CK30" s="453">
        <f t="shared" si="33"/>
        <v>86.645101311497626</v>
      </c>
      <c r="CL30" s="463">
        <f t="shared" si="34"/>
        <v>26.848518593166933</v>
      </c>
      <c r="CN30" s="446">
        <f t="shared" si="35"/>
        <v>8840782.7732217759</v>
      </c>
      <c r="CO30" s="438">
        <f>SUM(Scenarios!BF31)</f>
        <v>12653711.159564838</v>
      </c>
      <c r="CP30" s="438">
        <f>Scenarios!BD31</f>
        <v>1725506.0672133868</v>
      </c>
      <c r="CQ30" s="447">
        <f>Scenarios!AV31</f>
        <v>23220000</v>
      </c>
      <c r="CR30" s="446">
        <f t="shared" si="70"/>
        <v>839874363.45606875</v>
      </c>
      <c r="CS30" s="438">
        <f t="shared" si="60"/>
        <v>683300402.61650121</v>
      </c>
      <c r="CT30" s="438">
        <f t="shared" si="36"/>
        <v>0</v>
      </c>
      <c r="CU30" s="438">
        <f t="shared" si="37"/>
        <v>1523174766.0725698</v>
      </c>
      <c r="CV30" s="453">
        <f t="shared" si="38"/>
        <v>65.59753514524418</v>
      </c>
      <c r="CW30" s="463">
        <f t="shared" si="39"/>
        <v>20.326557593617849</v>
      </c>
      <c r="CY30" s="446">
        <f t="shared" si="40"/>
        <v>8840782.7732217759</v>
      </c>
      <c r="CZ30" s="438">
        <v>0</v>
      </c>
      <c r="DA30" s="438">
        <f>Scenarios!BI31</f>
        <v>14379217.226778224</v>
      </c>
      <c r="DB30" s="447">
        <f>Scenarios!AV31</f>
        <v>23220000</v>
      </c>
      <c r="DC30" s="446">
        <f t="shared" si="71"/>
        <v>839874363.45606875</v>
      </c>
      <c r="DD30" s="438">
        <f t="shared" si="62"/>
        <v>0</v>
      </c>
      <c r="DE30" s="438">
        <f t="shared" si="41"/>
        <v>0</v>
      </c>
      <c r="DF30" s="438">
        <f t="shared" si="42"/>
        <v>839874363.45606875</v>
      </c>
      <c r="DG30" s="453">
        <f t="shared" si="43"/>
        <v>36.170299890442237</v>
      </c>
      <c r="DH30" s="463">
        <f t="shared" si="44"/>
        <v>11.208007774584907</v>
      </c>
    </row>
    <row r="31" spans="13:112">
      <c r="M31" s="360">
        <v>2042</v>
      </c>
      <c r="N31" s="429"/>
      <c r="O31" s="446">
        <f t="shared" si="1"/>
        <v>33465691.100204475</v>
      </c>
      <c r="P31" s="438">
        <f>SUM(Scenarios!J32)</f>
        <v>7015800.6917817211</v>
      </c>
      <c r="Q31" s="438">
        <f>Scenarios!H32</f>
        <v>841896.08301380649</v>
      </c>
      <c r="R31" s="447">
        <f>Scenarios!E32</f>
        <v>41323387.875</v>
      </c>
      <c r="S31" s="446">
        <f t="shared" si="63"/>
        <v>3179240654.5194249</v>
      </c>
      <c r="T31" s="438">
        <f t="shared" si="46"/>
        <v>378853237.35621291</v>
      </c>
      <c r="U31" s="438">
        <f t="shared" si="2"/>
        <v>0</v>
      </c>
      <c r="V31" s="438">
        <f t="shared" si="3"/>
        <v>3558093891.875638</v>
      </c>
      <c r="W31" s="453">
        <f t="shared" si="4"/>
        <v>86.103634644830976</v>
      </c>
      <c r="X31" s="463">
        <f t="shared" si="0"/>
        <v>47.482273228037606</v>
      </c>
      <c r="Z31" s="446">
        <f t="shared" si="5"/>
        <v>12618857.612373836</v>
      </c>
      <c r="AA31" s="438">
        <f>SUM(Scenarios!O32)</f>
        <v>25259986.631111026</v>
      </c>
      <c r="AB31" s="438">
        <f>Scenarios!M32</f>
        <v>3444543.6315151397</v>
      </c>
      <c r="AC31" s="447">
        <f>Scenarios!E32</f>
        <v>41323387.875</v>
      </c>
      <c r="AD31" s="446">
        <f t="shared" si="64"/>
        <v>1198791473.1755145</v>
      </c>
      <c r="AE31" s="438">
        <f t="shared" si="48"/>
        <v>1364039278.0799954</v>
      </c>
      <c r="AF31" s="438">
        <f t="shared" si="6"/>
        <v>0</v>
      </c>
      <c r="AG31" s="438">
        <f t="shared" si="7"/>
        <v>2562830751.2555099</v>
      </c>
      <c r="AH31" s="453">
        <f t="shared" si="8"/>
        <v>62.018892521781403</v>
      </c>
      <c r="AI31" s="463">
        <f t="shared" si="9"/>
        <v>34.20062361091405</v>
      </c>
      <c r="AK31" s="446">
        <f t="shared" si="10"/>
        <v>12618857.612373836</v>
      </c>
      <c r="AL31" s="438">
        <v>0</v>
      </c>
      <c r="AM31" s="438">
        <f>Scenarios!R32</f>
        <v>28704530.262626164</v>
      </c>
      <c r="AN31" s="447">
        <f>Scenarios!E32</f>
        <v>41323387.875</v>
      </c>
      <c r="AO31" s="446">
        <f t="shared" si="65"/>
        <v>1198791473.1755145</v>
      </c>
      <c r="AP31" s="438">
        <f t="shared" si="50"/>
        <v>0</v>
      </c>
      <c r="AQ31" s="438">
        <f t="shared" si="11"/>
        <v>0</v>
      </c>
      <c r="AR31" s="438">
        <f t="shared" si="12"/>
        <v>1198791473.1755145</v>
      </c>
      <c r="AS31" s="453">
        <f t="shared" si="13"/>
        <v>29.009999780312409</v>
      </c>
      <c r="AT31" s="463">
        <f t="shared" si="14"/>
        <v>15.997707200119889</v>
      </c>
      <c r="AV31" s="446">
        <f t="shared" si="15"/>
        <v>28974444.542774528</v>
      </c>
      <c r="AW31" s="438">
        <f>SUM(Scenarios!AF32)</f>
        <v>6074248.6225227425</v>
      </c>
      <c r="AX31" s="438">
        <f>Scenarios!AD32</f>
        <v>728909.83470272913</v>
      </c>
      <c r="AY31" s="447">
        <f>Scenarios!AA32</f>
        <v>35777603</v>
      </c>
      <c r="AZ31" s="446">
        <f t="shared" si="66"/>
        <v>2752572231.56358</v>
      </c>
      <c r="BA31" s="438">
        <f t="shared" si="52"/>
        <v>328009425.6162281</v>
      </c>
      <c r="BB31" s="438">
        <f t="shared" si="16"/>
        <v>0</v>
      </c>
      <c r="BC31" s="438">
        <f t="shared" si="17"/>
        <v>3080581657.1798081</v>
      </c>
      <c r="BD31" s="453">
        <f t="shared" si="18"/>
        <v>86.103634644830962</v>
      </c>
      <c r="BE31" s="463">
        <f t="shared" si="19"/>
        <v>41.109938183892375</v>
      </c>
      <c r="BG31" s="446">
        <f t="shared" si="20"/>
        <v>10925350.054422151</v>
      </c>
      <c r="BH31" s="438">
        <f>SUM(Scenarios!AK32)</f>
        <v>21869982.592108507</v>
      </c>
      <c r="BI31" s="438">
        <f>Scenarios!AI32</f>
        <v>2982270.3534693415</v>
      </c>
      <c r="BJ31" s="447">
        <f>Scenarios!AA32</f>
        <v>35777603</v>
      </c>
      <c r="BK31" s="446">
        <f t="shared" si="67"/>
        <v>1037908255.1701044</v>
      </c>
      <c r="BL31" s="438">
        <f t="shared" si="54"/>
        <v>1180979059.9738593</v>
      </c>
      <c r="BM31" s="438">
        <f t="shared" si="21"/>
        <v>0</v>
      </c>
      <c r="BN31" s="438">
        <f t="shared" si="22"/>
        <v>2218887315.1439638</v>
      </c>
      <c r="BO31" s="453">
        <f t="shared" si="23"/>
        <v>62.018892521781403</v>
      </c>
      <c r="BP31" s="463">
        <f t="shared" si="24"/>
        <v>29.610745798603261</v>
      </c>
      <c r="BR31" s="446">
        <f t="shared" si="25"/>
        <v>10925350.054422155</v>
      </c>
      <c r="BS31" s="438">
        <v>0</v>
      </c>
      <c r="BT31" s="438">
        <f>Scenarios!AN32</f>
        <v>24852252.945577845</v>
      </c>
      <c r="BU31" s="447">
        <f>Scenarios!AA32</f>
        <v>35777603</v>
      </c>
      <c r="BV31" s="446">
        <f t="shared" si="68"/>
        <v>1037908255.1701047</v>
      </c>
      <c r="BW31" s="438">
        <f t="shared" si="56"/>
        <v>0</v>
      </c>
      <c r="BX31" s="438">
        <f t="shared" si="26"/>
        <v>0</v>
      </c>
      <c r="BY31" s="438">
        <f t="shared" si="27"/>
        <v>1037908255.1701047</v>
      </c>
      <c r="BZ31" s="453">
        <f t="shared" si="28"/>
        <v>29.009999780312413</v>
      </c>
      <c r="CA31" s="463">
        <f t="shared" si="29"/>
        <v>13.850742800843772</v>
      </c>
      <c r="CC31" s="446">
        <f t="shared" si="30"/>
        <v>18982853.045874394</v>
      </c>
      <c r="CD31" s="438">
        <f>SUM(Scenarios!BA32)</f>
        <v>3979595.4947550036</v>
      </c>
      <c r="CE31" s="438">
        <f>Scenarios!AY32</f>
        <v>477551.45937060041</v>
      </c>
      <c r="CF31" s="447">
        <f>Scenarios!AV32</f>
        <v>23440000</v>
      </c>
      <c r="CG31" s="446">
        <f t="shared" si="69"/>
        <v>1803371039.3580675</v>
      </c>
      <c r="CH31" s="438">
        <f t="shared" si="58"/>
        <v>214898156.7167702</v>
      </c>
      <c r="CI31" s="438">
        <f t="shared" si="31"/>
        <v>0</v>
      </c>
      <c r="CJ31" s="438">
        <f t="shared" si="32"/>
        <v>2018269196.0748377</v>
      </c>
      <c r="CK31" s="453">
        <f t="shared" si="33"/>
        <v>86.103634644830962</v>
      </c>
      <c r="CL31" s="463">
        <f t="shared" si="34"/>
        <v>26.933524614000476</v>
      </c>
      <c r="CN31" s="446">
        <f t="shared" si="35"/>
        <v>7157835.7352686618</v>
      </c>
      <c r="CO31" s="438">
        <f>SUM(Scenarios!BF32)</f>
        <v>14328304.552963579</v>
      </c>
      <c r="CP31" s="438">
        <f>Scenarios!BD32</f>
        <v>1953859.7117677606</v>
      </c>
      <c r="CQ31" s="447">
        <f>Scenarios!AV32</f>
        <v>23440000</v>
      </c>
      <c r="CR31" s="446">
        <f t="shared" si="70"/>
        <v>679994394.85052288</v>
      </c>
      <c r="CS31" s="438">
        <f t="shared" si="60"/>
        <v>773728445.86003327</v>
      </c>
      <c r="CT31" s="438">
        <f t="shared" si="36"/>
        <v>0</v>
      </c>
      <c r="CU31" s="438">
        <f t="shared" si="37"/>
        <v>1453722840.710556</v>
      </c>
      <c r="CV31" s="453">
        <f t="shared" si="38"/>
        <v>62.018892521781403</v>
      </c>
      <c r="CW31" s="463">
        <f t="shared" si="39"/>
        <v>19.399731209473714</v>
      </c>
      <c r="CY31" s="446">
        <f t="shared" si="40"/>
        <v>7157835.7352686618</v>
      </c>
      <c r="CZ31" s="438">
        <v>0</v>
      </c>
      <c r="DA31" s="438">
        <f>Scenarios!BI32</f>
        <v>16282164.264731338</v>
      </c>
      <c r="DB31" s="447">
        <f>Scenarios!AV32</f>
        <v>23440000</v>
      </c>
      <c r="DC31" s="446">
        <f t="shared" si="71"/>
        <v>679994394.85052288</v>
      </c>
      <c r="DD31" s="438">
        <f t="shared" si="62"/>
        <v>0</v>
      </c>
      <c r="DE31" s="438">
        <f t="shared" si="41"/>
        <v>0</v>
      </c>
      <c r="DF31" s="438">
        <f t="shared" si="42"/>
        <v>679994394.85052288</v>
      </c>
      <c r="DG31" s="453">
        <f t="shared" si="43"/>
        <v>29.009999780312409</v>
      </c>
      <c r="DH31" s="463">
        <f t="shared" si="44"/>
        <v>9.07443160045624</v>
      </c>
    </row>
    <row r="32" spans="13:112">
      <c r="M32" s="360">
        <v>2043</v>
      </c>
      <c r="N32" s="429"/>
      <c r="O32" s="446">
        <f t="shared" si="1"/>
        <v>33293413.828533847</v>
      </c>
      <c r="P32" s="438">
        <f>SUM(Scenarios!J33)</f>
        <v>7529267.6196126388</v>
      </c>
      <c r="Q32" s="438">
        <f>Scenarios!H33</f>
        <v>903512.11435351672</v>
      </c>
      <c r="R32" s="447">
        <f>Scenarios!E33</f>
        <v>41726193.5625</v>
      </c>
      <c r="S32" s="446">
        <f t="shared" si="63"/>
        <v>3162874313.7107153</v>
      </c>
      <c r="T32" s="438">
        <f t="shared" si="46"/>
        <v>406580451.45908248</v>
      </c>
      <c r="U32" s="438">
        <f t="shared" si="2"/>
        <v>0</v>
      </c>
      <c r="V32" s="438">
        <f t="shared" si="3"/>
        <v>3569454765.1697979</v>
      </c>
      <c r="W32" s="453">
        <f t="shared" si="4"/>
        <v>85.544701311497633</v>
      </c>
      <c r="X32" s="463">
        <f t="shared" si="0"/>
        <v>47.633882518364132</v>
      </c>
      <c r="Z32" s="446">
        <f t="shared" si="5"/>
        <v>9979035.5532613248</v>
      </c>
      <c r="AA32" s="438">
        <f>SUM(Scenarios!O33)</f>
        <v>27937499.048130035</v>
      </c>
      <c r="AB32" s="438">
        <f>Scenarios!M33</f>
        <v>3809658.9611086412</v>
      </c>
      <c r="AC32" s="447">
        <f>Scenarios!E33</f>
        <v>41726193.5625</v>
      </c>
      <c r="AD32" s="446">
        <f t="shared" si="64"/>
        <v>948008377.5598259</v>
      </c>
      <c r="AE32" s="438">
        <f t="shared" si="48"/>
        <v>1508624948.5990219</v>
      </c>
      <c r="AF32" s="438">
        <f t="shared" si="6"/>
        <v>0</v>
      </c>
      <c r="AG32" s="438">
        <f t="shared" si="7"/>
        <v>2456633326.1588478</v>
      </c>
      <c r="AH32" s="453">
        <f t="shared" si="8"/>
        <v>58.875088197996178</v>
      </c>
      <c r="AI32" s="463">
        <f t="shared" si="9"/>
        <v>32.783433590699147</v>
      </c>
      <c r="AK32" s="446">
        <f t="shared" si="10"/>
        <v>9979035.5532613248</v>
      </c>
      <c r="AL32" s="438">
        <v>0</v>
      </c>
      <c r="AM32" s="438">
        <f>Scenarios!R33</f>
        <v>31747158.009238675</v>
      </c>
      <c r="AN32" s="447">
        <f>Scenarios!E33</f>
        <v>41726193.5625</v>
      </c>
      <c r="AO32" s="446">
        <f t="shared" si="65"/>
        <v>948008377.5598259</v>
      </c>
      <c r="AP32" s="438">
        <f t="shared" si="50"/>
        <v>0</v>
      </c>
      <c r="AQ32" s="438">
        <f t="shared" si="11"/>
        <v>0</v>
      </c>
      <c r="AR32" s="438">
        <f t="shared" si="12"/>
        <v>948008377.5598259</v>
      </c>
      <c r="AS32" s="453">
        <f t="shared" si="13"/>
        <v>22.71974260340431</v>
      </c>
      <c r="AT32" s="463">
        <f t="shared" si="14"/>
        <v>12.651041308534866</v>
      </c>
      <c r="AV32" s="446">
        <f t="shared" si="15"/>
        <v>28698228.664432209</v>
      </c>
      <c r="AW32" s="438">
        <f>SUM(Scenarios!AF33)</f>
        <v>6490071.7281855308</v>
      </c>
      <c r="AX32" s="438">
        <f>Scenarios!AD33</f>
        <v>778808.60738226364</v>
      </c>
      <c r="AY32" s="447">
        <f>Scenarios!AA33</f>
        <v>35967109</v>
      </c>
      <c r="AZ32" s="446">
        <f t="shared" si="66"/>
        <v>2726331723.1210599</v>
      </c>
      <c r="BA32" s="438">
        <f t="shared" si="52"/>
        <v>350463873.32201868</v>
      </c>
      <c r="BB32" s="438">
        <f t="shared" si="16"/>
        <v>0</v>
      </c>
      <c r="BC32" s="438">
        <f t="shared" si="17"/>
        <v>3076795596.4430785</v>
      </c>
      <c r="BD32" s="453">
        <f t="shared" si="18"/>
        <v>85.544701311497633</v>
      </c>
      <c r="BE32" s="463">
        <f t="shared" si="19"/>
        <v>41.059413724498597</v>
      </c>
      <c r="BG32" s="446">
        <f t="shared" si="20"/>
        <v>8601720.6175640672</v>
      </c>
      <c r="BH32" s="438">
        <f>SUM(Scenarios!AK33)</f>
        <v>24081541.776543621</v>
      </c>
      <c r="BI32" s="438">
        <f>Scenarios!AI33</f>
        <v>3283846.6058923118</v>
      </c>
      <c r="BJ32" s="447">
        <f>Scenarios!AA33</f>
        <v>35967109</v>
      </c>
      <c r="BK32" s="446">
        <f t="shared" si="67"/>
        <v>817163458.66858637</v>
      </c>
      <c r="BL32" s="438">
        <f t="shared" si="54"/>
        <v>1300403255.9333556</v>
      </c>
      <c r="BM32" s="438">
        <f t="shared" si="21"/>
        <v>0</v>
      </c>
      <c r="BN32" s="438">
        <f t="shared" si="22"/>
        <v>2117566714.6019421</v>
      </c>
      <c r="BO32" s="453">
        <f t="shared" si="23"/>
        <v>58.875088197996178</v>
      </c>
      <c r="BP32" s="463">
        <f t="shared" si="24"/>
        <v>28.258636330792374</v>
      </c>
      <c r="BR32" s="446">
        <f t="shared" si="25"/>
        <v>8601720.6175640672</v>
      </c>
      <c r="BS32" s="438">
        <v>0</v>
      </c>
      <c r="BT32" s="438">
        <f>Scenarios!AN33</f>
        <v>27365388.382435933</v>
      </c>
      <c r="BU32" s="447">
        <f>Scenarios!AA33</f>
        <v>35967109</v>
      </c>
      <c r="BV32" s="446">
        <f t="shared" si="68"/>
        <v>817163458.66858637</v>
      </c>
      <c r="BW32" s="438">
        <f t="shared" si="56"/>
        <v>0</v>
      </c>
      <c r="BX32" s="438">
        <f t="shared" si="26"/>
        <v>0</v>
      </c>
      <c r="BY32" s="438">
        <f t="shared" si="27"/>
        <v>817163458.66858637</v>
      </c>
      <c r="BZ32" s="453">
        <f t="shared" si="28"/>
        <v>22.719742603404303</v>
      </c>
      <c r="CA32" s="463">
        <f t="shared" si="29"/>
        <v>10.904933876271693</v>
      </c>
      <c r="CC32" s="446">
        <f t="shared" si="30"/>
        <v>18878361.62201599</v>
      </c>
      <c r="CD32" s="438">
        <f>SUM(Scenarios!BA33)</f>
        <v>4269319.9803428641</v>
      </c>
      <c r="CE32" s="438">
        <f>Scenarios!AY33</f>
        <v>512318.3976411437</v>
      </c>
      <c r="CF32" s="447">
        <f>Scenarios!AV33</f>
        <v>23660000</v>
      </c>
      <c r="CG32" s="446">
        <f t="shared" si="69"/>
        <v>1793444354.0915191</v>
      </c>
      <c r="CH32" s="438">
        <f t="shared" si="58"/>
        <v>230543278.93851465</v>
      </c>
      <c r="CI32" s="438">
        <f t="shared" si="31"/>
        <v>0</v>
      </c>
      <c r="CJ32" s="438">
        <f t="shared" si="32"/>
        <v>2023987633.0300338</v>
      </c>
      <c r="CK32" s="453">
        <f t="shared" si="33"/>
        <v>85.544701311497633</v>
      </c>
      <c r="CL32" s="463">
        <f t="shared" si="34"/>
        <v>27.00983636804494</v>
      </c>
      <c r="CN32" s="446">
        <f t="shared" si="35"/>
        <v>5658411.6841741651</v>
      </c>
      <c r="CO32" s="438">
        <f>SUM(Scenarios!BF33)</f>
        <v>15841397.717926733</v>
      </c>
      <c r="CP32" s="438">
        <f>Scenarios!BD33</f>
        <v>2160190.5978990998</v>
      </c>
      <c r="CQ32" s="447">
        <f>Scenarios!AV33</f>
        <v>23660000</v>
      </c>
      <c r="CR32" s="446">
        <f t="shared" si="70"/>
        <v>537549109.99654567</v>
      </c>
      <c r="CS32" s="438">
        <f t="shared" si="60"/>
        <v>855435476.76804364</v>
      </c>
      <c r="CT32" s="438">
        <f t="shared" si="36"/>
        <v>0</v>
      </c>
      <c r="CU32" s="438">
        <f t="shared" si="37"/>
        <v>1392984586.7645893</v>
      </c>
      <c r="CV32" s="453">
        <f t="shared" si="38"/>
        <v>58.87508819799617</v>
      </c>
      <c r="CW32" s="463">
        <f t="shared" si="39"/>
        <v>18.589187570970676</v>
      </c>
      <c r="CY32" s="446">
        <f t="shared" si="40"/>
        <v>5658411.6841741689</v>
      </c>
      <c r="CZ32" s="438">
        <v>0</v>
      </c>
      <c r="DA32" s="438">
        <f>Scenarios!BI33</f>
        <v>18001588.315825831</v>
      </c>
      <c r="DB32" s="447">
        <f>Scenarios!AV33</f>
        <v>23660000</v>
      </c>
      <c r="DC32" s="446">
        <f t="shared" si="71"/>
        <v>537549109.99654603</v>
      </c>
      <c r="DD32" s="438">
        <f t="shared" si="62"/>
        <v>0</v>
      </c>
      <c r="DE32" s="438">
        <f t="shared" si="41"/>
        <v>0</v>
      </c>
      <c r="DF32" s="438">
        <f t="shared" si="42"/>
        <v>537549109.99654603</v>
      </c>
      <c r="DG32" s="453">
        <f t="shared" si="43"/>
        <v>22.719742603404313</v>
      </c>
      <c r="DH32" s="463">
        <f t="shared" si="44"/>
        <v>7.1735188811696915</v>
      </c>
    </row>
    <row r="33" spans="1:112">
      <c r="I33" s="177"/>
      <c r="J33" s="177"/>
      <c r="K33" s="177"/>
      <c r="M33" s="360">
        <v>2044</v>
      </c>
      <c r="N33" s="429"/>
      <c r="O33" s="446">
        <f t="shared" si="1"/>
        <v>33095784.026583217</v>
      </c>
      <c r="P33" s="438">
        <f>SUM(Scenarios!J34)</f>
        <v>8065370.7351935562</v>
      </c>
      <c r="Q33" s="438">
        <f>Scenarios!H34</f>
        <v>967844.48822322662</v>
      </c>
      <c r="R33" s="447">
        <f>Scenarios!E34</f>
        <v>42128999.25</v>
      </c>
      <c r="S33" s="446">
        <f t="shared" si="63"/>
        <v>3144099482.5254054</v>
      </c>
      <c r="T33" s="438">
        <f t="shared" si="46"/>
        <v>435530019.70045203</v>
      </c>
      <c r="U33" s="438">
        <f t="shared" si="2"/>
        <v>0</v>
      </c>
      <c r="V33" s="438">
        <f t="shared" si="3"/>
        <v>3579629502.2258573</v>
      </c>
      <c r="W33" s="453">
        <f t="shared" si="4"/>
        <v>84.968301311497626</v>
      </c>
      <c r="X33" s="463">
        <f t="shared" si="0"/>
        <v>47.769662983860663</v>
      </c>
      <c r="Z33" s="446">
        <f t="shared" si="5"/>
        <v>7730932.3636664562</v>
      </c>
      <c r="AA33" s="438">
        <f>SUM(Scenarios!O34)</f>
        <v>30270298.859973516</v>
      </c>
      <c r="AB33" s="438">
        <f>Scenarios!M34</f>
        <v>4127768.0263600247</v>
      </c>
      <c r="AC33" s="447">
        <f>Scenarios!E34</f>
        <v>42128999.25</v>
      </c>
      <c r="AD33" s="446">
        <f t="shared" si="64"/>
        <v>734438574.54831338</v>
      </c>
      <c r="AE33" s="438">
        <f t="shared" si="48"/>
        <v>1634596138.4385698</v>
      </c>
      <c r="AF33" s="438">
        <f t="shared" si="6"/>
        <v>0</v>
      </c>
      <c r="AG33" s="438">
        <f t="shared" si="7"/>
        <v>2369034712.9868832</v>
      </c>
      <c r="AH33" s="453">
        <f t="shared" si="8"/>
        <v>56.232874152283195</v>
      </c>
      <c r="AI33" s="463">
        <f t="shared" si="9"/>
        <v>31.614442155558628</v>
      </c>
      <c r="AK33" s="446">
        <f t="shared" si="10"/>
        <v>7730932.3636664599</v>
      </c>
      <c r="AL33" s="438">
        <v>0</v>
      </c>
      <c r="AM33" s="438">
        <f>Scenarios!R34</f>
        <v>34398066.88633354</v>
      </c>
      <c r="AN33" s="447">
        <f>Scenarios!E34</f>
        <v>42128999.25</v>
      </c>
      <c r="AO33" s="446">
        <f t="shared" si="65"/>
        <v>734438574.54831374</v>
      </c>
      <c r="AP33" s="438">
        <f t="shared" si="50"/>
        <v>0</v>
      </c>
      <c r="AQ33" s="438">
        <f t="shared" si="11"/>
        <v>0</v>
      </c>
      <c r="AR33" s="438">
        <f t="shared" si="12"/>
        <v>734438574.54831374</v>
      </c>
      <c r="AS33" s="453">
        <f t="shared" si="13"/>
        <v>17.433088552377939</v>
      </c>
      <c r="AT33" s="463">
        <f t="shared" si="14"/>
        <v>9.8009816844744382</v>
      </c>
      <c r="AV33" s="446">
        <f t="shared" si="15"/>
        <v>28403986.386463214</v>
      </c>
      <c r="AW33" s="438">
        <f>SUM(Scenarios!AF34)</f>
        <v>6921989.8335149838</v>
      </c>
      <c r="AX33" s="438">
        <f>Scenarios!AD34</f>
        <v>830638.78002179798</v>
      </c>
      <c r="AY33" s="447">
        <f>Scenarios!AA34</f>
        <v>36156615</v>
      </c>
      <c r="AZ33" s="446">
        <f t="shared" si="66"/>
        <v>2698378706.7140055</v>
      </c>
      <c r="BA33" s="438">
        <f t="shared" si="52"/>
        <v>373787451.00980914</v>
      </c>
      <c r="BB33" s="438">
        <f t="shared" si="16"/>
        <v>0</v>
      </c>
      <c r="BC33" s="438">
        <f t="shared" si="17"/>
        <v>3072166157.7238145</v>
      </c>
      <c r="BD33" s="453">
        <f t="shared" si="18"/>
        <v>84.968301311497612</v>
      </c>
      <c r="BE33" s="463">
        <f t="shared" si="19"/>
        <v>40.997634502015885</v>
      </c>
      <c r="BG33" s="446">
        <f t="shared" si="20"/>
        <v>6634962.8531498574</v>
      </c>
      <c r="BH33" s="438">
        <f>SUM(Scenarios!AK34)</f>
        <v>25979053.889228124</v>
      </c>
      <c r="BI33" s="438">
        <f>Scenarios!AI34</f>
        <v>3542598.2576220171</v>
      </c>
      <c r="BJ33" s="447">
        <f>Scenarios!AA34</f>
        <v>36156615</v>
      </c>
      <c r="BK33" s="446">
        <f t="shared" si="67"/>
        <v>630321471.04923642</v>
      </c>
      <c r="BL33" s="438">
        <f t="shared" si="54"/>
        <v>1402868910.0183187</v>
      </c>
      <c r="BM33" s="438">
        <f t="shared" si="21"/>
        <v>0</v>
      </c>
      <c r="BN33" s="438">
        <f t="shared" si="22"/>
        <v>2033190381.067555</v>
      </c>
      <c r="BO33" s="453">
        <f t="shared" si="23"/>
        <v>56.232874152283195</v>
      </c>
      <c r="BP33" s="463">
        <f t="shared" si="24"/>
        <v>27.132645773879936</v>
      </c>
      <c r="BR33" s="446">
        <f t="shared" si="25"/>
        <v>6634962.8531498574</v>
      </c>
      <c r="BS33" s="438">
        <v>0</v>
      </c>
      <c r="BT33" s="438">
        <f>Scenarios!AN34</f>
        <v>29521652.146850143</v>
      </c>
      <c r="BU33" s="447">
        <f>Scenarios!AA34</f>
        <v>36156615</v>
      </c>
      <c r="BV33" s="446">
        <f t="shared" si="68"/>
        <v>630321471.04923642</v>
      </c>
      <c r="BW33" s="438">
        <f t="shared" si="56"/>
        <v>0</v>
      </c>
      <c r="BX33" s="438">
        <f t="shared" si="26"/>
        <v>0</v>
      </c>
      <c r="BY33" s="438">
        <f t="shared" si="27"/>
        <v>630321471.04923642</v>
      </c>
      <c r="BZ33" s="453">
        <f t="shared" si="28"/>
        <v>17.433088552377939</v>
      </c>
      <c r="CA33" s="463">
        <f t="shared" si="29"/>
        <v>8.4115532696303905</v>
      </c>
      <c r="CC33" s="446">
        <f t="shared" si="30"/>
        <v>18759698.464824256</v>
      </c>
      <c r="CD33" s="438">
        <f>SUM(Scenarios!BA34)</f>
        <v>4571697.7992640575</v>
      </c>
      <c r="CE33" s="438">
        <f>Scenarios!AY34</f>
        <v>548603.73591168679</v>
      </c>
      <c r="CF33" s="447">
        <f>Scenarios!AV34</f>
        <v>23880000</v>
      </c>
      <c r="CG33" s="446">
        <f t="shared" si="69"/>
        <v>1782171354.1583042</v>
      </c>
      <c r="CH33" s="438">
        <f t="shared" si="58"/>
        <v>246871681.1602591</v>
      </c>
      <c r="CI33" s="438">
        <f t="shared" si="31"/>
        <v>0</v>
      </c>
      <c r="CJ33" s="438">
        <f t="shared" si="32"/>
        <v>2029043035.3185632</v>
      </c>
      <c r="CK33" s="453">
        <f t="shared" si="33"/>
        <v>84.968301311497626</v>
      </c>
      <c r="CL33" s="463">
        <f t="shared" si="34"/>
        <v>27.077300015727118</v>
      </c>
      <c r="CN33" s="446">
        <f t="shared" si="35"/>
        <v>4382127.9434819482</v>
      </c>
      <c r="CO33" s="438">
        <f>SUM(Scenarios!BF34)</f>
        <v>17158127.409735885</v>
      </c>
      <c r="CP33" s="438">
        <f>Scenarios!BD34</f>
        <v>2339744.6467821659</v>
      </c>
      <c r="CQ33" s="447">
        <f>Scenarios!AV34</f>
        <v>23880000</v>
      </c>
      <c r="CR33" s="446">
        <f t="shared" si="70"/>
        <v>416302154.63078511</v>
      </c>
      <c r="CS33" s="438">
        <f t="shared" si="60"/>
        <v>926538880.12573779</v>
      </c>
      <c r="CT33" s="438">
        <f t="shared" si="36"/>
        <v>0</v>
      </c>
      <c r="CU33" s="438">
        <f t="shared" si="37"/>
        <v>1342841034.7565229</v>
      </c>
      <c r="CV33" s="453">
        <f t="shared" si="38"/>
        <v>56.232874152283202</v>
      </c>
      <c r="CW33" s="463">
        <f t="shared" si="39"/>
        <v>17.920028771505656</v>
      </c>
      <c r="CY33" s="446">
        <f t="shared" si="40"/>
        <v>4382127.9434819482</v>
      </c>
      <c r="CZ33" s="438">
        <v>0</v>
      </c>
      <c r="DA33" s="438">
        <f>Scenarios!BI34</f>
        <v>19497872.056518052</v>
      </c>
      <c r="DB33" s="447">
        <f>Scenarios!AV34</f>
        <v>23880000</v>
      </c>
      <c r="DC33" s="446">
        <f t="shared" si="71"/>
        <v>416302154.63078511</v>
      </c>
      <c r="DD33" s="438">
        <f t="shared" si="62"/>
        <v>0</v>
      </c>
      <c r="DE33" s="438">
        <f t="shared" si="41"/>
        <v>0</v>
      </c>
      <c r="DF33" s="438">
        <f t="shared" si="42"/>
        <v>416302154.63078511</v>
      </c>
      <c r="DG33" s="453">
        <f t="shared" si="43"/>
        <v>17.433088552377935</v>
      </c>
      <c r="DH33" s="463">
        <f t="shared" si="44"/>
        <v>5.5554949510282885</v>
      </c>
    </row>
    <row r="34" spans="1:112" ht="21">
      <c r="A34" s="435"/>
      <c r="B34" s="435"/>
      <c r="C34" s="435"/>
      <c r="D34" s="435"/>
      <c r="E34" s="435"/>
      <c r="F34" s="435"/>
      <c r="G34" s="435"/>
      <c r="H34" s="435"/>
      <c r="I34" s="467"/>
      <c r="J34" s="467"/>
      <c r="K34" s="177"/>
      <c r="M34" s="360">
        <v>2045</v>
      </c>
      <c r="N34" s="429"/>
      <c r="O34" s="446">
        <f t="shared" si="1"/>
        <v>32872350.551982589</v>
      </c>
      <c r="P34" s="438">
        <f>SUM(Scenarios!J35)</f>
        <v>8624512.8442119732</v>
      </c>
      <c r="Q34" s="438">
        <f>Scenarios!H35</f>
        <v>1034941.5413054369</v>
      </c>
      <c r="R34" s="447">
        <f>Scenarios!E35</f>
        <v>42531804.9375</v>
      </c>
      <c r="S34" s="446">
        <f t="shared" si="63"/>
        <v>3122873302.4383459</v>
      </c>
      <c r="T34" s="438">
        <f t="shared" si="46"/>
        <v>465723693.58744657</v>
      </c>
      <c r="U34" s="438">
        <f t="shared" si="2"/>
        <v>0</v>
      </c>
      <c r="V34" s="438">
        <f t="shared" si="3"/>
        <v>3588596996.0257926</v>
      </c>
      <c r="W34" s="453">
        <f t="shared" si="4"/>
        <v>84.374434644830956</v>
      </c>
      <c r="X34" s="463">
        <f t="shared" si="0"/>
        <v>47.889332954276995</v>
      </c>
      <c r="Z34" s="446">
        <f t="shared" si="5"/>
        <v>5888522.3715101033</v>
      </c>
      <c r="AA34" s="438">
        <f>SUM(Scenarios!O35)</f>
        <v>32246088.658071108</v>
      </c>
      <c r="AB34" s="438">
        <f>Scenarios!M35</f>
        <v>4397193.9079187876</v>
      </c>
      <c r="AC34" s="447">
        <f>Scenarios!E35</f>
        <v>42531804.9375</v>
      </c>
      <c r="AD34" s="446">
        <f t="shared" si="64"/>
        <v>559409625.29345977</v>
      </c>
      <c r="AE34" s="438">
        <f t="shared" si="48"/>
        <v>1741288787.5358398</v>
      </c>
      <c r="AF34" s="438">
        <f t="shared" si="6"/>
        <v>0</v>
      </c>
      <c r="AG34" s="438">
        <f t="shared" si="7"/>
        <v>2300698412.8292994</v>
      </c>
      <c r="AH34" s="453">
        <f t="shared" si="8"/>
        <v>54.093599277297294</v>
      </c>
      <c r="AI34" s="463">
        <f t="shared" si="9"/>
        <v>30.702503636205755</v>
      </c>
      <c r="AK34" s="446">
        <f t="shared" si="10"/>
        <v>5888522.3715101033</v>
      </c>
      <c r="AL34" s="438">
        <v>0</v>
      </c>
      <c r="AM34" s="438">
        <f>Scenarios!R35</f>
        <v>36643282.565989897</v>
      </c>
      <c r="AN34" s="447">
        <f>Scenarios!E35</f>
        <v>42531804.9375</v>
      </c>
      <c r="AO34" s="446">
        <f t="shared" si="65"/>
        <v>559409625.29345977</v>
      </c>
      <c r="AP34" s="438">
        <f t="shared" si="50"/>
        <v>0</v>
      </c>
      <c r="AQ34" s="438">
        <f t="shared" si="11"/>
        <v>0</v>
      </c>
      <c r="AR34" s="438">
        <f t="shared" si="12"/>
        <v>559409625.29345977</v>
      </c>
      <c r="AS34" s="453">
        <f t="shared" si="13"/>
        <v>13.15273654893099</v>
      </c>
      <c r="AT34" s="463">
        <f t="shared" si="14"/>
        <v>7.4652444487843743</v>
      </c>
      <c r="AV34" s="446">
        <f t="shared" si="15"/>
        <v>28091505.46214756</v>
      </c>
      <c r="AW34" s="438">
        <f>SUM(Scenarios!AF35)</f>
        <v>7370192.4445111034</v>
      </c>
      <c r="AX34" s="438">
        <f>Scenarios!AD35</f>
        <v>884423.09334133239</v>
      </c>
      <c r="AY34" s="447">
        <f>Scenarios!AA35</f>
        <v>36346121</v>
      </c>
      <c r="AZ34" s="446">
        <f t="shared" si="66"/>
        <v>2668693018.9040184</v>
      </c>
      <c r="BA34" s="438">
        <f t="shared" si="52"/>
        <v>397990392.00359958</v>
      </c>
      <c r="BB34" s="438">
        <f t="shared" si="16"/>
        <v>0</v>
      </c>
      <c r="BC34" s="438">
        <f t="shared" si="17"/>
        <v>3066683410.907618</v>
      </c>
      <c r="BD34" s="453">
        <f t="shared" si="18"/>
        <v>84.374434644830956</v>
      </c>
      <c r="BE34" s="463">
        <f t="shared" si="19"/>
        <v>40.924468000434452</v>
      </c>
      <c r="BG34" s="446">
        <f t="shared" si="20"/>
        <v>5032115.3061954565</v>
      </c>
      <c r="BH34" s="438">
        <f>SUM(Scenarios!AK35)</f>
        <v>27556325.010547999</v>
      </c>
      <c r="BI34" s="438">
        <f>Scenarios!AI35</f>
        <v>3757680.6832565456</v>
      </c>
      <c r="BJ34" s="447">
        <f>Scenarios!AA35</f>
        <v>36346121</v>
      </c>
      <c r="BK34" s="446">
        <f t="shared" si="67"/>
        <v>478050954.08856839</v>
      </c>
      <c r="BL34" s="438">
        <f t="shared" si="54"/>
        <v>1488041550.569592</v>
      </c>
      <c r="BM34" s="438">
        <f t="shared" si="21"/>
        <v>0</v>
      </c>
      <c r="BN34" s="438">
        <f t="shared" si="22"/>
        <v>1966092504.6581604</v>
      </c>
      <c r="BO34" s="453">
        <f t="shared" si="23"/>
        <v>54.093599277297308</v>
      </c>
      <c r="BP34" s="463">
        <f t="shared" si="24"/>
        <v>26.237233848981997</v>
      </c>
      <c r="BR34" s="446">
        <f t="shared" si="25"/>
        <v>5032115.3061954528</v>
      </c>
      <c r="BS34" s="438">
        <v>0</v>
      </c>
      <c r="BT34" s="438">
        <f>Scenarios!AN35</f>
        <v>31314005.693804547</v>
      </c>
      <c r="BU34" s="447">
        <f>Scenarios!AA35</f>
        <v>36346121</v>
      </c>
      <c r="BV34" s="446">
        <f t="shared" si="68"/>
        <v>478050954.08856803</v>
      </c>
      <c r="BW34" s="438">
        <f t="shared" si="56"/>
        <v>0</v>
      </c>
      <c r="BX34" s="438">
        <f t="shared" si="26"/>
        <v>0</v>
      </c>
      <c r="BY34" s="438">
        <f t="shared" si="27"/>
        <v>478050954.08856803</v>
      </c>
      <c r="BZ34" s="453">
        <f t="shared" si="28"/>
        <v>13.152736548930985</v>
      </c>
      <c r="CA34" s="463">
        <f t="shared" si="29"/>
        <v>6.3795241802884997</v>
      </c>
      <c r="CC34" s="446">
        <f t="shared" si="30"/>
        <v>18626617.174299184</v>
      </c>
      <c r="CD34" s="438">
        <f>SUM(Scenarios!BA35)</f>
        <v>4886948.951518584</v>
      </c>
      <c r="CE34" s="438">
        <f>Scenarios!AY35</f>
        <v>586433.87418223009</v>
      </c>
      <c r="CF34" s="447">
        <f>Scenarios!AV35</f>
        <v>24100000</v>
      </c>
      <c r="CG34" s="446">
        <f t="shared" si="69"/>
        <v>1769528631.5584226</v>
      </c>
      <c r="CH34" s="438">
        <f t="shared" si="58"/>
        <v>263895243.38200355</v>
      </c>
      <c r="CI34" s="438">
        <f t="shared" si="31"/>
        <v>0</v>
      </c>
      <c r="CJ34" s="438">
        <f t="shared" si="32"/>
        <v>2033423874.9404261</v>
      </c>
      <c r="CK34" s="453">
        <f t="shared" si="33"/>
        <v>84.374434644830956</v>
      </c>
      <c r="CL34" s="463">
        <f t="shared" si="34"/>
        <v>27.135761717473798</v>
      </c>
      <c r="CN34" s="446">
        <f t="shared" si="35"/>
        <v>3336641.5876761787</v>
      </c>
      <c r="CO34" s="438">
        <f>SUM(Scenarios!BF35)</f>
        <v>18271755.402844962</v>
      </c>
      <c r="CP34" s="438">
        <f>Scenarios!BD35</f>
        <v>2491603.0094788587</v>
      </c>
      <c r="CQ34" s="447">
        <f>Scenarios!AV35</f>
        <v>24100000</v>
      </c>
      <c r="CR34" s="446">
        <f t="shared" si="70"/>
        <v>316980950.82923698</v>
      </c>
      <c r="CS34" s="438">
        <f t="shared" si="60"/>
        <v>986674791.7536279</v>
      </c>
      <c r="CT34" s="438">
        <f t="shared" si="36"/>
        <v>0</v>
      </c>
      <c r="CU34" s="438">
        <f t="shared" si="37"/>
        <v>1303655742.5828648</v>
      </c>
      <c r="CV34" s="453">
        <f t="shared" si="38"/>
        <v>54.093599277297294</v>
      </c>
      <c r="CW34" s="463">
        <f t="shared" si="39"/>
        <v>17.397106441165096</v>
      </c>
      <c r="CY34" s="446">
        <f t="shared" si="40"/>
        <v>3336641.5876761749</v>
      </c>
      <c r="CZ34" s="438">
        <v>0</v>
      </c>
      <c r="DA34" s="438">
        <f>Scenarios!BI35</f>
        <v>20763358.412323825</v>
      </c>
      <c r="DB34" s="447">
        <f>Scenarios!AV35</f>
        <v>24100000</v>
      </c>
      <c r="DC34" s="446">
        <f t="shared" si="71"/>
        <v>316980950.82923663</v>
      </c>
      <c r="DD34" s="438">
        <f t="shared" si="62"/>
        <v>0</v>
      </c>
      <c r="DE34" s="438">
        <f t="shared" si="41"/>
        <v>0</v>
      </c>
      <c r="DF34" s="438">
        <f t="shared" si="42"/>
        <v>316980950.82923663</v>
      </c>
      <c r="DG34" s="453">
        <f t="shared" si="43"/>
        <v>13.15273654893098</v>
      </c>
      <c r="DH34" s="463">
        <f t="shared" si="44"/>
        <v>4.2300671575091267</v>
      </c>
    </row>
    <row r="35" spans="1:112">
      <c r="I35" s="177"/>
      <c r="J35" s="468"/>
      <c r="K35" s="177"/>
      <c r="M35" s="360">
        <v>2046</v>
      </c>
      <c r="N35" s="429"/>
      <c r="O35" s="446">
        <f t="shared" si="1"/>
        <v>32622662.262361966</v>
      </c>
      <c r="P35" s="438">
        <f>SUM(Scenarios!J36)</f>
        <v>9207096.7523553912</v>
      </c>
      <c r="Q35" s="438">
        <f>Scenarios!H36</f>
        <v>1104851.6102826467</v>
      </c>
      <c r="R35" s="447">
        <f>Scenarios!E36</f>
        <v>42934610.625</v>
      </c>
      <c r="S35" s="446">
        <f t="shared" si="63"/>
        <v>3099152914.924387</v>
      </c>
      <c r="T35" s="438">
        <f t="shared" si="46"/>
        <v>497183224.62719113</v>
      </c>
      <c r="U35" s="438">
        <f t="shared" si="2"/>
        <v>0</v>
      </c>
      <c r="V35" s="438">
        <f t="shared" si="3"/>
        <v>3596336139.551578</v>
      </c>
      <c r="W35" s="453">
        <f t="shared" si="4"/>
        <v>83.763101311497635</v>
      </c>
      <c r="X35" s="463">
        <f t="shared" si="0"/>
        <v>47.992610759362861</v>
      </c>
      <c r="Z35" s="446">
        <f t="shared" si="5"/>
        <v>4424834.8723243102</v>
      </c>
      <c r="AA35" s="438">
        <f>SUM(Scenarios!O36)</f>
        <v>33888602.662354611</v>
      </c>
      <c r="AB35" s="438">
        <f>Scenarios!M36</f>
        <v>4621173.0903210826</v>
      </c>
      <c r="AC35" s="447">
        <f>Scenarios!E36</f>
        <v>42934610.625</v>
      </c>
      <c r="AD35" s="446">
        <f t="shared" si="64"/>
        <v>420359312.8708095</v>
      </c>
      <c r="AE35" s="438">
        <f t="shared" si="48"/>
        <v>1829984543.767149</v>
      </c>
      <c r="AF35" s="438">
        <f t="shared" si="6"/>
        <v>0</v>
      </c>
      <c r="AG35" s="438">
        <f t="shared" si="7"/>
        <v>2250343856.6379585</v>
      </c>
      <c r="AH35" s="453">
        <f t="shared" si="8"/>
        <v>52.413282055657596</v>
      </c>
      <c r="AI35" s="463">
        <f t="shared" si="9"/>
        <v>30.030529014958915</v>
      </c>
      <c r="AK35" s="446">
        <f t="shared" si="10"/>
        <v>4424834.8723243102</v>
      </c>
      <c r="AL35" s="438">
        <v>0</v>
      </c>
      <c r="AM35" s="438">
        <f>Scenarios!R36</f>
        <v>38509775.75267569</v>
      </c>
      <c r="AN35" s="447">
        <f>Scenarios!E36</f>
        <v>42934610.625</v>
      </c>
      <c r="AO35" s="446">
        <f t="shared" si="65"/>
        <v>420359312.8708095</v>
      </c>
      <c r="AP35" s="438">
        <f t="shared" si="50"/>
        <v>0</v>
      </c>
      <c r="AQ35" s="438">
        <f t="shared" si="11"/>
        <v>0</v>
      </c>
      <c r="AR35" s="438">
        <f t="shared" si="12"/>
        <v>420359312.8708095</v>
      </c>
      <c r="AS35" s="453">
        <f t="shared" si="13"/>
        <v>9.7906865056333441</v>
      </c>
      <c r="AT35" s="463">
        <f t="shared" si="14"/>
        <v>5.6096371692879279</v>
      </c>
      <c r="AV35" s="446">
        <f t="shared" si="15"/>
        <v>27760573.644765243</v>
      </c>
      <c r="AW35" s="438">
        <f>SUM(Scenarios!AF36)</f>
        <v>7834869.0671738908</v>
      </c>
      <c r="AX35" s="438">
        <f>Scenarios!AD36</f>
        <v>940184.28806086665</v>
      </c>
      <c r="AY35" s="447">
        <f>Scenarios!AA36</f>
        <v>36535627</v>
      </c>
      <c r="AZ35" s="446">
        <f t="shared" si="66"/>
        <v>2637254496.2526979</v>
      </c>
      <c r="BA35" s="438">
        <f t="shared" si="52"/>
        <v>423082929.62739009</v>
      </c>
      <c r="BB35" s="438">
        <f t="shared" si="16"/>
        <v>0</v>
      </c>
      <c r="BC35" s="438">
        <f t="shared" si="17"/>
        <v>3060337425.8800879</v>
      </c>
      <c r="BD35" s="453">
        <f t="shared" si="18"/>
        <v>83.763101311497621</v>
      </c>
      <c r="BE35" s="463">
        <f t="shared" si="19"/>
        <v>40.839781703744471</v>
      </c>
      <c r="BG35" s="446">
        <f t="shared" si="20"/>
        <v>3765356.5288816094</v>
      </c>
      <c r="BH35" s="438">
        <f>SUM(Scenarios!AK36)</f>
        <v>28837838.014584184</v>
      </c>
      <c r="BI35" s="438">
        <f>Scenarios!AI36</f>
        <v>3932432.4565342064</v>
      </c>
      <c r="BJ35" s="447">
        <f>Scenarios!AA36</f>
        <v>36535627</v>
      </c>
      <c r="BK35" s="446">
        <f t="shared" si="67"/>
        <v>357708870.2437529</v>
      </c>
      <c r="BL35" s="438">
        <f t="shared" si="54"/>
        <v>1557243252.7875459</v>
      </c>
      <c r="BM35" s="438">
        <f t="shared" si="21"/>
        <v>0</v>
      </c>
      <c r="BN35" s="438">
        <f t="shared" si="22"/>
        <v>1914952123.0312989</v>
      </c>
      <c r="BO35" s="453">
        <f t="shared" si="23"/>
        <v>52.413282055657589</v>
      </c>
      <c r="BP35" s="463">
        <f t="shared" si="24"/>
        <v>25.554772495464228</v>
      </c>
      <c r="BR35" s="446">
        <f t="shared" si="25"/>
        <v>3765356.5288816132</v>
      </c>
      <c r="BS35" s="438">
        <v>0</v>
      </c>
      <c r="BT35" s="438">
        <f>Scenarios!AN36</f>
        <v>32770270.471118387</v>
      </c>
      <c r="BU35" s="447">
        <f>Scenarios!AA36</f>
        <v>36535627</v>
      </c>
      <c r="BV35" s="446">
        <f t="shared" si="68"/>
        <v>357708870.24375325</v>
      </c>
      <c r="BW35" s="438">
        <f t="shared" si="56"/>
        <v>0</v>
      </c>
      <c r="BX35" s="438">
        <f t="shared" si="26"/>
        <v>0</v>
      </c>
      <c r="BY35" s="438">
        <f t="shared" si="27"/>
        <v>357708870.24375325</v>
      </c>
      <c r="BZ35" s="453">
        <f t="shared" si="28"/>
        <v>9.7906865056333441</v>
      </c>
      <c r="CA35" s="463">
        <f t="shared" si="29"/>
        <v>4.7735756360417581</v>
      </c>
      <c r="CC35" s="446">
        <f t="shared" si="30"/>
        <v>18478871.350440782</v>
      </c>
      <c r="CD35" s="438">
        <f>SUM(Scenarios!BA36)</f>
        <v>5215293.4371064445</v>
      </c>
      <c r="CE35" s="438">
        <f>Scenarios!AY36</f>
        <v>625835.21245277324</v>
      </c>
      <c r="CF35" s="447">
        <f>Scenarios!AV36</f>
        <v>24320000</v>
      </c>
      <c r="CG35" s="446">
        <f t="shared" si="69"/>
        <v>1755492778.2918742</v>
      </c>
      <c r="CH35" s="438">
        <f t="shared" si="58"/>
        <v>281625845.60374802</v>
      </c>
      <c r="CI35" s="438">
        <f t="shared" si="31"/>
        <v>0</v>
      </c>
      <c r="CJ35" s="438">
        <f t="shared" si="32"/>
        <v>2037118623.8956223</v>
      </c>
      <c r="CK35" s="453">
        <f t="shared" si="33"/>
        <v>83.763101311497621</v>
      </c>
      <c r="CL35" s="463">
        <f t="shared" si="34"/>
        <v>27.185067633711757</v>
      </c>
      <c r="CN35" s="446">
        <f t="shared" si="35"/>
        <v>2506415.7454421334</v>
      </c>
      <c r="CO35" s="438">
        <f>SUM(Scenarios!BF36)</f>
        <v>19195954.144010924</v>
      </c>
      <c r="CP35" s="438">
        <f>Scenarios!BD36</f>
        <v>2617630.1105469437</v>
      </c>
      <c r="CQ35" s="447">
        <f>Scenarios!AV36</f>
        <v>24320000</v>
      </c>
      <c r="CR35" s="446">
        <f t="shared" si="70"/>
        <v>238109495.81700268</v>
      </c>
      <c r="CS35" s="438">
        <f t="shared" si="60"/>
        <v>1036581523.7765899</v>
      </c>
      <c r="CT35" s="438">
        <f t="shared" si="36"/>
        <v>0</v>
      </c>
      <c r="CU35" s="438">
        <f t="shared" si="37"/>
        <v>1274691019.5935926</v>
      </c>
      <c r="CV35" s="453">
        <f t="shared" si="38"/>
        <v>52.413282055657589</v>
      </c>
      <c r="CW35" s="463">
        <f t="shared" si="39"/>
        <v>17.010576199764959</v>
      </c>
      <c r="CY35" s="446">
        <f t="shared" si="40"/>
        <v>2506415.7454421334</v>
      </c>
      <c r="CZ35" s="438">
        <v>0</v>
      </c>
      <c r="DA35" s="438">
        <f>Scenarios!BI36</f>
        <v>21813584.254557867</v>
      </c>
      <c r="DB35" s="447">
        <f>Scenarios!AV36</f>
        <v>24320000</v>
      </c>
      <c r="DC35" s="446">
        <f t="shared" si="71"/>
        <v>238109495.81700268</v>
      </c>
      <c r="DD35" s="438">
        <f t="shared" si="62"/>
        <v>0</v>
      </c>
      <c r="DE35" s="438">
        <f t="shared" si="41"/>
        <v>0</v>
      </c>
      <c r="DF35" s="438">
        <f t="shared" si="42"/>
        <v>238109495.81700268</v>
      </c>
      <c r="DG35" s="453">
        <f t="shared" si="43"/>
        <v>9.7906865056333334</v>
      </c>
      <c r="DH35" s="463">
        <f t="shared" si="44"/>
        <v>3.1775384467477577</v>
      </c>
    </row>
    <row r="36" spans="1:112">
      <c r="I36" s="177"/>
      <c r="J36" s="177"/>
      <c r="K36" s="177"/>
      <c r="M36" s="360">
        <v>2047</v>
      </c>
      <c r="N36" s="429"/>
      <c r="O36" s="446">
        <f t="shared" si="1"/>
        <v>32346268.015351333</v>
      </c>
      <c r="P36" s="438">
        <f>SUM(Scenarios!J37)</f>
        <v>9813525.2653113082</v>
      </c>
      <c r="Q36" s="438">
        <f>Scenarios!H37</f>
        <v>1177623.031837357</v>
      </c>
      <c r="R36" s="447">
        <f>Scenarios!E37</f>
        <v>43337416.3125</v>
      </c>
      <c r="S36" s="446">
        <f t="shared" si="63"/>
        <v>3072895461.4583764</v>
      </c>
      <c r="T36" s="438">
        <f t="shared" si="46"/>
        <v>529930364.32681066</v>
      </c>
      <c r="U36" s="438">
        <f t="shared" si="2"/>
        <v>0</v>
      </c>
      <c r="V36" s="438">
        <f t="shared" si="3"/>
        <v>3602825825.7851872</v>
      </c>
      <c r="W36" s="453">
        <f t="shared" si="4"/>
        <v>83.134301311497623</v>
      </c>
      <c r="X36" s="463">
        <f t="shared" si="0"/>
        <v>48.07921472886801</v>
      </c>
      <c r="Z36" s="446">
        <f t="shared" si="5"/>
        <v>3290131.6362159178</v>
      </c>
      <c r="AA36" s="438">
        <f>SUM(Scenarios!O37)</f>
        <v>35241610.515129991</v>
      </c>
      <c r="AB36" s="438">
        <f>Scenarios!M37</f>
        <v>4805674.1611540895</v>
      </c>
      <c r="AC36" s="447">
        <f>Scenarios!E37</f>
        <v>43337416.3125</v>
      </c>
      <c r="AD36" s="446">
        <f t="shared" si="64"/>
        <v>312562505.44051218</v>
      </c>
      <c r="AE36" s="438">
        <f t="shared" si="48"/>
        <v>1903046967.8170195</v>
      </c>
      <c r="AF36" s="438">
        <f t="shared" si="6"/>
        <v>0</v>
      </c>
      <c r="AG36" s="438">
        <f t="shared" si="7"/>
        <v>2215609473.2575316</v>
      </c>
      <c r="AH36" s="453">
        <f t="shared" si="8"/>
        <v>51.124632287284598</v>
      </c>
      <c r="AI36" s="463">
        <f t="shared" si="9"/>
        <v>29.567003449812169</v>
      </c>
      <c r="AK36" s="446">
        <f t="shared" si="10"/>
        <v>3290131.6362159178</v>
      </c>
      <c r="AL36" s="438">
        <v>0</v>
      </c>
      <c r="AM36" s="438">
        <f>Scenarios!R37</f>
        <v>40047284.676284082</v>
      </c>
      <c r="AN36" s="447">
        <f>Scenarios!E37</f>
        <v>43337416.3125</v>
      </c>
      <c r="AO36" s="446">
        <f t="shared" si="65"/>
        <v>312562505.44051218</v>
      </c>
      <c r="AP36" s="438">
        <f t="shared" si="50"/>
        <v>0</v>
      </c>
      <c r="AQ36" s="438">
        <f t="shared" si="11"/>
        <v>0</v>
      </c>
      <c r="AR36" s="438">
        <f t="shared" si="12"/>
        <v>312562505.44051218</v>
      </c>
      <c r="AS36" s="453">
        <f t="shared" si="13"/>
        <v>7.2123013330252093</v>
      </c>
      <c r="AT36" s="463">
        <f t="shared" si="14"/>
        <v>4.1711036119799836</v>
      </c>
      <c r="AV36" s="446">
        <f t="shared" si="15"/>
        <v>27410978.687596254</v>
      </c>
      <c r="AW36" s="438">
        <f>SUM(Scenarios!AF37)</f>
        <v>8316209.207503343</v>
      </c>
      <c r="AX36" s="438">
        <f>Scenarios!AD37</f>
        <v>997945.1049004012</v>
      </c>
      <c r="AY36" s="447">
        <f>Scenarios!AA37</f>
        <v>36725133</v>
      </c>
      <c r="AZ36" s="446">
        <f t="shared" si="66"/>
        <v>2604042975.3216443</v>
      </c>
      <c r="BA36" s="438">
        <f t="shared" si="52"/>
        <v>449075297.20518053</v>
      </c>
      <c r="BB36" s="438">
        <f t="shared" si="16"/>
        <v>0</v>
      </c>
      <c r="BC36" s="438">
        <f t="shared" si="17"/>
        <v>3053118272.526825</v>
      </c>
      <c r="BD36" s="453">
        <f t="shared" si="18"/>
        <v>83.134301311497637</v>
      </c>
      <c r="BE36" s="463">
        <f t="shared" si="19"/>
        <v>40.743443095936101</v>
      </c>
      <c r="BG36" s="446">
        <f t="shared" si="20"/>
        <v>2788133.9546466134</v>
      </c>
      <c r="BH36" s="438">
        <f>SUM(Scenarios!AK37)</f>
        <v>29864559.159910981</v>
      </c>
      <c r="BI36" s="438">
        <f>Scenarios!AI37</f>
        <v>4072439.8854424059</v>
      </c>
      <c r="BJ36" s="447">
        <f>Scenarios!AA37</f>
        <v>36725133</v>
      </c>
      <c r="BK36" s="446">
        <f t="shared" si="67"/>
        <v>264872725.69142827</v>
      </c>
      <c r="BL36" s="438">
        <f t="shared" si="54"/>
        <v>1612686194.6351929</v>
      </c>
      <c r="BM36" s="438">
        <f t="shared" si="21"/>
        <v>0</v>
      </c>
      <c r="BN36" s="438">
        <f t="shared" si="22"/>
        <v>1877558920.3266211</v>
      </c>
      <c r="BO36" s="453">
        <f t="shared" si="23"/>
        <v>51.124632287284598</v>
      </c>
      <c r="BP36" s="463">
        <f t="shared" si="24"/>
        <v>25.055765352412429</v>
      </c>
      <c r="BR36" s="446">
        <f t="shared" si="25"/>
        <v>2788133.9546466172</v>
      </c>
      <c r="BS36" s="438">
        <v>0</v>
      </c>
      <c r="BT36" s="438">
        <f>Scenarios!AN37</f>
        <v>33936999.045353383</v>
      </c>
      <c r="BU36" s="447">
        <f>Scenarios!AA37</f>
        <v>36725133</v>
      </c>
      <c r="BV36" s="446">
        <f t="shared" si="68"/>
        <v>264872725.69142863</v>
      </c>
      <c r="BW36" s="438">
        <f t="shared" si="56"/>
        <v>0</v>
      </c>
      <c r="BX36" s="438">
        <f t="shared" si="26"/>
        <v>0</v>
      </c>
      <c r="BY36" s="438">
        <f t="shared" si="27"/>
        <v>264872725.69142863</v>
      </c>
      <c r="BZ36" s="453">
        <f t="shared" si="28"/>
        <v>7.2123013330252235</v>
      </c>
      <c r="CA36" s="463">
        <f t="shared" si="29"/>
        <v>3.5346900655580145</v>
      </c>
      <c r="CC36" s="446">
        <f t="shared" si="30"/>
        <v>18316214.593249049</v>
      </c>
      <c r="CD36" s="438">
        <f>SUM(Scenarios!BA37)</f>
        <v>5556951.2560276361</v>
      </c>
      <c r="CE36" s="438">
        <f>Scenarios!AY37</f>
        <v>666834.15072331647</v>
      </c>
      <c r="CF36" s="447">
        <f>Scenarios!AV37</f>
        <v>24540000</v>
      </c>
      <c r="CG36" s="446">
        <f t="shared" si="69"/>
        <v>1740040386.3586597</v>
      </c>
      <c r="CH36" s="438">
        <f t="shared" si="58"/>
        <v>300075367.82549232</v>
      </c>
      <c r="CI36" s="438">
        <f t="shared" si="31"/>
        <v>0</v>
      </c>
      <c r="CJ36" s="438">
        <f t="shared" si="32"/>
        <v>2040115754.1841521</v>
      </c>
      <c r="CK36" s="453">
        <f t="shared" si="33"/>
        <v>83.134301311497637</v>
      </c>
      <c r="CL36" s="463">
        <f t="shared" si="34"/>
        <v>27.225063924867804</v>
      </c>
      <c r="CN36" s="446">
        <f t="shared" si="35"/>
        <v>1863051.3127625138</v>
      </c>
      <c r="CO36" s="438">
        <f>SUM(Scenarios!BF37)</f>
        <v>19955714.844768986</v>
      </c>
      <c r="CP36" s="438">
        <f>Scenarios!BD37</f>
        <v>2721233.8424684983</v>
      </c>
      <c r="CQ36" s="447">
        <f>Scenarios!AV37</f>
        <v>24540000</v>
      </c>
      <c r="CR36" s="446">
        <f t="shared" si="70"/>
        <v>176989874.71243882</v>
      </c>
      <c r="CS36" s="438">
        <f t="shared" si="60"/>
        <v>1077608601.6175253</v>
      </c>
      <c r="CT36" s="438">
        <f t="shared" si="36"/>
        <v>0</v>
      </c>
      <c r="CU36" s="438">
        <f t="shared" si="37"/>
        <v>1254598476.3299642</v>
      </c>
      <c r="CV36" s="453">
        <f t="shared" si="38"/>
        <v>51.124632287284605</v>
      </c>
      <c r="CW36" s="463">
        <f t="shared" si="39"/>
        <v>16.74244397557937</v>
      </c>
      <c r="CY36" s="446">
        <f t="shared" si="40"/>
        <v>1863051.3127625138</v>
      </c>
      <c r="CZ36" s="438">
        <v>0</v>
      </c>
      <c r="DA36" s="438">
        <f>Scenarios!BI37</f>
        <v>22676948.687237486</v>
      </c>
      <c r="DB36" s="447">
        <f>Scenarios!AV37</f>
        <v>24540000</v>
      </c>
      <c r="DC36" s="446">
        <f t="shared" si="71"/>
        <v>176989874.71243882</v>
      </c>
      <c r="DD36" s="438">
        <f t="shared" si="62"/>
        <v>0</v>
      </c>
      <c r="DE36" s="438">
        <f t="shared" si="41"/>
        <v>0</v>
      </c>
      <c r="DF36" s="438">
        <f t="shared" si="42"/>
        <v>176989874.71243882</v>
      </c>
      <c r="DG36" s="453">
        <f t="shared" si="43"/>
        <v>7.2123013330252173</v>
      </c>
      <c r="DH36" s="463">
        <f t="shared" si="44"/>
        <v>2.3619055160070785</v>
      </c>
    </row>
    <row r="37" spans="1:112">
      <c r="I37" s="177"/>
      <c r="J37" s="177"/>
      <c r="K37" s="177"/>
      <c r="M37" s="360">
        <v>2048</v>
      </c>
      <c r="N37" s="429"/>
      <c r="O37" s="446">
        <f t="shared" si="1"/>
        <v>32042716.668580711</v>
      </c>
      <c r="P37" s="438">
        <f>SUM(Scenarios!J38)</f>
        <v>10444201.188767226</v>
      </c>
      <c r="Q37" s="438">
        <f>Scenarios!H38</f>
        <v>1253304.1426520671</v>
      </c>
      <c r="R37" s="447">
        <f>Scenarios!E38</f>
        <v>43740222</v>
      </c>
      <c r="S37" s="446">
        <f t="shared" si="63"/>
        <v>3044058083.5151677</v>
      </c>
      <c r="T37" s="438">
        <f t="shared" si="46"/>
        <v>563986864.19343019</v>
      </c>
      <c r="U37" s="438">
        <f t="shared" si="2"/>
        <v>0</v>
      </c>
      <c r="V37" s="438">
        <f t="shared" si="3"/>
        <v>3608044947.7085981</v>
      </c>
      <c r="W37" s="453">
        <f t="shared" si="4"/>
        <v>82.488034644830975</v>
      </c>
      <c r="X37" s="463">
        <f t="shared" si="0"/>
        <v>48.148863192542251</v>
      </c>
      <c r="Z37" s="446">
        <f t="shared" si="5"/>
        <v>2426860.7110947743</v>
      </c>
      <c r="AA37" s="438">
        <f>SUM(Scenarios!O38)</f>
        <v>36355757.934236601</v>
      </c>
      <c r="AB37" s="438">
        <f>Scenarios!M38</f>
        <v>4957603.3546686275</v>
      </c>
      <c r="AC37" s="447">
        <f>Scenarios!E38</f>
        <v>43740222</v>
      </c>
      <c r="AD37" s="446">
        <f t="shared" si="64"/>
        <v>230551767.55400357</v>
      </c>
      <c r="AE37" s="438">
        <f t="shared" si="48"/>
        <v>1963210928.4487765</v>
      </c>
      <c r="AF37" s="438">
        <f t="shared" si="6"/>
        <v>0</v>
      </c>
      <c r="AG37" s="438">
        <f t="shared" si="7"/>
        <v>2193762696.00278</v>
      </c>
      <c r="AH37" s="453">
        <f t="shared" si="8"/>
        <v>50.154356692629037</v>
      </c>
      <c r="AI37" s="463">
        <f t="shared" si="9"/>
        <v>29.275461214479147</v>
      </c>
      <c r="AK37" s="446">
        <f t="shared" si="10"/>
        <v>2426860.7110947743</v>
      </c>
      <c r="AL37" s="438">
        <v>0</v>
      </c>
      <c r="AM37" s="438">
        <f>Scenarios!R38</f>
        <v>41313361.288905226</v>
      </c>
      <c r="AN37" s="447">
        <f>Scenarios!E38</f>
        <v>43740222</v>
      </c>
      <c r="AO37" s="446">
        <f t="shared" si="65"/>
        <v>230551767.55400357</v>
      </c>
      <c r="AP37" s="438">
        <f t="shared" si="50"/>
        <v>0</v>
      </c>
      <c r="AQ37" s="438">
        <f t="shared" si="11"/>
        <v>0</v>
      </c>
      <c r="AR37" s="438">
        <f t="shared" si="12"/>
        <v>230551767.55400357</v>
      </c>
      <c r="AS37" s="453">
        <f t="shared" si="13"/>
        <v>5.2709327253529619</v>
      </c>
      <c r="AT37" s="463">
        <f t="shared" si="14"/>
        <v>3.0766816033726059</v>
      </c>
      <c r="AV37" s="446">
        <f t="shared" si="15"/>
        <v>27042508.343920603</v>
      </c>
      <c r="AW37" s="438">
        <f>SUM(Scenarios!AF38)</f>
        <v>8814402.3714994639</v>
      </c>
      <c r="AX37" s="438">
        <f>Scenarios!AD38</f>
        <v>1057728.2845799355</v>
      </c>
      <c r="AY37" s="447">
        <f>Scenarios!AA38</f>
        <v>36914639</v>
      </c>
      <c r="AZ37" s="446">
        <f t="shared" si="66"/>
        <v>2569038292.6724572</v>
      </c>
      <c r="BA37" s="438">
        <f t="shared" si="52"/>
        <v>475977728.06097102</v>
      </c>
      <c r="BB37" s="438">
        <f t="shared" si="16"/>
        <v>0</v>
      </c>
      <c r="BC37" s="438">
        <f t="shared" si="17"/>
        <v>3045016020.733428</v>
      </c>
      <c r="BD37" s="453">
        <f t="shared" si="18"/>
        <v>82.488034644830961</v>
      </c>
      <c r="BE37" s="463">
        <f t="shared" si="19"/>
        <v>40.635319660999528</v>
      </c>
      <c r="BG37" s="446">
        <f t="shared" si="20"/>
        <v>2048153.4605230577</v>
      </c>
      <c r="BH37" s="438">
        <f>SUM(Scenarios!AK38)</f>
        <v>30682507.274739709</v>
      </c>
      <c r="BI37" s="438">
        <f>Scenarios!AI38</f>
        <v>4183978.2647372331</v>
      </c>
      <c r="BJ37" s="447">
        <f>Scenarios!AA38</f>
        <v>36914639</v>
      </c>
      <c r="BK37" s="446">
        <f t="shared" si="67"/>
        <v>194574578.74969047</v>
      </c>
      <c r="BL37" s="438">
        <f t="shared" si="54"/>
        <v>1656855392.8359442</v>
      </c>
      <c r="BM37" s="438">
        <f t="shared" si="21"/>
        <v>0</v>
      </c>
      <c r="BN37" s="438">
        <f t="shared" si="22"/>
        <v>1851429971.5856347</v>
      </c>
      <c r="BO37" s="453">
        <f t="shared" si="23"/>
        <v>50.15435669262903</v>
      </c>
      <c r="BP37" s="463">
        <f t="shared" si="24"/>
        <v>24.707078128021372</v>
      </c>
      <c r="BR37" s="446">
        <f t="shared" si="25"/>
        <v>2048153.4605230615</v>
      </c>
      <c r="BS37" s="438">
        <v>0</v>
      </c>
      <c r="BT37" s="438">
        <f>Scenarios!AN38</f>
        <v>34866485.539476939</v>
      </c>
      <c r="BU37" s="447">
        <f>Scenarios!AA38</f>
        <v>36914639</v>
      </c>
      <c r="BV37" s="446">
        <f t="shared" si="68"/>
        <v>194574578.74969083</v>
      </c>
      <c r="BW37" s="438">
        <f t="shared" si="56"/>
        <v>0</v>
      </c>
      <c r="BX37" s="438">
        <f t="shared" si="26"/>
        <v>0</v>
      </c>
      <c r="BY37" s="438">
        <f t="shared" si="27"/>
        <v>194574578.74969083</v>
      </c>
      <c r="BZ37" s="453">
        <f t="shared" si="28"/>
        <v>5.2709327253529645</v>
      </c>
      <c r="CA37" s="463">
        <f t="shared" si="29"/>
        <v>2.5965709709118756</v>
      </c>
      <c r="CC37" s="446">
        <f t="shared" si="30"/>
        <v>18138400.502723977</v>
      </c>
      <c r="CD37" s="438">
        <f>SUM(Scenarios!BA38)</f>
        <v>5912142.4082821645</v>
      </c>
      <c r="CE37" s="438">
        <f>Scenarios!AY38</f>
        <v>709457.08899385971</v>
      </c>
      <c r="CF37" s="447">
        <f>Scenarios!AV38</f>
        <v>24760000</v>
      </c>
      <c r="CG37" s="446">
        <f t="shared" si="69"/>
        <v>1723148047.7587779</v>
      </c>
      <c r="CH37" s="438">
        <f t="shared" si="58"/>
        <v>319255690.04723686</v>
      </c>
      <c r="CI37" s="438">
        <f t="shared" si="31"/>
        <v>0</v>
      </c>
      <c r="CJ37" s="438">
        <f t="shared" si="32"/>
        <v>2042403737.8060148</v>
      </c>
      <c r="CK37" s="453">
        <f t="shared" si="33"/>
        <v>82.488034644830975</v>
      </c>
      <c r="CL37" s="463">
        <f t="shared" si="34"/>
        <v>27.255596751368707</v>
      </c>
      <c r="CN37" s="446">
        <f t="shared" si="35"/>
        <v>1373771.5187340975</v>
      </c>
      <c r="CO37" s="438">
        <f>SUM(Scenarios!BF38)</f>
        <v>20579881.063513994</v>
      </c>
      <c r="CP37" s="438">
        <f>Scenarios!BD38</f>
        <v>2806347.4177519088</v>
      </c>
      <c r="CQ37" s="447">
        <f>Scenarios!AV38</f>
        <v>24760000</v>
      </c>
      <c r="CR37" s="446">
        <f t="shared" si="70"/>
        <v>130508294.27973926</v>
      </c>
      <c r="CS37" s="438">
        <f t="shared" si="60"/>
        <v>1111313577.4297557</v>
      </c>
      <c r="CT37" s="438">
        <f t="shared" si="36"/>
        <v>0</v>
      </c>
      <c r="CU37" s="438">
        <f t="shared" si="37"/>
        <v>1241821871.7094951</v>
      </c>
      <c r="CV37" s="453">
        <f t="shared" si="38"/>
        <v>50.154356692629044</v>
      </c>
      <c r="CW37" s="463">
        <f t="shared" si="39"/>
        <v>16.571941945573659</v>
      </c>
      <c r="CY37" s="446">
        <f t="shared" si="40"/>
        <v>1373771.5187340975</v>
      </c>
      <c r="CZ37" s="438">
        <v>0</v>
      </c>
      <c r="DA37" s="438">
        <f>Scenarios!BI38</f>
        <v>23386228.481265903</v>
      </c>
      <c r="DB37" s="447">
        <f>Scenarios!AV38</f>
        <v>24760000</v>
      </c>
      <c r="DC37" s="446">
        <f t="shared" si="71"/>
        <v>130508294.27973926</v>
      </c>
      <c r="DD37" s="438">
        <f t="shared" si="62"/>
        <v>0</v>
      </c>
      <c r="DE37" s="438">
        <f t="shared" si="41"/>
        <v>0</v>
      </c>
      <c r="DF37" s="438">
        <f t="shared" si="42"/>
        <v>130508294.27973926</v>
      </c>
      <c r="DG37" s="453">
        <f t="shared" si="43"/>
        <v>5.2709327253529592</v>
      </c>
      <c r="DH37" s="463">
        <f t="shared" si="44"/>
        <v>1.7416152231578905</v>
      </c>
    </row>
    <row r="38" spans="1:112">
      <c r="M38" s="360">
        <v>2049</v>
      </c>
      <c r="N38" s="429"/>
      <c r="O38" s="446">
        <f t="shared" si="1"/>
        <v>31711557.079680081</v>
      </c>
      <c r="P38" s="438">
        <f>SUM(Scenarios!J39)</f>
        <v>11099527.328410644</v>
      </c>
      <c r="Q38" s="438">
        <f>Scenarios!H39</f>
        <v>1331943.2794092773</v>
      </c>
      <c r="R38" s="447">
        <f>Scenarios!E39</f>
        <v>44143027.6875</v>
      </c>
      <c r="S38" s="446">
        <f t="shared" si="63"/>
        <v>3012597922.5696077</v>
      </c>
      <c r="T38" s="438">
        <f t="shared" si="46"/>
        <v>599374475.73417473</v>
      </c>
      <c r="U38" s="438">
        <f t="shared" si="2"/>
        <v>0</v>
      </c>
      <c r="V38" s="438">
        <f t="shared" si="3"/>
        <v>3611972398.3037825</v>
      </c>
      <c r="W38" s="453">
        <f t="shared" si="4"/>
        <v>81.824301311497635</v>
      </c>
      <c r="X38" s="463">
        <f t="shared" si="0"/>
        <v>48.201274480135297</v>
      </c>
      <c r="Z38" s="446">
        <f t="shared" si="5"/>
        <v>1779352.8038110435</v>
      </c>
      <c r="AA38" s="438">
        <f>SUM(Scenarios!O39)</f>
        <v>37280033.897646286</v>
      </c>
      <c r="AB38" s="438">
        <f>Scenarios!M39</f>
        <v>5083640.9860426737</v>
      </c>
      <c r="AC38" s="447">
        <f>Scenarios!E39</f>
        <v>44143027.6875</v>
      </c>
      <c r="AD38" s="446">
        <f t="shared" si="64"/>
        <v>169038516.36204913</v>
      </c>
      <c r="AE38" s="438">
        <f t="shared" si="48"/>
        <v>2013121830.4728994</v>
      </c>
      <c r="AF38" s="438">
        <f t="shared" si="6"/>
        <v>0</v>
      </c>
      <c r="AG38" s="438">
        <f t="shared" si="7"/>
        <v>2182160346.8349485</v>
      </c>
      <c r="AH38" s="453">
        <f t="shared" si="8"/>
        <v>49.433862178259055</v>
      </c>
      <c r="AI38" s="463">
        <f t="shared" si="9"/>
        <v>29.120629461856772</v>
      </c>
      <c r="AK38" s="446">
        <f t="shared" si="10"/>
        <v>1779352.8038110435</v>
      </c>
      <c r="AL38" s="438">
        <v>0</v>
      </c>
      <c r="AM38" s="438">
        <f>Scenarios!R39</f>
        <v>42363674.883688956</v>
      </c>
      <c r="AN38" s="447">
        <f>Scenarios!E39</f>
        <v>44143027.6875</v>
      </c>
      <c r="AO38" s="446">
        <f t="shared" si="65"/>
        <v>169038516.36204913</v>
      </c>
      <c r="AP38" s="438">
        <f t="shared" si="50"/>
        <v>0</v>
      </c>
      <c r="AQ38" s="438">
        <f t="shared" si="11"/>
        <v>0</v>
      </c>
      <c r="AR38" s="438">
        <f t="shared" si="12"/>
        <v>169038516.36204913</v>
      </c>
      <c r="AS38" s="453">
        <f t="shared" si="13"/>
        <v>3.8293367088165509</v>
      </c>
      <c r="AT38" s="463">
        <f t="shared" si="14"/>
        <v>2.2557957332974894</v>
      </c>
      <c r="AV38" s="446">
        <f t="shared" si="15"/>
        <v>26654950.367018282</v>
      </c>
      <c r="AW38" s="438">
        <f>SUM(Scenarios!AF39)</f>
        <v>9329638.0651622508</v>
      </c>
      <c r="AX38" s="438">
        <f>Scenarios!AD39</f>
        <v>1119556.5678194701</v>
      </c>
      <c r="AY38" s="447">
        <f>Scenarios!AA39</f>
        <v>37104145</v>
      </c>
      <c r="AZ38" s="446">
        <f t="shared" si="66"/>
        <v>2532220284.8667369</v>
      </c>
      <c r="BA38" s="438">
        <f t="shared" si="52"/>
        <v>503800455.51876152</v>
      </c>
      <c r="BB38" s="438">
        <f t="shared" si="16"/>
        <v>0</v>
      </c>
      <c r="BC38" s="438">
        <f t="shared" si="17"/>
        <v>3036020740.3854985</v>
      </c>
      <c r="BD38" s="453">
        <f t="shared" si="18"/>
        <v>81.824301311497635</v>
      </c>
      <c r="BE38" s="463">
        <f t="shared" si="19"/>
        <v>40.515278882924946</v>
      </c>
      <c r="BG38" s="446">
        <f t="shared" si="20"/>
        <v>1495623.8368184417</v>
      </c>
      <c r="BH38" s="438">
        <f>SUM(Scenarios!AK39)</f>
        <v>31335498.623599771</v>
      </c>
      <c r="BI38" s="438">
        <f>Scenarios!AI39</f>
        <v>4273022.5395817859</v>
      </c>
      <c r="BJ38" s="447">
        <f>Scenarios!AA39</f>
        <v>37104145</v>
      </c>
      <c r="BK38" s="446">
        <f t="shared" si="67"/>
        <v>142084264.49775195</v>
      </c>
      <c r="BL38" s="438">
        <f t="shared" si="54"/>
        <v>1692116925.6743877</v>
      </c>
      <c r="BM38" s="438">
        <f t="shared" si="21"/>
        <v>0</v>
      </c>
      <c r="BN38" s="438">
        <f t="shared" si="22"/>
        <v>1834201190.1721396</v>
      </c>
      <c r="BO38" s="453">
        <f t="shared" si="23"/>
        <v>49.433862178259048</v>
      </c>
      <c r="BP38" s="463">
        <f t="shared" si="24"/>
        <v>24.477162411539116</v>
      </c>
      <c r="BR38" s="446">
        <f t="shared" si="25"/>
        <v>1495623.8368184417</v>
      </c>
      <c r="BS38" s="438">
        <v>0</v>
      </c>
      <c r="BT38" s="438">
        <f>Scenarios!AN39</f>
        <v>35608521.163181558</v>
      </c>
      <c r="BU38" s="447">
        <f>Scenarios!AA39</f>
        <v>37104145</v>
      </c>
      <c r="BV38" s="446">
        <f t="shared" si="68"/>
        <v>142084264.49775195</v>
      </c>
      <c r="BW38" s="438">
        <f t="shared" si="56"/>
        <v>0</v>
      </c>
      <c r="BX38" s="438">
        <f t="shared" si="26"/>
        <v>0</v>
      </c>
      <c r="BY38" s="438">
        <f t="shared" si="27"/>
        <v>142084264.49775195</v>
      </c>
      <c r="BZ38" s="453">
        <f t="shared" si="28"/>
        <v>3.8293367088165473</v>
      </c>
      <c r="CA38" s="463">
        <f t="shared" si="29"/>
        <v>1.8960949523259021</v>
      </c>
      <c r="CC38" s="446">
        <f t="shared" si="30"/>
        <v>17945182.678865571</v>
      </c>
      <c r="CD38" s="438">
        <f>SUM(Scenarios!BA39)</f>
        <v>6281086.8938700249</v>
      </c>
      <c r="CE38" s="438">
        <f>Scenarios!AY39</f>
        <v>753730.42726440297</v>
      </c>
      <c r="CF38" s="447">
        <f>Scenarios!AV39</f>
        <v>24980000</v>
      </c>
      <c r="CG38" s="446">
        <f t="shared" si="69"/>
        <v>1704792354.4922292</v>
      </c>
      <c r="CH38" s="438">
        <f t="shared" si="58"/>
        <v>339178692.26898134</v>
      </c>
      <c r="CI38" s="438">
        <f t="shared" si="31"/>
        <v>0</v>
      </c>
      <c r="CJ38" s="438">
        <f t="shared" si="32"/>
        <v>2043971046.7612104</v>
      </c>
      <c r="CK38" s="453">
        <f t="shared" si="33"/>
        <v>81.824301311497621</v>
      </c>
      <c r="CL38" s="463">
        <f t="shared" si="34"/>
        <v>27.276512273641259</v>
      </c>
      <c r="CN38" s="446">
        <f t="shared" si="35"/>
        <v>1006914.0103814453</v>
      </c>
      <c r="CO38" s="438">
        <f>SUM(Scenarios!BF39)</f>
        <v>21096315.670864329</v>
      </c>
      <c r="CP38" s="438">
        <f>Scenarios!BD39</f>
        <v>2876770.318754226</v>
      </c>
      <c r="CQ38" s="447">
        <f>Scenarios!AV39</f>
        <v>24980000</v>
      </c>
      <c r="CR38" s="446">
        <f t="shared" si="70"/>
        <v>95656830.986237302</v>
      </c>
      <c r="CS38" s="438">
        <f t="shared" si="60"/>
        <v>1139201046.2266738</v>
      </c>
      <c r="CT38" s="438">
        <f t="shared" si="36"/>
        <v>0</v>
      </c>
      <c r="CU38" s="438">
        <f t="shared" si="37"/>
        <v>1234857877.2129111</v>
      </c>
      <c r="CV38" s="453">
        <f t="shared" si="38"/>
        <v>49.433862178259055</v>
      </c>
      <c r="CW38" s="463">
        <f t="shared" si="39"/>
        <v>16.479008397585964</v>
      </c>
      <c r="CY38" s="446">
        <f t="shared" si="40"/>
        <v>1006914.010381449</v>
      </c>
      <c r="CZ38" s="438">
        <v>0</v>
      </c>
      <c r="DA38" s="438">
        <f>Scenarios!BI39</f>
        <v>23973085.989618551</v>
      </c>
      <c r="DB38" s="447">
        <f>Scenarios!AV39</f>
        <v>24980000</v>
      </c>
      <c r="DC38" s="446">
        <f t="shared" si="71"/>
        <v>95656830.98623766</v>
      </c>
      <c r="DD38" s="438">
        <f t="shared" si="62"/>
        <v>0</v>
      </c>
      <c r="DE38" s="438">
        <f t="shared" si="41"/>
        <v>0</v>
      </c>
      <c r="DF38" s="438">
        <f t="shared" si="42"/>
        <v>95656830.98623766</v>
      </c>
      <c r="DG38" s="453">
        <f t="shared" si="43"/>
        <v>3.8293367088165597</v>
      </c>
      <c r="DH38" s="463">
        <f t="shared" si="44"/>
        <v>1.2765272426867993</v>
      </c>
    </row>
    <row r="39" spans="1:112" ht="16.2" thickBot="1">
      <c r="M39" s="360">
        <v>2050</v>
      </c>
      <c r="N39" s="429"/>
      <c r="O39" s="450">
        <f t="shared" si="1"/>
        <v>31352338.106279451</v>
      </c>
      <c r="P39" s="451">
        <f>SUM(Scenarios!J40)</f>
        <v>11779906.489929061</v>
      </c>
      <c r="Q39" s="451">
        <f>Scenarios!H40</f>
        <v>1413588.7787914872</v>
      </c>
      <c r="R39" s="452">
        <f>Scenarios!E40</f>
        <v>44545833.375</v>
      </c>
      <c r="S39" s="450">
        <f t="shared" si="63"/>
        <v>2978472120.0965481</v>
      </c>
      <c r="T39" s="451">
        <f t="shared" si="46"/>
        <v>636114950.45616937</v>
      </c>
      <c r="U39" s="451">
        <f t="shared" si="2"/>
        <v>0</v>
      </c>
      <c r="V39" s="451">
        <f t="shared" si="3"/>
        <v>3614587070.5527172</v>
      </c>
      <c r="W39" s="455">
        <f t="shared" si="4"/>
        <v>81.143101311497631</v>
      </c>
      <c r="X39" s="464">
        <f t="shared" si="0"/>
        <v>48.236166921396944</v>
      </c>
      <c r="Z39" s="450">
        <f t="shared" si="5"/>
        <v>1298790.1364920214</v>
      </c>
      <c r="AA39" s="451">
        <f>SUM(Scenarios!O40)</f>
        <v>38057398.049887024</v>
      </c>
      <c r="AB39" s="451">
        <f>Scenarios!M40</f>
        <v>5189645.1886209575</v>
      </c>
      <c r="AC39" s="452">
        <f>Scenarios!E40</f>
        <v>44545833.375</v>
      </c>
      <c r="AD39" s="450">
        <f t="shared" si="64"/>
        <v>123385062.96674204</v>
      </c>
      <c r="AE39" s="451">
        <f t="shared" si="48"/>
        <v>2055099494.6938994</v>
      </c>
      <c r="AF39" s="451">
        <f t="shared" si="6"/>
        <v>0</v>
      </c>
      <c r="AG39" s="451">
        <f t="shared" si="7"/>
        <v>2178484557.6606417</v>
      </c>
      <c r="AH39" s="455">
        <f t="shared" si="8"/>
        <v>48.90433947708452</v>
      </c>
      <c r="AI39" s="464">
        <f t="shared" si="9"/>
        <v>29.071576561285031</v>
      </c>
      <c r="AK39" s="450">
        <f t="shared" si="10"/>
        <v>1298790.1364920214</v>
      </c>
      <c r="AL39" s="451">
        <v>0</v>
      </c>
      <c r="AM39" s="451">
        <f>Scenarios!R40</f>
        <v>43247043.238507979</v>
      </c>
      <c r="AN39" s="452">
        <f>Scenarios!E40</f>
        <v>44545833.375</v>
      </c>
      <c r="AO39" s="450">
        <f t="shared" si="65"/>
        <v>123385062.96674204</v>
      </c>
      <c r="AP39" s="451">
        <f t="shared" si="50"/>
        <v>0</v>
      </c>
      <c r="AQ39" s="451">
        <f t="shared" si="11"/>
        <v>0</v>
      </c>
      <c r="AR39" s="451">
        <f t="shared" si="12"/>
        <v>123385062.96674204</v>
      </c>
      <c r="AS39" s="455">
        <f t="shared" si="13"/>
        <v>2.769845204781558</v>
      </c>
      <c r="AT39" s="464">
        <f t="shared" si="14"/>
        <v>1.6465566817735451</v>
      </c>
      <c r="AV39" s="450">
        <f t="shared" si="15"/>
        <v>26248092.510169297</v>
      </c>
      <c r="AW39" s="451">
        <f>SUM(Scenarios!AF40)</f>
        <v>9862105.7944917027</v>
      </c>
      <c r="AX39" s="451">
        <f>Scenarios!AD40</f>
        <v>1183452.6953390043</v>
      </c>
      <c r="AY39" s="452">
        <f>Scenarios!AA40</f>
        <v>37293651</v>
      </c>
      <c r="AZ39" s="450">
        <f t="shared" si="66"/>
        <v>2493568788.466083</v>
      </c>
      <c r="BA39" s="451">
        <f t="shared" si="52"/>
        <v>532553712.90255195</v>
      </c>
      <c r="BB39" s="451">
        <f t="shared" si="16"/>
        <v>0</v>
      </c>
      <c r="BC39" s="451">
        <f t="shared" si="17"/>
        <v>3026122501.3686352</v>
      </c>
      <c r="BD39" s="455">
        <f t="shared" si="18"/>
        <v>81.143101311497631</v>
      </c>
      <c r="BE39" s="464">
        <f t="shared" si="19"/>
        <v>40.383188245702506</v>
      </c>
      <c r="BG39" s="450">
        <f t="shared" si="20"/>
        <v>1087343.5830647014</v>
      </c>
      <c r="BH39" s="451">
        <f>SUM(Scenarios!AK40)</f>
        <v>31861550.526903063</v>
      </c>
      <c r="BI39" s="451">
        <f>Scenarios!AI40</f>
        <v>4344756.8900322355</v>
      </c>
      <c r="BJ39" s="452">
        <f>Scenarios!AA40</f>
        <v>37293651</v>
      </c>
      <c r="BK39" s="450">
        <f t="shared" si="67"/>
        <v>103297640.39114663</v>
      </c>
      <c r="BL39" s="451">
        <f t="shared" si="54"/>
        <v>1720523728.4527655</v>
      </c>
      <c r="BM39" s="451">
        <f t="shared" si="21"/>
        <v>0</v>
      </c>
      <c r="BN39" s="451">
        <f t="shared" si="22"/>
        <v>1823821368.8439121</v>
      </c>
      <c r="BO39" s="455">
        <f t="shared" si="23"/>
        <v>48.904339477084505</v>
      </c>
      <c r="BP39" s="464">
        <f t="shared" si="24"/>
        <v>24.338645124659624</v>
      </c>
      <c r="BR39" s="450">
        <f t="shared" si="25"/>
        <v>1087343.5830647051</v>
      </c>
      <c r="BS39" s="451">
        <v>0</v>
      </c>
      <c r="BT39" s="451">
        <f>Scenarios!AN40</f>
        <v>36206307.416935295</v>
      </c>
      <c r="BU39" s="452">
        <f>Scenarios!AA40</f>
        <v>37293651</v>
      </c>
      <c r="BV39" s="450">
        <f t="shared" si="68"/>
        <v>103297640.39114699</v>
      </c>
      <c r="BW39" s="451">
        <f t="shared" si="56"/>
        <v>0</v>
      </c>
      <c r="BX39" s="451">
        <f t="shared" si="26"/>
        <v>0</v>
      </c>
      <c r="BY39" s="451">
        <f t="shared" si="27"/>
        <v>103297640.39114699</v>
      </c>
      <c r="BZ39" s="455">
        <f t="shared" si="28"/>
        <v>2.7698452047815589</v>
      </c>
      <c r="CA39" s="464">
        <f t="shared" si="29"/>
        <v>1.3784927924649175</v>
      </c>
      <c r="CC39" s="450">
        <f t="shared" si="30"/>
        <v>17736314.721673835</v>
      </c>
      <c r="CD39" s="451">
        <f>SUM(Scenarios!BA40)</f>
        <v>6664004.7127912184</v>
      </c>
      <c r="CE39" s="451">
        <f>Scenarios!AY40</f>
        <v>799680.56553494604</v>
      </c>
      <c r="CF39" s="452">
        <f>Scenarios!AV40</f>
        <v>25200000</v>
      </c>
      <c r="CG39" s="450">
        <f t="shared" si="69"/>
        <v>1684949898.5590143</v>
      </c>
      <c r="CH39" s="451">
        <f t="shared" si="58"/>
        <v>359856254.49072582</v>
      </c>
      <c r="CI39" s="451">
        <f t="shared" si="31"/>
        <v>0</v>
      </c>
      <c r="CJ39" s="451">
        <f t="shared" si="32"/>
        <v>2044806153.0497401</v>
      </c>
      <c r="CK39" s="455">
        <f t="shared" si="33"/>
        <v>81.143101311497617</v>
      </c>
      <c r="CL39" s="464">
        <f t="shared" si="34"/>
        <v>27.287656652112258</v>
      </c>
      <c r="CN39" s="450">
        <f t="shared" si="35"/>
        <v>734737.88589995354</v>
      </c>
      <c r="CO39" s="451">
        <f>SUM(Scenarios!BF40)</f>
        <v>21529430.660408042</v>
      </c>
      <c r="CP39" s="451">
        <f>Scenarios!BD40</f>
        <v>2935831.4536920059</v>
      </c>
      <c r="CQ39" s="452">
        <f>Scenarios!AV40</f>
        <v>25200000</v>
      </c>
      <c r="CR39" s="450">
        <f t="shared" si="70"/>
        <v>69800099.160495579</v>
      </c>
      <c r="CS39" s="451">
        <f t="shared" si="60"/>
        <v>1162589255.6620343</v>
      </c>
      <c r="CT39" s="451">
        <f t="shared" si="36"/>
        <v>0</v>
      </c>
      <c r="CU39" s="451">
        <f t="shared" si="37"/>
        <v>1232389354.8225298</v>
      </c>
      <c r="CV39" s="455">
        <f t="shared" si="38"/>
        <v>48.904339477084513</v>
      </c>
      <c r="CW39" s="464">
        <f t="shared" si="39"/>
        <v>16.446066306069703</v>
      </c>
      <c r="CY39" s="450">
        <f t="shared" si="40"/>
        <v>734737.88589994982</v>
      </c>
      <c r="CZ39" s="451">
        <v>0</v>
      </c>
      <c r="DA39" s="451">
        <f>Scenarios!BI40</f>
        <v>24465262.11410005</v>
      </c>
      <c r="DB39" s="452">
        <f>Scenarios!AV40</f>
        <v>25200000</v>
      </c>
      <c r="DC39" s="450">
        <f t="shared" si="71"/>
        <v>69800099.160495237</v>
      </c>
      <c r="DD39" s="451">
        <f t="shared" si="62"/>
        <v>0</v>
      </c>
      <c r="DE39" s="451">
        <f t="shared" si="41"/>
        <v>0</v>
      </c>
      <c r="DF39" s="451">
        <f t="shared" si="42"/>
        <v>69800099.160495237</v>
      </c>
      <c r="DG39" s="455">
        <f t="shared" si="43"/>
        <v>2.7698452047815572</v>
      </c>
      <c r="DH39" s="464">
        <f t="shared" si="44"/>
        <v>0.93147271555997291</v>
      </c>
    </row>
  </sheetData>
  <mergeCells count="42">
    <mergeCell ref="CN3:CW3"/>
    <mergeCell ref="CW4:CW5"/>
    <mergeCell ref="CY3:DH3"/>
    <mergeCell ref="DH4:DH5"/>
    <mergeCell ref="B8:D8"/>
    <mergeCell ref="BR3:CA3"/>
    <mergeCell ref="CA4:CA5"/>
    <mergeCell ref="CC3:CL3"/>
    <mergeCell ref="CL4:CL5"/>
    <mergeCell ref="DC4:DG4"/>
    <mergeCell ref="AV4:AY4"/>
    <mergeCell ref="AZ4:BD4"/>
    <mergeCell ref="BG4:BJ4"/>
    <mergeCell ref="BK4:BO4"/>
    <mergeCell ref="BR4:BU4"/>
    <mergeCell ref="BV4:BZ4"/>
    <mergeCell ref="C2:F2"/>
    <mergeCell ref="X4:X5"/>
    <mergeCell ref="O3:X3"/>
    <mergeCell ref="Z3:AI3"/>
    <mergeCell ref="AI4:AI5"/>
    <mergeCell ref="B1:AD1"/>
    <mergeCell ref="M2:AS2"/>
    <mergeCell ref="AV2:BZ2"/>
    <mergeCell ref="CC2:DG2"/>
    <mergeCell ref="O4:R4"/>
    <mergeCell ref="S4:W4"/>
    <mergeCell ref="Z4:AC4"/>
    <mergeCell ref="AD4:AH4"/>
    <mergeCell ref="AK4:AN4"/>
    <mergeCell ref="AK3:AT3"/>
    <mergeCell ref="AT4:AT5"/>
    <mergeCell ref="AO4:AS4"/>
    <mergeCell ref="AV3:BE3"/>
    <mergeCell ref="BE4:BE5"/>
    <mergeCell ref="BG3:BP3"/>
    <mergeCell ref="BP4:BP5"/>
    <mergeCell ref="CC4:CF4"/>
    <mergeCell ref="CG4:CK4"/>
    <mergeCell ref="CN4:CQ4"/>
    <mergeCell ref="CR4:CV4"/>
    <mergeCell ref="CY4:DB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9"/>
  <sheetViews>
    <sheetView zoomScale="40" zoomScaleNormal="40" workbookViewId="0">
      <selection activeCell="O5" sqref="O5:R39"/>
    </sheetView>
  </sheetViews>
  <sheetFormatPr defaultColWidth="10.8984375" defaultRowHeight="15.6"/>
  <cols>
    <col min="1" max="1" width="38.09765625" style="173" customWidth="1"/>
    <col min="2" max="2" width="17.3984375" style="173" bestFit="1" customWidth="1"/>
    <col min="3" max="4" width="24.59765625" style="173" bestFit="1" customWidth="1"/>
    <col min="5" max="5" width="12.8984375" style="173" bestFit="1" customWidth="1"/>
    <col min="6" max="6" width="10.09765625" style="173" customWidth="1"/>
    <col min="7" max="7" width="12" style="173" customWidth="1"/>
    <col min="8" max="8" width="11.09765625" style="173" customWidth="1"/>
    <col min="9" max="9" width="12.09765625" style="173" bestFit="1" customWidth="1"/>
    <col min="10" max="10" width="12" style="173" customWidth="1"/>
    <col min="11" max="11" width="8.3984375" style="173" customWidth="1"/>
    <col min="12" max="12" width="10.8984375" style="173"/>
    <col min="13" max="13" width="11" style="173" bestFit="1" customWidth="1"/>
    <col min="14" max="14" width="5.5" style="173" customWidth="1"/>
    <col min="15" max="15" width="10.8984375" style="173"/>
    <col min="16" max="17" width="14" style="173" bestFit="1" customWidth="1"/>
    <col min="18" max="18" width="15.09765625" style="173" bestFit="1" customWidth="1"/>
    <col min="19" max="19" width="13" style="173" customWidth="1"/>
    <col min="20" max="21" width="12.8984375" style="173" bestFit="1" customWidth="1"/>
    <col min="22" max="22" width="13.09765625" style="173" customWidth="1"/>
    <col min="23" max="23" width="11" style="173" bestFit="1" customWidth="1"/>
    <col min="24" max="24" width="18" style="173" customWidth="1"/>
    <col min="25" max="25" width="4.3984375" style="173" customWidth="1"/>
    <col min="26" max="26" width="12.3984375" style="173" bestFit="1" customWidth="1"/>
    <col min="27" max="27" width="13" style="173" bestFit="1" customWidth="1"/>
    <col min="28" max="28" width="14" style="173" bestFit="1" customWidth="1"/>
    <col min="29" max="29" width="15.09765625" style="173" bestFit="1" customWidth="1"/>
    <col min="30" max="30" width="12.3984375" style="173" customWidth="1"/>
    <col min="31" max="31" width="14" style="173" bestFit="1" customWidth="1"/>
    <col min="32" max="32" width="12.8984375" style="173" bestFit="1" customWidth="1"/>
    <col min="33" max="33" width="14" style="173" bestFit="1" customWidth="1"/>
    <col min="34" max="34" width="11" style="173" bestFit="1" customWidth="1"/>
    <col min="35" max="35" width="20.69921875" style="173" customWidth="1"/>
    <col min="36" max="36" width="3.59765625" style="173" customWidth="1"/>
    <col min="37" max="37" width="10.8984375" style="173"/>
    <col min="38" max="38" width="12.8984375" style="173" bestFit="1" customWidth="1"/>
    <col min="39" max="40" width="15.09765625" style="173" bestFit="1" customWidth="1"/>
    <col min="41" max="41" width="13.09765625" style="173" customWidth="1"/>
    <col min="42" max="43" width="12.8984375" style="173" bestFit="1" customWidth="1"/>
    <col min="44" max="44" width="12.59765625" style="173" customWidth="1"/>
    <col min="45" max="45" width="11" style="173" bestFit="1" customWidth="1"/>
    <col min="46" max="46" width="23.09765625" style="173" customWidth="1"/>
    <col min="47" max="49" width="10.8984375" style="173"/>
    <col min="50" max="50" width="14" style="173" bestFit="1" customWidth="1"/>
    <col min="51" max="51" width="15.09765625" style="173" bestFit="1" customWidth="1"/>
    <col min="52" max="52" width="12.59765625" style="173" customWidth="1"/>
    <col min="53" max="54" width="12.8984375" style="173" bestFit="1" customWidth="1"/>
    <col min="55" max="55" width="13.09765625" style="173" customWidth="1"/>
    <col min="56" max="56" width="11" style="173" bestFit="1" customWidth="1"/>
    <col min="57" max="57" width="24.09765625" style="173" customWidth="1"/>
    <col min="58" max="60" width="10.8984375" style="173"/>
    <col min="61" max="61" width="14" style="173" bestFit="1" customWidth="1"/>
    <col min="62" max="62" width="15.09765625" style="173" bestFit="1" customWidth="1"/>
    <col min="63" max="63" width="14" style="173" customWidth="1"/>
    <col min="64" max="64" width="11" style="173" bestFit="1" customWidth="1"/>
    <col min="65" max="65" width="12.8984375" style="173" bestFit="1" customWidth="1"/>
    <col min="66" max="66" width="13" style="173" customWidth="1"/>
    <col min="67" max="67" width="11" style="173" bestFit="1" customWidth="1"/>
    <col min="68" max="68" width="19.5" style="173" customWidth="1"/>
    <col min="69" max="70" width="10.8984375" style="173"/>
    <col min="71" max="71" width="12.8984375" style="173" bestFit="1" customWidth="1"/>
    <col min="72" max="73" width="15.09765625" style="173" bestFit="1" customWidth="1"/>
    <col min="74" max="74" width="13.09765625" style="173" customWidth="1"/>
    <col min="75" max="76" width="12.8984375" style="173" bestFit="1" customWidth="1"/>
    <col min="77" max="77" width="13.09765625" style="173" customWidth="1"/>
    <col min="78" max="78" width="11" style="173" bestFit="1" customWidth="1"/>
    <col min="79" max="79" width="18.59765625" style="173" customWidth="1"/>
    <col min="80" max="82" width="10.8984375" style="173"/>
    <col min="83" max="83" width="12.3984375" style="173" bestFit="1" customWidth="1"/>
    <col min="84" max="84" width="15.09765625" style="173" bestFit="1" customWidth="1"/>
    <col min="85" max="85" width="14.59765625" style="173" customWidth="1"/>
    <col min="86" max="87" width="12.8984375" style="173" bestFit="1" customWidth="1"/>
    <col min="88" max="88" width="13.8984375" style="173" customWidth="1"/>
    <col min="89" max="89" width="11" style="173" bestFit="1" customWidth="1"/>
    <col min="90" max="90" width="15.09765625" style="173" customWidth="1"/>
    <col min="91" max="93" width="10.8984375" style="173"/>
    <col min="94" max="94" width="14" style="173" bestFit="1" customWidth="1"/>
    <col min="95" max="95" width="15.09765625" style="173" bestFit="1" customWidth="1"/>
    <col min="96" max="96" width="12.59765625" style="173" customWidth="1"/>
    <col min="97" max="97" width="11" style="173" bestFit="1" customWidth="1"/>
    <col min="98" max="98" width="12.8984375" style="173" bestFit="1" customWidth="1"/>
    <col min="99" max="99" width="13.8984375" style="173" customWidth="1"/>
    <col min="100" max="100" width="11" style="173" bestFit="1" customWidth="1"/>
    <col min="101" max="101" width="15.3984375" style="173" customWidth="1"/>
    <col min="102" max="103" width="10.8984375" style="173"/>
    <col min="104" max="104" width="12.8984375" style="173" bestFit="1" customWidth="1"/>
    <col min="105" max="106" width="15.09765625" style="173" bestFit="1" customWidth="1"/>
    <col min="107" max="107" width="13" style="173" customWidth="1"/>
    <col min="108" max="109" width="12.8984375" style="173" bestFit="1" customWidth="1"/>
    <col min="110" max="110" width="14.3984375" style="173" customWidth="1"/>
    <col min="111" max="111" width="11" style="173" bestFit="1" customWidth="1"/>
    <col min="112" max="112" width="19" style="173" customWidth="1"/>
    <col min="113" max="16384" width="10.8984375" style="173"/>
  </cols>
  <sheetData>
    <row r="1" spans="1:112" ht="21"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</row>
    <row r="2" spans="1:112" ht="29.1" customHeight="1" thickBot="1">
      <c r="C2" s="429"/>
      <c r="D2" s="581">
        <v>2016</v>
      </c>
      <c r="E2" s="582"/>
      <c r="F2" s="582"/>
      <c r="G2" s="583"/>
      <c r="L2" s="352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353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353"/>
      <c r="CC2" s="574"/>
      <c r="CD2" s="574"/>
      <c r="CE2" s="574"/>
      <c r="CF2" s="574"/>
      <c r="CG2" s="574"/>
      <c r="CH2" s="574"/>
      <c r="CI2" s="574"/>
      <c r="CJ2" s="574"/>
      <c r="CK2" s="574"/>
      <c r="CL2" s="574"/>
      <c r="CM2" s="574"/>
      <c r="CN2" s="574"/>
      <c r="CO2" s="574"/>
      <c r="CP2" s="574"/>
      <c r="CQ2" s="574"/>
      <c r="CR2" s="574"/>
      <c r="CS2" s="574"/>
      <c r="CT2" s="574"/>
      <c r="CU2" s="574"/>
      <c r="CV2" s="574"/>
      <c r="CW2" s="574"/>
      <c r="CX2" s="574"/>
      <c r="CY2" s="574"/>
      <c r="CZ2" s="574"/>
      <c r="DA2" s="574"/>
      <c r="DB2" s="574"/>
      <c r="DC2" s="574"/>
      <c r="DD2" s="574"/>
      <c r="DE2" s="574"/>
      <c r="DF2" s="574"/>
      <c r="DG2" s="574"/>
      <c r="DH2" s="352"/>
    </row>
    <row r="3" spans="1:112" ht="18.75" customHeight="1" thickBot="1">
      <c r="C3" s="430"/>
      <c r="D3" s="443" t="s">
        <v>241</v>
      </c>
      <c r="E3" s="436" t="s">
        <v>242</v>
      </c>
      <c r="F3" s="442" t="s">
        <v>74</v>
      </c>
      <c r="G3" s="437" t="s">
        <v>243</v>
      </c>
      <c r="M3" s="465"/>
      <c r="N3" s="465"/>
      <c r="O3" s="576" t="s">
        <v>180</v>
      </c>
      <c r="P3" s="577"/>
      <c r="Q3" s="577"/>
      <c r="R3" s="577"/>
      <c r="S3" s="577"/>
      <c r="T3" s="577"/>
      <c r="U3" s="577"/>
      <c r="V3" s="577"/>
      <c r="W3" s="577"/>
      <c r="X3" s="578"/>
      <c r="Y3" s="175"/>
      <c r="Z3" s="576" t="s">
        <v>181</v>
      </c>
      <c r="AA3" s="577"/>
      <c r="AB3" s="577"/>
      <c r="AC3" s="577"/>
      <c r="AD3" s="577"/>
      <c r="AE3" s="577"/>
      <c r="AF3" s="577"/>
      <c r="AG3" s="577"/>
      <c r="AH3" s="577"/>
      <c r="AI3" s="578" t="s">
        <v>240</v>
      </c>
      <c r="AJ3" s="176"/>
      <c r="AK3" s="576" t="s">
        <v>264</v>
      </c>
      <c r="AL3" s="577"/>
      <c r="AM3" s="577"/>
      <c r="AN3" s="577"/>
      <c r="AO3" s="577"/>
      <c r="AP3" s="577"/>
      <c r="AQ3" s="577"/>
      <c r="AR3" s="577"/>
      <c r="AS3" s="577"/>
      <c r="AT3" s="578" t="s">
        <v>240</v>
      </c>
      <c r="AU3" s="176"/>
      <c r="AV3" s="576" t="s">
        <v>184</v>
      </c>
      <c r="AW3" s="577"/>
      <c r="AX3" s="577"/>
      <c r="AY3" s="577"/>
      <c r="AZ3" s="577"/>
      <c r="BA3" s="577"/>
      <c r="BB3" s="577"/>
      <c r="BC3" s="577"/>
      <c r="BD3" s="577"/>
      <c r="BE3" s="578" t="s">
        <v>240</v>
      </c>
      <c r="BF3" s="175"/>
      <c r="BG3" s="576" t="s">
        <v>265</v>
      </c>
      <c r="BH3" s="577"/>
      <c r="BI3" s="577"/>
      <c r="BJ3" s="577"/>
      <c r="BK3" s="577"/>
      <c r="BL3" s="577"/>
      <c r="BM3" s="577"/>
      <c r="BN3" s="577"/>
      <c r="BO3" s="577"/>
      <c r="BP3" s="578" t="s">
        <v>240</v>
      </c>
      <c r="BQ3" s="176"/>
      <c r="BR3" s="576" t="s">
        <v>186</v>
      </c>
      <c r="BS3" s="577"/>
      <c r="BT3" s="577"/>
      <c r="BU3" s="577"/>
      <c r="BV3" s="577"/>
      <c r="BW3" s="577"/>
      <c r="BX3" s="577"/>
      <c r="BY3" s="577"/>
      <c r="BZ3" s="577"/>
      <c r="CA3" s="578" t="s">
        <v>240</v>
      </c>
      <c r="CC3" s="576" t="s">
        <v>188</v>
      </c>
      <c r="CD3" s="577"/>
      <c r="CE3" s="577"/>
      <c r="CF3" s="577"/>
      <c r="CG3" s="577"/>
      <c r="CH3" s="577"/>
      <c r="CI3" s="577"/>
      <c r="CJ3" s="577"/>
      <c r="CK3" s="577"/>
      <c r="CL3" s="578" t="s">
        <v>240</v>
      </c>
      <c r="CM3" s="175"/>
      <c r="CN3" s="576" t="s">
        <v>189</v>
      </c>
      <c r="CO3" s="577"/>
      <c r="CP3" s="577"/>
      <c r="CQ3" s="577"/>
      <c r="CR3" s="577"/>
      <c r="CS3" s="577"/>
      <c r="CT3" s="577"/>
      <c r="CU3" s="577"/>
      <c r="CV3" s="577"/>
      <c r="CW3" s="578" t="s">
        <v>240</v>
      </c>
      <c r="CX3" s="176"/>
      <c r="CY3" s="576" t="s">
        <v>190</v>
      </c>
      <c r="CZ3" s="577"/>
      <c r="DA3" s="577"/>
      <c r="DB3" s="577"/>
      <c r="DC3" s="577"/>
      <c r="DD3" s="577"/>
      <c r="DE3" s="577"/>
      <c r="DF3" s="577"/>
      <c r="DG3" s="577"/>
      <c r="DH3" s="578" t="s">
        <v>240</v>
      </c>
    </row>
    <row r="4" spans="1:112" ht="20.100000000000001" customHeight="1" thickBot="1">
      <c r="C4" s="434" t="s">
        <v>238</v>
      </c>
      <c r="D4" s="438">
        <f>('PRs Analysis'!C25+'PRs Analysis'!D25)*1000</f>
        <v>30462606</v>
      </c>
      <c r="E4" s="438">
        <f>'PRs Analysis'!N25*1000</f>
        <v>318573</v>
      </c>
      <c r="F4" s="438">
        <f>'PRs Analysis'!H25</f>
        <v>33.433999999999997</v>
      </c>
      <c r="G4" s="438">
        <f>D4+E4+F4</f>
        <v>30781212.434</v>
      </c>
      <c r="M4" s="429"/>
      <c r="N4" s="429"/>
      <c r="O4" s="571" t="s">
        <v>238</v>
      </c>
      <c r="P4" s="572"/>
      <c r="Q4" s="572"/>
      <c r="R4" s="573"/>
      <c r="S4" s="571" t="s">
        <v>249</v>
      </c>
      <c r="T4" s="572"/>
      <c r="U4" s="572"/>
      <c r="V4" s="572"/>
      <c r="W4" s="573"/>
      <c r="X4" s="579" t="s">
        <v>250</v>
      </c>
      <c r="Z4" s="571" t="s">
        <v>238</v>
      </c>
      <c r="AA4" s="572"/>
      <c r="AB4" s="572"/>
      <c r="AC4" s="573"/>
      <c r="AD4" s="571" t="s">
        <v>249</v>
      </c>
      <c r="AE4" s="572"/>
      <c r="AF4" s="572"/>
      <c r="AG4" s="572"/>
      <c r="AH4" s="573"/>
      <c r="AI4" s="579" t="s">
        <v>250</v>
      </c>
      <c r="AJ4" s="177"/>
      <c r="AK4" s="571" t="s">
        <v>238</v>
      </c>
      <c r="AL4" s="572"/>
      <c r="AM4" s="572"/>
      <c r="AN4" s="573"/>
      <c r="AO4" s="571" t="s">
        <v>249</v>
      </c>
      <c r="AP4" s="572"/>
      <c r="AQ4" s="572"/>
      <c r="AR4" s="572"/>
      <c r="AS4" s="573"/>
      <c r="AT4" s="579" t="s">
        <v>250</v>
      </c>
      <c r="AU4" s="177"/>
      <c r="AV4" s="571" t="s">
        <v>238</v>
      </c>
      <c r="AW4" s="572"/>
      <c r="AX4" s="572"/>
      <c r="AY4" s="573"/>
      <c r="AZ4" s="571" t="s">
        <v>249</v>
      </c>
      <c r="BA4" s="572"/>
      <c r="BB4" s="572"/>
      <c r="BC4" s="572"/>
      <c r="BD4" s="573"/>
      <c r="BE4" s="579" t="s">
        <v>250</v>
      </c>
      <c r="BG4" s="571" t="s">
        <v>238</v>
      </c>
      <c r="BH4" s="572"/>
      <c r="BI4" s="572"/>
      <c r="BJ4" s="573"/>
      <c r="BK4" s="571" t="s">
        <v>249</v>
      </c>
      <c r="BL4" s="572"/>
      <c r="BM4" s="572"/>
      <c r="BN4" s="572"/>
      <c r="BO4" s="573"/>
      <c r="BP4" s="579" t="s">
        <v>250</v>
      </c>
      <c r="BQ4" s="177"/>
      <c r="BR4" s="571" t="s">
        <v>238</v>
      </c>
      <c r="BS4" s="572"/>
      <c r="BT4" s="572"/>
      <c r="BU4" s="573"/>
      <c r="BV4" s="571" t="s">
        <v>249</v>
      </c>
      <c r="BW4" s="572"/>
      <c r="BX4" s="572"/>
      <c r="BY4" s="572"/>
      <c r="BZ4" s="573"/>
      <c r="CA4" s="579" t="s">
        <v>250</v>
      </c>
      <c r="CC4" s="571" t="s">
        <v>238</v>
      </c>
      <c r="CD4" s="572"/>
      <c r="CE4" s="572"/>
      <c r="CF4" s="573"/>
      <c r="CG4" s="571" t="s">
        <v>249</v>
      </c>
      <c r="CH4" s="572"/>
      <c r="CI4" s="572"/>
      <c r="CJ4" s="572"/>
      <c r="CK4" s="573"/>
      <c r="CL4" s="579" t="s">
        <v>250</v>
      </c>
      <c r="CN4" s="571" t="s">
        <v>238</v>
      </c>
      <c r="CO4" s="572"/>
      <c r="CP4" s="572"/>
      <c r="CQ4" s="573"/>
      <c r="CR4" s="571" t="s">
        <v>249</v>
      </c>
      <c r="CS4" s="572"/>
      <c r="CT4" s="572"/>
      <c r="CU4" s="572"/>
      <c r="CV4" s="573"/>
      <c r="CW4" s="579" t="s">
        <v>250</v>
      </c>
      <c r="CX4" s="177"/>
      <c r="CY4" s="571" t="s">
        <v>238</v>
      </c>
      <c r="CZ4" s="572"/>
      <c r="DA4" s="572"/>
      <c r="DB4" s="573"/>
      <c r="DC4" s="571" t="s">
        <v>239</v>
      </c>
      <c r="DD4" s="572"/>
      <c r="DE4" s="572"/>
      <c r="DF4" s="572"/>
      <c r="DG4" s="573"/>
      <c r="DH4" s="579" t="s">
        <v>250</v>
      </c>
    </row>
    <row r="5" spans="1:112" ht="54.6" thickBot="1">
      <c r="C5" s="441" t="s">
        <v>249</v>
      </c>
      <c r="D5" s="438">
        <f>D4*C10</f>
        <v>3472737084</v>
      </c>
      <c r="E5" s="438">
        <f>E4*B11</f>
        <v>8282898</v>
      </c>
      <c r="F5" s="438">
        <f>F4*B12</f>
        <v>0</v>
      </c>
      <c r="G5" s="438">
        <f>F5+E5+D5</f>
        <v>3481019982</v>
      </c>
      <c r="M5" s="271" t="s">
        <v>43</v>
      </c>
      <c r="N5" s="466"/>
      <c r="O5" s="456" t="s">
        <v>241</v>
      </c>
      <c r="P5" s="457" t="s">
        <v>80</v>
      </c>
      <c r="Q5" s="458" t="s">
        <v>74</v>
      </c>
      <c r="R5" s="459" t="s">
        <v>245</v>
      </c>
      <c r="S5" s="456" t="s">
        <v>241</v>
      </c>
      <c r="T5" s="457" t="s">
        <v>80</v>
      </c>
      <c r="U5" s="458" t="s">
        <v>74</v>
      </c>
      <c r="V5" s="460" t="s">
        <v>245</v>
      </c>
      <c r="W5" s="461" t="s">
        <v>251</v>
      </c>
      <c r="X5" s="580"/>
      <c r="Y5" s="178"/>
      <c r="Z5" s="456" t="s">
        <v>241</v>
      </c>
      <c r="AA5" s="457" t="s">
        <v>80</v>
      </c>
      <c r="AB5" s="458" t="s">
        <v>74</v>
      </c>
      <c r="AC5" s="459" t="s">
        <v>245</v>
      </c>
      <c r="AD5" s="456" t="s">
        <v>241</v>
      </c>
      <c r="AE5" s="457" t="s">
        <v>80</v>
      </c>
      <c r="AF5" s="458" t="s">
        <v>74</v>
      </c>
      <c r="AG5" s="460" t="s">
        <v>245</v>
      </c>
      <c r="AH5" s="461" t="s">
        <v>244</v>
      </c>
      <c r="AI5" s="580"/>
      <c r="AJ5" s="178"/>
      <c r="AK5" s="456" t="s">
        <v>241</v>
      </c>
      <c r="AL5" s="457" t="s">
        <v>80</v>
      </c>
      <c r="AM5" s="458" t="s">
        <v>74</v>
      </c>
      <c r="AN5" s="459" t="s">
        <v>245</v>
      </c>
      <c r="AO5" s="456" t="s">
        <v>241</v>
      </c>
      <c r="AP5" s="457" t="s">
        <v>80</v>
      </c>
      <c r="AQ5" s="458" t="s">
        <v>74</v>
      </c>
      <c r="AR5" s="460" t="s">
        <v>245</v>
      </c>
      <c r="AS5" s="461" t="s">
        <v>244</v>
      </c>
      <c r="AT5" s="580"/>
      <c r="AU5" s="178"/>
      <c r="AV5" s="456" t="s">
        <v>241</v>
      </c>
      <c r="AW5" s="457" t="s">
        <v>80</v>
      </c>
      <c r="AX5" s="458" t="s">
        <v>74</v>
      </c>
      <c r="AY5" s="459" t="s">
        <v>245</v>
      </c>
      <c r="AZ5" s="456" t="s">
        <v>241</v>
      </c>
      <c r="BA5" s="457" t="s">
        <v>80</v>
      </c>
      <c r="BB5" s="458" t="s">
        <v>74</v>
      </c>
      <c r="BC5" s="460" t="s">
        <v>245</v>
      </c>
      <c r="BD5" s="461" t="s">
        <v>244</v>
      </c>
      <c r="BE5" s="580"/>
      <c r="BF5" s="178"/>
      <c r="BG5" s="456" t="s">
        <v>241</v>
      </c>
      <c r="BH5" s="457" t="s">
        <v>80</v>
      </c>
      <c r="BI5" s="458" t="s">
        <v>74</v>
      </c>
      <c r="BJ5" s="459" t="s">
        <v>245</v>
      </c>
      <c r="BK5" s="456" t="s">
        <v>241</v>
      </c>
      <c r="BL5" s="457" t="s">
        <v>80</v>
      </c>
      <c r="BM5" s="458" t="s">
        <v>74</v>
      </c>
      <c r="BN5" s="460" t="s">
        <v>245</v>
      </c>
      <c r="BO5" s="461" t="s">
        <v>244</v>
      </c>
      <c r="BP5" s="580"/>
      <c r="BQ5" s="178"/>
      <c r="BR5" s="456" t="s">
        <v>241</v>
      </c>
      <c r="BS5" s="457" t="s">
        <v>80</v>
      </c>
      <c r="BT5" s="458" t="s">
        <v>74</v>
      </c>
      <c r="BU5" s="459" t="s">
        <v>245</v>
      </c>
      <c r="BV5" s="456" t="s">
        <v>241</v>
      </c>
      <c r="BW5" s="457" t="s">
        <v>80</v>
      </c>
      <c r="BX5" s="458" t="s">
        <v>74</v>
      </c>
      <c r="BY5" s="460" t="s">
        <v>245</v>
      </c>
      <c r="BZ5" s="461" t="s">
        <v>244</v>
      </c>
      <c r="CA5" s="580"/>
      <c r="CC5" s="456" t="s">
        <v>241</v>
      </c>
      <c r="CD5" s="457" t="s">
        <v>80</v>
      </c>
      <c r="CE5" s="458" t="s">
        <v>74</v>
      </c>
      <c r="CF5" s="459" t="s">
        <v>245</v>
      </c>
      <c r="CG5" s="456" t="s">
        <v>241</v>
      </c>
      <c r="CH5" s="457" t="s">
        <v>80</v>
      </c>
      <c r="CI5" s="458" t="s">
        <v>74</v>
      </c>
      <c r="CJ5" s="460" t="s">
        <v>245</v>
      </c>
      <c r="CK5" s="461" t="s">
        <v>244</v>
      </c>
      <c r="CL5" s="580"/>
      <c r="CM5" s="178"/>
      <c r="CN5" s="456" t="s">
        <v>241</v>
      </c>
      <c r="CO5" s="457" t="s">
        <v>80</v>
      </c>
      <c r="CP5" s="458" t="s">
        <v>74</v>
      </c>
      <c r="CQ5" s="459" t="s">
        <v>245</v>
      </c>
      <c r="CR5" s="456" t="s">
        <v>241</v>
      </c>
      <c r="CS5" s="457" t="s">
        <v>80</v>
      </c>
      <c r="CT5" s="458" t="s">
        <v>74</v>
      </c>
      <c r="CU5" s="460" t="s">
        <v>245</v>
      </c>
      <c r="CV5" s="461" t="s">
        <v>244</v>
      </c>
      <c r="CW5" s="580"/>
      <c r="CX5" s="178"/>
      <c r="CY5" s="456" t="s">
        <v>241</v>
      </c>
      <c r="CZ5" s="457" t="s">
        <v>80</v>
      </c>
      <c r="DA5" s="458" t="s">
        <v>74</v>
      </c>
      <c r="DB5" s="459" t="s">
        <v>245</v>
      </c>
      <c r="DC5" s="456" t="s">
        <v>241</v>
      </c>
      <c r="DD5" s="457" t="s">
        <v>80</v>
      </c>
      <c r="DE5" s="458" t="s">
        <v>74</v>
      </c>
      <c r="DF5" s="460" t="s">
        <v>245</v>
      </c>
      <c r="DG5" s="461" t="s">
        <v>244</v>
      </c>
      <c r="DH5" s="580"/>
    </row>
    <row r="6" spans="1:112">
      <c r="D6" s="439"/>
      <c r="E6" s="439"/>
      <c r="F6" s="439"/>
      <c r="G6" s="440">
        <f>G5/G4</f>
        <v>113.08911205053671</v>
      </c>
      <c r="H6" s="444" t="s">
        <v>244</v>
      </c>
      <c r="M6" s="360">
        <v>2017</v>
      </c>
      <c r="N6" s="429"/>
      <c r="O6" s="446">
        <f>R6-Q6-P6</f>
        <v>30852641.983220145</v>
      </c>
      <c r="P6" s="438">
        <f>SUM(Scenarios!J7)</f>
        <v>357681.87882129761</v>
      </c>
      <c r="Q6" s="438">
        <f>Scenarios!H7</f>
        <v>42921.825458555708</v>
      </c>
      <c r="R6" s="447">
        <f>Scenarios!E7</f>
        <v>31253245.6875</v>
      </c>
      <c r="S6" s="446">
        <f>O6*$C$10</f>
        <v>3517201186.0870967</v>
      </c>
      <c r="T6" s="438">
        <f>P6*$B$11</f>
        <v>9299728.8493537381</v>
      </c>
      <c r="U6" s="438">
        <f>Q6*$B$12</f>
        <v>0</v>
      </c>
      <c r="V6" s="438">
        <f>S6+T6+U6</f>
        <v>3526500914.9364505</v>
      </c>
      <c r="W6" s="453">
        <f>V6/R6</f>
        <v>112.83630987315037</v>
      </c>
      <c r="X6" s="463">
        <f>$B$14*V6/$B$15</f>
        <v>47.060669299445713</v>
      </c>
      <c r="Z6" s="446">
        <f>AC6-AB6-AA6</f>
        <v>30812471.621923327</v>
      </c>
      <c r="AA6" s="438">
        <f>SUM(Scenarios!O7)</f>
        <v>397852.24011811428</v>
      </c>
      <c r="AB6" s="438">
        <f>Scenarios!M7</f>
        <v>42921.825458555708</v>
      </c>
      <c r="AC6" s="447">
        <f>Scenarios!E7</f>
        <v>31253245.6875</v>
      </c>
      <c r="AD6" s="446">
        <f>Z6*$C$10</f>
        <v>3512621764.8992596</v>
      </c>
      <c r="AE6" s="438">
        <f>AA6*$B$11</f>
        <v>10344158.243070971</v>
      </c>
      <c r="AF6" s="438">
        <f>AB6*$B$12</f>
        <v>0</v>
      </c>
      <c r="AG6" s="438">
        <f>AD6+AE6+AF6</f>
        <v>3522965923.1423306</v>
      </c>
      <c r="AH6" s="453">
        <f>AG6/AC6</f>
        <v>112.72320188336057</v>
      </c>
      <c r="AI6" s="463">
        <f>$B$14*AG6/$B$15</f>
        <v>47.013495320532307</v>
      </c>
      <c r="AK6" s="446">
        <f>AN6-AM6</f>
        <v>31210323.862041444</v>
      </c>
      <c r="AL6" s="438">
        <v>0</v>
      </c>
      <c r="AM6" s="438">
        <f>Scenarios!R7</f>
        <v>42921.825458555708</v>
      </c>
      <c r="AN6" s="447">
        <f>Scenarios!E7</f>
        <v>31253245.6875</v>
      </c>
      <c r="AO6" s="446">
        <f>AK6*$C$10</f>
        <v>3557976920.2727246</v>
      </c>
      <c r="AP6" s="438">
        <f>AL6*$B$11</f>
        <v>0</v>
      </c>
      <c r="AQ6" s="438">
        <f>AM6*$B$12</f>
        <v>0</v>
      </c>
      <c r="AR6" s="438">
        <f>AO6+AP6+AQ6</f>
        <v>3557976920.2727246</v>
      </c>
      <c r="AS6" s="453">
        <f>AR6/AN6</f>
        <v>113.84343744162763</v>
      </c>
      <c r="AT6" s="463">
        <f>$B$14*AR6/$B$15</f>
        <v>47.480712258097455</v>
      </c>
      <c r="AV6" s="446">
        <f>AY6-AX6-AW6</f>
        <v>30596120.084151544</v>
      </c>
      <c r="AW6" s="438">
        <f>SUM(Scenarios!AF7)</f>
        <v>354707.96057897771</v>
      </c>
      <c r="AX6" s="438">
        <f>Scenarios!AD7</f>
        <v>42564.955269477316</v>
      </c>
      <c r="AY6" s="447">
        <f>Scenarios!AA7</f>
        <v>30993393</v>
      </c>
      <c r="AZ6" s="446">
        <f>AV6*$C$10</f>
        <v>3487957689.593276</v>
      </c>
      <c r="BA6" s="438">
        <f>AW6*$B$11</f>
        <v>9222406.9750534203</v>
      </c>
      <c r="BB6" s="438">
        <f>AX6*$B$12</f>
        <v>0</v>
      </c>
      <c r="BC6" s="438">
        <f>AZ6+BA6+BB6</f>
        <v>3497180096.5683293</v>
      </c>
      <c r="BD6" s="453">
        <f>BC6/AY6</f>
        <v>112.83630987315036</v>
      </c>
      <c r="BE6" s="463">
        <f>$B$14*BC6/$B$15</f>
        <v>46.669387014230104</v>
      </c>
      <c r="BG6" s="446">
        <f>BJ6-BI6-BH6</f>
        <v>30556283.716208417</v>
      </c>
      <c r="BH6" s="438">
        <f>SUM(Scenarios!AK7)</f>
        <v>394544.32852210564</v>
      </c>
      <c r="BI6" s="438">
        <f>Scenarios!AI7</f>
        <v>42564.955269477316</v>
      </c>
      <c r="BJ6" s="447">
        <f>Scenarios!AA7</f>
        <v>30993393</v>
      </c>
      <c r="BK6" s="446">
        <f>BG6*$C$10</f>
        <v>3483416343.6477594</v>
      </c>
      <c r="BL6" s="438">
        <f>BH6*$B$11</f>
        <v>10258152.541574746</v>
      </c>
      <c r="BM6" s="438">
        <f>BI6*$B$12</f>
        <v>0</v>
      </c>
      <c r="BN6" s="438">
        <f>BK6+BL6+BM6</f>
        <v>3493674496.1893344</v>
      </c>
      <c r="BO6" s="453">
        <f>BN6/BJ6</f>
        <v>112.72320188336057</v>
      </c>
      <c r="BP6" s="463">
        <f>$B$14*BN6/$B$15</f>
        <v>46.622605259705914</v>
      </c>
      <c r="BR6" s="446">
        <f>BU6-BT6-BS6</f>
        <v>30950828.044730522</v>
      </c>
      <c r="BS6" s="438">
        <v>0</v>
      </c>
      <c r="BT6" s="438">
        <f>Scenarios!AN7</f>
        <v>42564.955269477316</v>
      </c>
      <c r="BU6" s="447">
        <f>Scenarios!AA7</f>
        <v>30993393</v>
      </c>
      <c r="BV6" s="446">
        <f>BR6*$C$10</f>
        <v>3528394397.0992794</v>
      </c>
      <c r="BW6" s="438">
        <f>BS6*$B$11</f>
        <v>0</v>
      </c>
      <c r="BX6" s="438">
        <f>BT6*$B$12</f>
        <v>0</v>
      </c>
      <c r="BY6" s="438">
        <f>BV6+BW6+BX6</f>
        <v>3528394397.0992794</v>
      </c>
      <c r="BZ6" s="453">
        <f>BY6/BU6</f>
        <v>113.84343744162761</v>
      </c>
      <c r="CA6" s="463">
        <f>$B$14*BY6/$B$15</f>
        <v>47.085937558277536</v>
      </c>
      <c r="CC6" s="446">
        <f>CF6-CE6-CD6</f>
        <v>30417871.53838069</v>
      </c>
      <c r="CD6" s="438">
        <f>SUM(Scenarios!BA7)</f>
        <v>352641.48358867131</v>
      </c>
      <c r="CE6" s="438">
        <f>Scenarios!AY7</f>
        <v>42316.978030640552</v>
      </c>
      <c r="CF6" s="447">
        <f>Scenarios!AV7</f>
        <v>30812830</v>
      </c>
      <c r="CG6" s="446">
        <f>CC6*$C$10</f>
        <v>3467637355.3753986</v>
      </c>
      <c r="CH6" s="438">
        <f>CD6*$B$11</f>
        <v>9168678.5733054541</v>
      </c>
      <c r="CI6" s="438">
        <f>CE6*$B$12</f>
        <v>0</v>
      </c>
      <c r="CJ6" s="438">
        <f>CG6+CH6+CI6</f>
        <v>3476806033.9487042</v>
      </c>
      <c r="CK6" s="453">
        <f>CJ6/CF6</f>
        <v>112.83630987315038</v>
      </c>
      <c r="CL6" s="463">
        <f>$B$14*CJ6/$B$15</f>
        <v>46.397497952988886</v>
      </c>
      <c r="CN6" s="446">
        <f>CQ6-CP6-CO6</f>
        <v>30378267.251323473</v>
      </c>
      <c r="CO6" s="438">
        <f>SUM(Scenarios!BF7)</f>
        <v>392245.7706458855</v>
      </c>
      <c r="CP6" s="438">
        <f>Scenarios!BD7</f>
        <v>42316.978030640552</v>
      </c>
      <c r="CQ6" s="447">
        <f>Scenarios!AV7</f>
        <v>30812830</v>
      </c>
      <c r="CR6" s="446">
        <f>CN6*$C$10</f>
        <v>3463122466.650876</v>
      </c>
      <c r="CS6" s="438">
        <f>CO6*$B$11</f>
        <v>10198390.036793023</v>
      </c>
      <c r="CT6" s="438">
        <f>CP6*$B$12</f>
        <v>0</v>
      </c>
      <c r="CU6" s="438">
        <f>CR6+CS6+CT6</f>
        <v>3473320856.6876693</v>
      </c>
      <c r="CV6" s="453">
        <f>CU6/CQ6</f>
        <v>112.72320188336057</v>
      </c>
      <c r="CW6" s="463">
        <f>$B$14*CU6/$B$15</f>
        <v>46.350988742162706</v>
      </c>
      <c r="CY6" s="446">
        <f>DB6-DA6-CZ6</f>
        <v>30770513.021969359</v>
      </c>
      <c r="CZ6" s="438">
        <v>0</v>
      </c>
      <c r="DA6" s="438">
        <f>Scenarios!BI7</f>
        <v>42316.978030640552</v>
      </c>
      <c r="DB6" s="447">
        <f>Scenarios!AV7</f>
        <v>30812830</v>
      </c>
      <c r="DC6" s="446">
        <f>CY6*$C$10</f>
        <v>3507838484.5045071</v>
      </c>
      <c r="DD6" s="438">
        <f>CZ6*$B$11</f>
        <v>0</v>
      </c>
      <c r="DE6" s="438">
        <f>DA6*$B$12</f>
        <v>0</v>
      </c>
      <c r="DF6" s="438">
        <f>DC6+DD6+DE6</f>
        <v>3507838484.5045071</v>
      </c>
      <c r="DG6" s="453">
        <f>DF6/DB6</f>
        <v>113.84343744162763</v>
      </c>
      <c r="DH6" s="463">
        <f>$B$14*DF6/$B$15</f>
        <v>46.811621734148986</v>
      </c>
    </row>
    <row r="7" spans="1:112">
      <c r="M7" s="360">
        <v>2018</v>
      </c>
      <c r="N7" s="429"/>
      <c r="O7" s="448">
        <f t="shared" ref="O7:O39" si="0">R7-Q7-P7</f>
        <v>31167556.69829952</v>
      </c>
      <c r="P7" s="445">
        <f>SUM(Scenarios!J8)</f>
        <v>436155.96133971435</v>
      </c>
      <c r="Q7" s="445">
        <f>Scenarios!H8</f>
        <v>52338.715360765738</v>
      </c>
      <c r="R7" s="449">
        <f>Scenarios!E8</f>
        <v>31656051.375</v>
      </c>
      <c r="S7" s="448">
        <f t="shared" ref="S7:S9" si="1">O7*$C$10</f>
        <v>3553101463.6061454</v>
      </c>
      <c r="T7" s="445">
        <f t="shared" ref="T7:T39" si="2">P7*$B$11</f>
        <v>11340054.994832573</v>
      </c>
      <c r="U7" s="445">
        <f t="shared" ref="U7:U39" si="3">Q7*$B$12</f>
        <v>0</v>
      </c>
      <c r="V7" s="445">
        <f t="shared" ref="V7:V39" si="4">S7+T7+U7</f>
        <v>3564441518.6009779</v>
      </c>
      <c r="W7" s="454">
        <f t="shared" ref="W7:W39" si="5">V7/R7</f>
        <v>112.59905653981704</v>
      </c>
      <c r="X7" s="463">
        <f t="shared" ref="X7:X39" si="6">$B$14*V7/$B$15</f>
        <v>47.56698143295889</v>
      </c>
      <c r="Z7" s="448">
        <f t="shared" ref="Z7:Z39" si="7">AC7-AB7-AA7</f>
        <v>31128939.175953895</v>
      </c>
      <c r="AA7" s="445">
        <f>SUM(Scenarios!O8)</f>
        <v>474906.01392913901</v>
      </c>
      <c r="AB7" s="445">
        <f>Scenarios!M8</f>
        <v>52206.18511696683</v>
      </c>
      <c r="AC7" s="449">
        <f>Scenarios!E8</f>
        <v>31656051.375</v>
      </c>
      <c r="AD7" s="448">
        <f t="shared" ref="AD7:AD9" si="8">Z7*$C$10</f>
        <v>3548699066.058744</v>
      </c>
      <c r="AE7" s="445">
        <f t="shared" ref="AE7:AE39" si="9">AA7*$B$11</f>
        <v>12347556.362157615</v>
      </c>
      <c r="AF7" s="445">
        <f t="shared" ref="AF7:AF39" si="10">AB7*$B$12</f>
        <v>0</v>
      </c>
      <c r="AG7" s="445">
        <f t="shared" ref="AG7:AG39" si="11">AD7+AE7+AF7</f>
        <v>3561046622.4209018</v>
      </c>
      <c r="AH7" s="454">
        <f t="shared" ref="AH7:AH39" si="12">AG7/AC7</f>
        <v>112.4918133419886</v>
      </c>
      <c r="AI7" s="463">
        <f t="shared" ref="AI7:AI39" si="13">$B$14*AG7/$B$15</f>
        <v>47.521677010731231</v>
      </c>
      <c r="AK7" s="448">
        <f t="shared" ref="AK7:AK39" si="14">AN7-AM7</f>
        <v>31603845.189883035</v>
      </c>
      <c r="AL7" s="445">
        <v>0</v>
      </c>
      <c r="AM7" s="445">
        <f>Scenarios!R8</f>
        <v>52206.18511696683</v>
      </c>
      <c r="AN7" s="449">
        <f>Scenarios!E8</f>
        <v>31656051.375</v>
      </c>
      <c r="AO7" s="448">
        <f t="shared" ref="AO7:AO9" si="15">AK7*$C$10</f>
        <v>3602838351.646666</v>
      </c>
      <c r="AP7" s="445">
        <f t="shared" ref="AP7:AP39" si="16">AL7*$B$11</f>
        <v>0</v>
      </c>
      <c r="AQ7" s="445">
        <f t="shared" ref="AQ7:AQ39" si="17">AM7*$B$12</f>
        <v>0</v>
      </c>
      <c r="AR7" s="445">
        <f t="shared" ref="AR7:AR39" si="18">AO7+AP7+AQ7</f>
        <v>3602838351.646666</v>
      </c>
      <c r="AS7" s="454">
        <f t="shared" ref="AS7:AS39" si="19">AR7/AN7</f>
        <v>113.81199471049526</v>
      </c>
      <c r="AT7" s="463">
        <f t="shared" ref="AT7:AT39" si="20">$B$14*AR7/$B$15</f>
        <v>48.079381884765304</v>
      </c>
      <c r="AV7" s="448">
        <f t="shared" ref="AV7:AV39" si="21">AY7-AX7-AW7</f>
        <v>30655872.048110995</v>
      </c>
      <c r="AW7" s="445">
        <f>SUM(Scenarios!AF8)</f>
        <v>428995.49275803921</v>
      </c>
      <c r="AX7" s="445">
        <f>Scenarios!AD8</f>
        <v>51479.459130964729</v>
      </c>
      <c r="AY7" s="449">
        <f>Scenarios!AA8</f>
        <v>31136347</v>
      </c>
      <c r="AZ7" s="448">
        <f t="shared" ref="AZ7:AZ9" si="22">AV7*$C$10</f>
        <v>3494769413.4846535</v>
      </c>
      <c r="BA7" s="445">
        <f t="shared" ref="BA7:BA39" si="23">AW7*$B$11</f>
        <v>11153882.81170902</v>
      </c>
      <c r="BB7" s="445">
        <f t="shared" ref="BB7:BB39" si="24">AX7*$B$12</f>
        <v>0</v>
      </c>
      <c r="BC7" s="445">
        <f t="shared" ref="BC7:BC39" si="25">AZ7+BA7+BB7</f>
        <v>3505923296.2963624</v>
      </c>
      <c r="BD7" s="454">
        <f t="shared" ref="BD7:BD39" si="26">BC7/AY7</f>
        <v>112.59905653981703</v>
      </c>
      <c r="BE7" s="463">
        <f t="shared" ref="BE7:BE39" si="27">$B$14*BC7/$B$15</f>
        <v>46.786063811130177</v>
      </c>
      <c r="BG7" s="448">
        <f t="shared" ref="BG7:BG39" si="28">BJ7-BI7-BH7</f>
        <v>30617888.518144172</v>
      </c>
      <c r="BH7" s="445">
        <f>SUM(Scenarios!AK8)</f>
        <v>467109.37719043001</v>
      </c>
      <c r="BI7" s="445">
        <f>Scenarios!AI8</f>
        <v>51349.104665398743</v>
      </c>
      <c r="BJ7" s="449">
        <f>Scenarios!AA8</f>
        <v>31136347</v>
      </c>
      <c r="BK7" s="448">
        <f t="shared" ref="BK7:BK9" si="29">BG7*$C$10</f>
        <v>3490439291.0684357</v>
      </c>
      <c r="BL7" s="445">
        <f t="shared" ref="BL7:BL39" si="30">BH7*$B$11</f>
        <v>12144843.80695118</v>
      </c>
      <c r="BM7" s="445">
        <f t="shared" ref="BM7:BM39" si="31">BI7*$B$12</f>
        <v>0</v>
      </c>
      <c r="BN7" s="445">
        <f t="shared" ref="BN7:BN39" si="32">BK7+BL7+BM7</f>
        <v>3502584134.8753867</v>
      </c>
      <c r="BO7" s="454">
        <f t="shared" ref="BO7:BO39" si="33">BN7/BJ7</f>
        <v>112.4918133419886</v>
      </c>
      <c r="BP7" s="463">
        <f t="shared" ref="BP7:BP39" si="34">$B$14*BN7/$B$15</f>
        <v>46.741503161591027</v>
      </c>
      <c r="BR7" s="448">
        <f t="shared" ref="BR7:BR39" si="35">BU7-BT7-BS7</f>
        <v>31084997.895334601</v>
      </c>
      <c r="BS7" s="445">
        <v>0</v>
      </c>
      <c r="BT7" s="445">
        <f>Scenarios!AN8</f>
        <v>51349.104665398743</v>
      </c>
      <c r="BU7" s="449">
        <f>Scenarios!AA8</f>
        <v>31136347</v>
      </c>
      <c r="BV7" s="448">
        <f t="shared" ref="BV7:BV9" si="36">BR7*$C$10</f>
        <v>3543689760.0681448</v>
      </c>
      <c r="BW7" s="445">
        <f t="shared" ref="BW7:BW39" si="37">BS7*$B$11</f>
        <v>0</v>
      </c>
      <c r="BX7" s="445">
        <f t="shared" ref="BX7:BX39" si="38">BT7*$B$12</f>
        <v>0</v>
      </c>
      <c r="BY7" s="445">
        <f t="shared" ref="BY7:BY39" si="39">BV7+BW7+BX7</f>
        <v>3543689760.0681448</v>
      </c>
      <c r="BZ7" s="454">
        <f t="shared" ref="BZ7:BZ39" si="40">BY7/BU7</f>
        <v>113.81199471049526</v>
      </c>
      <c r="CA7" s="463">
        <f t="shared" ref="CA7:CA39" si="41">$B$14*BY7/$B$15</f>
        <v>47.290052071744419</v>
      </c>
      <c r="CC7" s="448">
        <f t="shared" ref="CC7:CC39" si="42">CF7-CE7-CD7</f>
        <v>30300317.714613933</v>
      </c>
      <c r="CD7" s="445">
        <f>SUM(Scenarios!BA8)</f>
        <v>424019.89766612841</v>
      </c>
      <c r="CE7" s="445">
        <f>Scenarios!AY8</f>
        <v>50882.387719935425</v>
      </c>
      <c r="CF7" s="449">
        <f>Scenarios!AV8</f>
        <v>30775220</v>
      </c>
      <c r="CG7" s="448">
        <f t="shared" ref="CG7:CG9" si="43">CC7*$C$10</f>
        <v>3454236219.4659882</v>
      </c>
      <c r="CH7" s="445">
        <f t="shared" ref="CH7:CH39" si="44">CD7*$B$11</f>
        <v>11024517.339319339</v>
      </c>
      <c r="CI7" s="445">
        <f t="shared" ref="CI7:CI39" si="45">CE7*$B$12</f>
        <v>0</v>
      </c>
      <c r="CJ7" s="445">
        <f t="shared" ref="CJ7:CJ39" si="46">CG7+CH7+CI7</f>
        <v>3465260736.8053074</v>
      </c>
      <c r="CK7" s="454">
        <f t="shared" ref="CK7:CK39" si="47">CJ7/CF7</f>
        <v>112.59905653981701</v>
      </c>
      <c r="CL7" s="463">
        <f t="shared" ref="CL7:CL39" si="48">$B$14*CJ7/$B$15</f>
        <v>46.243427551779575</v>
      </c>
      <c r="CN7" s="448">
        <f t="shared" ref="CN7:CN39" si="49">CQ7-CP7-CO7</f>
        <v>30262774.726956919</v>
      </c>
      <c r="CO7" s="445">
        <f>SUM(Scenarios!BF8)</f>
        <v>461691.72790560388</v>
      </c>
      <c r="CP7" s="445">
        <f>Scenarios!BD8</f>
        <v>50753.545137477842</v>
      </c>
      <c r="CQ7" s="449">
        <f>Scenarios!AV8</f>
        <v>30775220</v>
      </c>
      <c r="CR7" s="448">
        <f t="shared" ref="CR7:CR9" si="50">CN7*$C$10</f>
        <v>3449956318.8730888</v>
      </c>
      <c r="CS7" s="445">
        <f t="shared" ref="CS7:CS39" si="51">CO7*$B$11</f>
        <v>12003984.925545702</v>
      </c>
      <c r="CT7" s="445">
        <f t="shared" ref="CT7:CT39" si="52">CP7*$B$12</f>
        <v>0</v>
      </c>
      <c r="CU7" s="445">
        <f t="shared" ref="CU7:CU39" si="53">CR7+CS7+CT7</f>
        <v>3461960303.7986345</v>
      </c>
      <c r="CV7" s="454">
        <f t="shared" ref="CV7:CV39" si="54">CU7/CQ7</f>
        <v>112.4918133419886</v>
      </c>
      <c r="CW7" s="463">
        <f t="shared" ref="CW7:CW39" si="55">$B$14*CU7/$B$15</f>
        <v>46.199383727598466</v>
      </c>
      <c r="CY7" s="448">
        <f t="shared" ref="CY7:CY39" si="56">DB7-DA7-CZ7</f>
        <v>30724466.454862524</v>
      </c>
      <c r="CZ7" s="445">
        <v>0</v>
      </c>
      <c r="DA7" s="445">
        <f>Scenarios!BI8</f>
        <v>50753.545137477842</v>
      </c>
      <c r="DB7" s="449">
        <f>Scenarios!AV8</f>
        <v>30775220</v>
      </c>
      <c r="DC7" s="448">
        <f t="shared" ref="DC7:DC9" si="57">CY7*$C$10</f>
        <v>3502589175.8543277</v>
      </c>
      <c r="DD7" s="445">
        <f t="shared" ref="DD7:DD39" si="58">CZ7*$B$11</f>
        <v>0</v>
      </c>
      <c r="DE7" s="445">
        <f t="shared" ref="DE7:DE39" si="59">DA7*$B$12</f>
        <v>0</v>
      </c>
      <c r="DF7" s="445">
        <f t="shared" ref="DF7:DF39" si="60">DC7+DD7+DE7</f>
        <v>3502589175.8543277</v>
      </c>
      <c r="DG7" s="454">
        <f t="shared" ref="DG7:DG39" si="61">DF7/DB7</f>
        <v>113.81199471049526</v>
      </c>
      <c r="DH7" s="463">
        <f t="shared" ref="DH7:DH39" si="62">$B$14*DF7/$B$15</f>
        <v>46.741570432761115</v>
      </c>
    </row>
    <row r="8" spans="1:112">
      <c r="B8" s="584" t="s">
        <v>266</v>
      </c>
      <c r="C8" s="584"/>
      <c r="M8" s="360">
        <v>2019</v>
      </c>
      <c r="N8" s="429"/>
      <c r="O8" s="448">
        <f t="shared" si="0"/>
        <v>31468397.442348894</v>
      </c>
      <c r="P8" s="445">
        <f>SUM(Scenarios!J9)</f>
        <v>527196.08942063141</v>
      </c>
      <c r="Q8" s="445">
        <f>Scenarios!H9</f>
        <v>63263.530730475759</v>
      </c>
      <c r="R8" s="449">
        <f>Scenarios!E9</f>
        <v>32058857.0625</v>
      </c>
      <c r="S8" s="448">
        <f t="shared" si="1"/>
        <v>3587397308.427774</v>
      </c>
      <c r="T8" s="445">
        <f t="shared" si="2"/>
        <v>13707098.324936416</v>
      </c>
      <c r="U8" s="445">
        <f t="shared" si="3"/>
        <v>0</v>
      </c>
      <c r="V8" s="445">
        <f t="shared" si="4"/>
        <v>3601104406.7527103</v>
      </c>
      <c r="W8" s="454">
        <f t="shared" si="5"/>
        <v>112.32790987315038</v>
      </c>
      <c r="X8" s="463">
        <f t="shared" si="6"/>
        <v>48.056242628826851</v>
      </c>
      <c r="Z8" s="448">
        <f t="shared" si="7"/>
        <v>31443354.092693526</v>
      </c>
      <c r="AA8" s="445">
        <f>SUM(Scenarios!O9)</f>
        <v>553790.22659371595</v>
      </c>
      <c r="AB8" s="445">
        <f>Scenarios!M9</f>
        <v>61712.74321275788</v>
      </c>
      <c r="AC8" s="449">
        <f>Scenarios!E9</f>
        <v>32058857.0625</v>
      </c>
      <c r="AD8" s="448">
        <f t="shared" si="8"/>
        <v>3584542366.5670619</v>
      </c>
      <c r="AE8" s="445">
        <f t="shared" si="9"/>
        <v>14398545.891436614</v>
      </c>
      <c r="AF8" s="445">
        <f t="shared" si="10"/>
        <v>0</v>
      </c>
      <c r="AG8" s="445">
        <f t="shared" si="11"/>
        <v>3598940912.4584985</v>
      </c>
      <c r="AH8" s="454">
        <f t="shared" si="12"/>
        <v>112.26042480061663</v>
      </c>
      <c r="AI8" s="463">
        <f t="shared" si="13"/>
        <v>48.027371095267931</v>
      </c>
      <c r="AK8" s="448">
        <f t="shared" si="14"/>
        <v>31997144.319287241</v>
      </c>
      <c r="AL8" s="445">
        <v>0</v>
      </c>
      <c r="AM8" s="445">
        <f>Scenarios!R9</f>
        <v>61712.74321275788</v>
      </c>
      <c r="AN8" s="449">
        <f>Scenarios!E9</f>
        <v>32058857.0625</v>
      </c>
      <c r="AO8" s="448">
        <f t="shared" si="15"/>
        <v>3647674452.3987455</v>
      </c>
      <c r="AP8" s="445">
        <f t="shared" si="16"/>
        <v>0</v>
      </c>
      <c r="AQ8" s="445">
        <f t="shared" si="17"/>
        <v>0</v>
      </c>
      <c r="AR8" s="445">
        <f t="shared" si="18"/>
        <v>3647674452.3987455</v>
      </c>
      <c r="AS8" s="454">
        <f t="shared" si="19"/>
        <v>113.78055197936287</v>
      </c>
      <c r="AT8" s="463">
        <f t="shared" si="20"/>
        <v>48.677713477771078</v>
      </c>
      <c r="AV8" s="448">
        <f t="shared" si="21"/>
        <v>30703199.233457115</v>
      </c>
      <c r="AW8" s="445">
        <f>SUM(Scenarios!AF9)</f>
        <v>514376.57727043441</v>
      </c>
      <c r="AX8" s="445">
        <f>Scenarios!AD9</f>
        <v>61725.189272452124</v>
      </c>
      <c r="AY8" s="449">
        <f>Scenarios!AA9</f>
        <v>31279301</v>
      </c>
      <c r="AZ8" s="448">
        <f t="shared" si="22"/>
        <v>3500164712.6141109</v>
      </c>
      <c r="BA8" s="445">
        <f t="shared" si="23"/>
        <v>13373791.009031294</v>
      </c>
      <c r="BB8" s="445">
        <f t="shared" si="24"/>
        <v>0</v>
      </c>
      <c r="BC8" s="445">
        <f t="shared" si="25"/>
        <v>3513538503.6231422</v>
      </c>
      <c r="BD8" s="454">
        <f t="shared" si="26"/>
        <v>112.32790987315038</v>
      </c>
      <c r="BE8" s="463">
        <f t="shared" si="27"/>
        <v>46.887687704699694</v>
      </c>
      <c r="BG8" s="448">
        <f t="shared" si="28"/>
        <v>30678764.847964477</v>
      </c>
      <c r="BH8" s="445">
        <f>SUM(Scenarios!AK9)</f>
        <v>540324.04070777679</v>
      </c>
      <c r="BI8" s="445">
        <f>Scenarios!AI9</f>
        <v>60212.111327746454</v>
      </c>
      <c r="BJ8" s="449">
        <f>Scenarios!AA9</f>
        <v>31279301</v>
      </c>
      <c r="BK8" s="448">
        <f t="shared" si="29"/>
        <v>3497379192.6679502</v>
      </c>
      <c r="BL8" s="445">
        <f t="shared" si="30"/>
        <v>14048425.058402196</v>
      </c>
      <c r="BM8" s="445">
        <f t="shared" si="31"/>
        <v>0</v>
      </c>
      <c r="BN8" s="445">
        <f t="shared" si="32"/>
        <v>3511427617.7263522</v>
      </c>
      <c r="BO8" s="454">
        <f t="shared" si="33"/>
        <v>112.26042480061662</v>
      </c>
      <c r="BP8" s="463">
        <f t="shared" si="34"/>
        <v>46.859518222963018</v>
      </c>
      <c r="BR8" s="448">
        <f t="shared" si="35"/>
        <v>31219088.888672255</v>
      </c>
      <c r="BS8" s="445">
        <v>0</v>
      </c>
      <c r="BT8" s="445">
        <f>Scenarios!AN9</f>
        <v>60212.111327746454</v>
      </c>
      <c r="BU8" s="449">
        <f>Scenarios!AA9</f>
        <v>31279301</v>
      </c>
      <c r="BV8" s="448">
        <f t="shared" si="36"/>
        <v>3558976133.3086371</v>
      </c>
      <c r="BW8" s="445">
        <f t="shared" si="37"/>
        <v>0</v>
      </c>
      <c r="BX8" s="445">
        <f t="shared" si="38"/>
        <v>0</v>
      </c>
      <c r="BY8" s="445">
        <f t="shared" si="39"/>
        <v>3558976133.3086371</v>
      </c>
      <c r="BZ8" s="454">
        <f t="shared" si="40"/>
        <v>113.78055197936287</v>
      </c>
      <c r="CA8" s="463">
        <f t="shared" si="41"/>
        <v>47.494046618523562</v>
      </c>
      <c r="CC8" s="448">
        <f t="shared" si="42"/>
        <v>30171485.091380518</v>
      </c>
      <c r="CD8" s="445">
        <f>SUM(Scenarios!BA9)</f>
        <v>505468.66841025249</v>
      </c>
      <c r="CE8" s="445">
        <f>Scenarios!AY9</f>
        <v>60656.240209230287</v>
      </c>
      <c r="CF8" s="449">
        <f>Scenarios!AV9</f>
        <v>30737610</v>
      </c>
      <c r="CG8" s="448">
        <f t="shared" si="43"/>
        <v>3439549300.4173789</v>
      </c>
      <c r="CH8" s="445">
        <f t="shared" si="44"/>
        <v>13142185.378666565</v>
      </c>
      <c r="CI8" s="445">
        <f t="shared" si="45"/>
        <v>0</v>
      </c>
      <c r="CJ8" s="445">
        <f t="shared" si="46"/>
        <v>3452691485.7960453</v>
      </c>
      <c r="CK8" s="454">
        <f t="shared" si="47"/>
        <v>112.32790987315036</v>
      </c>
      <c r="CL8" s="463">
        <f t="shared" si="48"/>
        <v>46.075692627173936</v>
      </c>
      <c r="CN8" s="448">
        <f t="shared" si="49"/>
        <v>30147473.857502166</v>
      </c>
      <c r="CO8" s="445">
        <f>SUM(Scenarios!BF9)</f>
        <v>530966.77693979698</v>
      </c>
      <c r="CP8" s="445">
        <f>Scenarios!BD9</f>
        <v>59169.365558036377</v>
      </c>
      <c r="CQ8" s="449">
        <f>Scenarios!AV9</f>
        <v>30737610</v>
      </c>
      <c r="CR8" s="448">
        <f t="shared" si="50"/>
        <v>3436812019.7552471</v>
      </c>
      <c r="CS8" s="445">
        <f t="shared" si="51"/>
        <v>13805136.200434722</v>
      </c>
      <c r="CT8" s="445">
        <f t="shared" si="52"/>
        <v>0</v>
      </c>
      <c r="CU8" s="445">
        <f t="shared" si="53"/>
        <v>3450617155.9556818</v>
      </c>
      <c r="CV8" s="454">
        <f t="shared" si="54"/>
        <v>112.26042480061663</v>
      </c>
      <c r="CW8" s="463">
        <f t="shared" si="55"/>
        <v>46.048010980978454</v>
      </c>
      <c r="CY8" s="448">
        <f t="shared" si="56"/>
        <v>30678440.634441964</v>
      </c>
      <c r="CZ8" s="445">
        <v>0</v>
      </c>
      <c r="DA8" s="445">
        <f>Scenarios!BI9</f>
        <v>59169.365558036377</v>
      </c>
      <c r="DB8" s="449">
        <f>Scenarios!AV9</f>
        <v>30737610</v>
      </c>
      <c r="DC8" s="448">
        <f t="shared" si="57"/>
        <v>3497342232.3263841</v>
      </c>
      <c r="DD8" s="445">
        <f t="shared" si="58"/>
        <v>0</v>
      </c>
      <c r="DE8" s="445">
        <f t="shared" si="59"/>
        <v>0</v>
      </c>
      <c r="DF8" s="445">
        <f t="shared" si="60"/>
        <v>3497342232.3263841</v>
      </c>
      <c r="DG8" s="454">
        <f t="shared" si="61"/>
        <v>113.78055197936287</v>
      </c>
      <c r="DH8" s="463">
        <f t="shared" si="62"/>
        <v>46.671550693603926</v>
      </c>
    </row>
    <row r="9" spans="1:112" s="174" customFormat="1">
      <c r="A9" s="434" t="s">
        <v>246</v>
      </c>
      <c r="B9" s="432" t="s">
        <v>252</v>
      </c>
      <c r="C9" s="432" t="s">
        <v>253</v>
      </c>
      <c r="M9" s="360">
        <v>2020</v>
      </c>
      <c r="N9" s="430"/>
      <c r="O9" s="448">
        <f t="shared" si="0"/>
        <v>31754713.072998267</v>
      </c>
      <c r="P9" s="445">
        <f>SUM(Scenarios!J10)</f>
        <v>631205.06875154818</v>
      </c>
      <c r="Q9" s="445">
        <f>Scenarios!H10</f>
        <v>75744.608250185789</v>
      </c>
      <c r="R9" s="449">
        <f>Scenarios!E10</f>
        <v>32461662.75</v>
      </c>
      <c r="S9" s="448">
        <f t="shared" si="1"/>
        <v>3620037290.3218026</v>
      </c>
      <c r="T9" s="445">
        <f t="shared" si="2"/>
        <v>16411331.787540253</v>
      </c>
      <c r="U9" s="445">
        <f t="shared" si="3"/>
        <v>0</v>
      </c>
      <c r="V9" s="445">
        <f t="shared" si="4"/>
        <v>3636448622.1093431</v>
      </c>
      <c r="W9" s="454">
        <f t="shared" si="5"/>
        <v>112.02286987315038</v>
      </c>
      <c r="X9" s="463">
        <f t="shared" si="6"/>
        <v>48.527906317754841</v>
      </c>
      <c r="Z9" s="448">
        <f t="shared" si="7"/>
        <v>31755716.372142226</v>
      </c>
      <c r="AA9" s="445">
        <f>SUM(Scenarios!O10)</f>
        <v>634504.87811184535</v>
      </c>
      <c r="AB9" s="445">
        <f>Scenarios!M10</f>
        <v>71441.499745928857</v>
      </c>
      <c r="AC9" s="449">
        <f>Scenarios!E10</f>
        <v>32461662.75</v>
      </c>
      <c r="AD9" s="448">
        <f t="shared" si="8"/>
        <v>3620151666.4242139</v>
      </c>
      <c r="AE9" s="445">
        <f t="shared" si="9"/>
        <v>16497126.830907978</v>
      </c>
      <c r="AF9" s="445">
        <f t="shared" si="10"/>
        <v>0</v>
      </c>
      <c r="AG9" s="445">
        <f t="shared" si="11"/>
        <v>3636648793.2551217</v>
      </c>
      <c r="AH9" s="454">
        <f t="shared" si="12"/>
        <v>112.02903625924466</v>
      </c>
      <c r="AI9" s="463">
        <f t="shared" si="13"/>
        <v>48.530577574142413</v>
      </c>
      <c r="AK9" s="448">
        <f t="shared" si="14"/>
        <v>32390221.250254072</v>
      </c>
      <c r="AL9" s="445">
        <v>0</v>
      </c>
      <c r="AM9" s="445">
        <f>Scenarios!R10</f>
        <v>71441.499745928857</v>
      </c>
      <c r="AN9" s="449">
        <f>Scenarios!E10</f>
        <v>32461662.75</v>
      </c>
      <c r="AO9" s="448">
        <f t="shared" si="15"/>
        <v>3692485222.528964</v>
      </c>
      <c r="AP9" s="445">
        <f t="shared" si="16"/>
        <v>0</v>
      </c>
      <c r="AQ9" s="445">
        <f t="shared" si="17"/>
        <v>0</v>
      </c>
      <c r="AR9" s="445">
        <f t="shared" si="18"/>
        <v>3692485222.528964</v>
      </c>
      <c r="AS9" s="454">
        <f t="shared" si="19"/>
        <v>113.74910924823048</v>
      </c>
      <c r="AT9" s="463">
        <f t="shared" si="20"/>
        <v>49.275707037114792</v>
      </c>
      <c r="AV9" s="448">
        <f t="shared" si="21"/>
        <v>30737942.465289567</v>
      </c>
      <c r="AW9" s="445">
        <f>SUM(Scenarios!AF10)</f>
        <v>610994.18667341489</v>
      </c>
      <c r="AX9" s="445">
        <f>Scenarios!AD10</f>
        <v>73319.302400809785</v>
      </c>
      <c r="AY9" s="449">
        <f>Scenarios!AA10</f>
        <v>31422255.954363789</v>
      </c>
      <c r="AZ9" s="448">
        <f t="shared" si="22"/>
        <v>3504125441.0430107</v>
      </c>
      <c r="BA9" s="445">
        <f t="shared" si="23"/>
        <v>15885848.853508787</v>
      </c>
      <c r="BB9" s="445">
        <f t="shared" si="24"/>
        <v>0</v>
      </c>
      <c r="BC9" s="445">
        <f t="shared" si="25"/>
        <v>3520011289.8965197</v>
      </c>
      <c r="BD9" s="454">
        <f t="shared" si="26"/>
        <v>112.02286987315038</v>
      </c>
      <c r="BE9" s="463">
        <f t="shared" si="27"/>
        <v>46.974066146561775</v>
      </c>
      <c r="BG9" s="448">
        <f t="shared" si="28"/>
        <v>30738913.639278498</v>
      </c>
      <c r="BH9" s="445">
        <f>SUM(Scenarios!AK10)</f>
        <v>614188.33772841177</v>
      </c>
      <c r="BI9" s="445">
        <f>Scenarios!AI10</f>
        <v>69153.977356880525</v>
      </c>
      <c r="BJ9" s="449">
        <f>Scenarios!AA10</f>
        <v>31422255.954363789</v>
      </c>
      <c r="BK9" s="448">
        <f t="shared" si="29"/>
        <v>3504236154.8777485</v>
      </c>
      <c r="BL9" s="445">
        <f t="shared" si="30"/>
        <v>15968896.780938705</v>
      </c>
      <c r="BM9" s="445">
        <f t="shared" si="31"/>
        <v>0</v>
      </c>
      <c r="BN9" s="445">
        <f t="shared" si="32"/>
        <v>3520205051.6586871</v>
      </c>
      <c r="BO9" s="454">
        <f t="shared" si="33"/>
        <v>112.02903625924465</v>
      </c>
      <c r="BP9" s="463">
        <f t="shared" si="34"/>
        <v>46.976651870607284</v>
      </c>
      <c r="BR9" s="448">
        <f t="shared" si="35"/>
        <v>31353101.977006909</v>
      </c>
      <c r="BS9" s="445">
        <v>0</v>
      </c>
      <c r="BT9" s="445">
        <f>Scenarios!AN10</f>
        <v>69153.977356880525</v>
      </c>
      <c r="BU9" s="449">
        <f>Scenarios!AA10</f>
        <v>31422255.954363789</v>
      </c>
      <c r="BV9" s="448">
        <f t="shared" si="36"/>
        <v>3574253625.3787875</v>
      </c>
      <c r="BW9" s="445">
        <f t="shared" si="37"/>
        <v>0</v>
      </c>
      <c r="BX9" s="445">
        <f t="shared" si="38"/>
        <v>0</v>
      </c>
      <c r="BY9" s="445">
        <f t="shared" si="39"/>
        <v>3574253625.3787875</v>
      </c>
      <c r="BZ9" s="454">
        <f t="shared" si="40"/>
        <v>113.74910924823048</v>
      </c>
      <c r="CA9" s="463">
        <f t="shared" si="41"/>
        <v>47.69792264730696</v>
      </c>
      <c r="CC9" s="448">
        <f t="shared" si="42"/>
        <v>30031415.791880433</v>
      </c>
      <c r="CD9" s="445">
        <f>SUM(Scenarios!BA10)</f>
        <v>596950.18582104298</v>
      </c>
      <c r="CE9" s="445">
        <f>Scenarios!AY10</f>
        <v>71634.02229852516</v>
      </c>
      <c r="CF9" s="449">
        <f>Scenarios!AV10</f>
        <v>30700000</v>
      </c>
      <c r="CG9" s="448">
        <f t="shared" si="43"/>
        <v>3423581400.2743692</v>
      </c>
      <c r="CH9" s="445">
        <f t="shared" si="44"/>
        <v>15520704.831347117</v>
      </c>
      <c r="CI9" s="445">
        <f t="shared" si="45"/>
        <v>0</v>
      </c>
      <c r="CJ9" s="445">
        <f t="shared" si="46"/>
        <v>3439102105.1057162</v>
      </c>
      <c r="CK9" s="454">
        <f t="shared" si="47"/>
        <v>112.02286987315037</v>
      </c>
      <c r="CL9" s="463">
        <f t="shared" si="48"/>
        <v>45.894344212391694</v>
      </c>
      <c r="CN9" s="448">
        <f t="shared" si="49"/>
        <v>30032364.642959218</v>
      </c>
      <c r="CO9" s="445">
        <f>SUM(Scenarios!BF10)</f>
        <v>600070.91774846474</v>
      </c>
      <c r="CP9" s="445">
        <f>Scenarios!BD10</f>
        <v>67564.439292316165</v>
      </c>
      <c r="CQ9" s="449">
        <f>Scenarios!AV10</f>
        <v>30700000</v>
      </c>
      <c r="CR9" s="448">
        <f t="shared" si="50"/>
        <v>3423689569.2973509</v>
      </c>
      <c r="CS9" s="445">
        <f t="shared" si="51"/>
        <v>15601843.861460082</v>
      </c>
      <c r="CT9" s="445">
        <f t="shared" si="52"/>
        <v>0</v>
      </c>
      <c r="CU9" s="445">
        <f t="shared" si="53"/>
        <v>3439291413.1588111</v>
      </c>
      <c r="CV9" s="454">
        <f t="shared" si="54"/>
        <v>112.02903625924466</v>
      </c>
      <c r="CW9" s="463">
        <f t="shared" si="55"/>
        <v>45.896870502302662</v>
      </c>
      <c r="CY9" s="448">
        <f t="shared" si="56"/>
        <v>30632435.560707685</v>
      </c>
      <c r="CZ9" s="445">
        <v>0</v>
      </c>
      <c r="DA9" s="445">
        <f>Scenarios!BI10</f>
        <v>67564.439292316165</v>
      </c>
      <c r="DB9" s="449">
        <f>Scenarios!AV10</f>
        <v>30700000</v>
      </c>
      <c r="DC9" s="448">
        <f t="shared" si="57"/>
        <v>3492097653.9206762</v>
      </c>
      <c r="DD9" s="445">
        <f t="shared" si="58"/>
        <v>0</v>
      </c>
      <c r="DE9" s="445">
        <f t="shared" si="59"/>
        <v>0</v>
      </c>
      <c r="DF9" s="445">
        <f t="shared" si="60"/>
        <v>3492097653.9206762</v>
      </c>
      <c r="DG9" s="454">
        <f t="shared" si="61"/>
        <v>113.7491092482305</v>
      </c>
      <c r="DH9" s="463">
        <f t="shared" si="62"/>
        <v>46.601562516677433</v>
      </c>
    </row>
    <row r="10" spans="1:112">
      <c r="A10" s="433" t="s">
        <v>241</v>
      </c>
      <c r="B10" s="431">
        <v>90</v>
      </c>
      <c r="C10" s="431">
        <v>114</v>
      </c>
      <c r="M10" s="360">
        <v>2021</v>
      </c>
      <c r="N10" s="429"/>
      <c r="O10" s="448">
        <f t="shared" si="0"/>
        <v>32026052.447877638</v>
      </c>
      <c r="P10" s="445">
        <f>SUM(Scenarios!J11)</f>
        <v>748585.70501996519</v>
      </c>
      <c r="Q10" s="445">
        <f>Scenarios!H11</f>
        <v>89830.284602395812</v>
      </c>
      <c r="R10" s="449">
        <f>Scenarios!E11</f>
        <v>32864468.4375</v>
      </c>
      <c r="S10" s="448">
        <f t="shared" ref="S10:S39" si="63">O10*$B$10</f>
        <v>2882344720.3089876</v>
      </c>
      <c r="T10" s="445">
        <f t="shared" si="2"/>
        <v>19463228.330519095</v>
      </c>
      <c r="U10" s="445">
        <f t="shared" si="3"/>
        <v>0</v>
      </c>
      <c r="V10" s="445">
        <f t="shared" si="4"/>
        <v>2901807948.6395068</v>
      </c>
      <c r="W10" s="454">
        <f t="shared" si="5"/>
        <v>88.296208233461002</v>
      </c>
      <c r="X10" s="463">
        <f t="shared" si="6"/>
        <v>38.72422765099089</v>
      </c>
      <c r="Z10" s="448">
        <f t="shared" si="7"/>
        <v>32066026.014299992</v>
      </c>
      <c r="AA10" s="445">
        <f>SUM(Scenarios!O11)</f>
        <v>717049.96848352719</v>
      </c>
      <c r="AB10" s="445">
        <f>Scenarios!M11</f>
        <v>81392.45471647974</v>
      </c>
      <c r="AC10" s="449">
        <f>Scenarios!E11</f>
        <v>32864468.4375</v>
      </c>
      <c r="AD10" s="448">
        <f t="shared" ref="AD10:AD39" si="64">Z10*$B$10</f>
        <v>2885942341.2869992</v>
      </c>
      <c r="AE10" s="445">
        <f t="shared" si="9"/>
        <v>18643299.180571705</v>
      </c>
      <c r="AF10" s="445">
        <f t="shared" si="10"/>
        <v>0</v>
      </c>
      <c r="AG10" s="445">
        <f t="shared" si="11"/>
        <v>2904585640.4675708</v>
      </c>
      <c r="AH10" s="454">
        <f t="shared" si="12"/>
        <v>88.380727836549866</v>
      </c>
      <c r="AI10" s="463">
        <f t="shared" si="13"/>
        <v>38.761295566096948</v>
      </c>
      <c r="AK10" s="448">
        <f t="shared" si="14"/>
        <v>32783075.982783519</v>
      </c>
      <c r="AL10" s="445">
        <v>0</v>
      </c>
      <c r="AM10" s="445">
        <f>Scenarios!R11</f>
        <v>81392.45471647974</v>
      </c>
      <c r="AN10" s="449">
        <f>Scenarios!E11</f>
        <v>32864468.4375</v>
      </c>
      <c r="AO10" s="448">
        <f t="shared" ref="AO10:AO39" si="65">AK10*$B$10</f>
        <v>2950476838.4505167</v>
      </c>
      <c r="AP10" s="445">
        <f t="shared" si="16"/>
        <v>0</v>
      </c>
      <c r="AQ10" s="445">
        <f t="shared" si="17"/>
        <v>0</v>
      </c>
      <c r="AR10" s="445">
        <f t="shared" si="18"/>
        <v>2950476838.4505167</v>
      </c>
      <c r="AS10" s="454">
        <f t="shared" si="19"/>
        <v>89.777105145077456</v>
      </c>
      <c r="AT10" s="463">
        <f t="shared" si="20"/>
        <v>39.373707286418224</v>
      </c>
      <c r="AV10" s="448">
        <f t="shared" si="21"/>
        <v>30831564.726816244</v>
      </c>
      <c r="AW10" s="445">
        <f>SUM(Scenarios!AF11)</f>
        <v>720665.4224854972</v>
      </c>
      <c r="AX10" s="445">
        <f>Scenarios!AD11</f>
        <v>86479.850698259645</v>
      </c>
      <c r="AY10" s="449">
        <f>Scenarios!AA11</f>
        <v>31638710</v>
      </c>
      <c r="AZ10" s="448">
        <f t="shared" ref="AZ10:AZ39" si="66">AV10*$B$10</f>
        <v>2774840825.4134622</v>
      </c>
      <c r="BA10" s="445">
        <f t="shared" si="23"/>
        <v>18737300.984622926</v>
      </c>
      <c r="BB10" s="445">
        <f t="shared" si="24"/>
        <v>0</v>
      </c>
      <c r="BC10" s="445">
        <f t="shared" si="25"/>
        <v>2793578126.3980851</v>
      </c>
      <c r="BD10" s="454">
        <f t="shared" si="26"/>
        <v>88.296208233461002</v>
      </c>
      <c r="BE10" s="463">
        <f t="shared" si="27"/>
        <v>37.279915570631452</v>
      </c>
      <c r="BG10" s="448">
        <f t="shared" si="28"/>
        <v>30870047.384100288</v>
      </c>
      <c r="BH10" s="445">
        <f>SUM(Scenarios!AK11)</f>
        <v>690305.88617319555</v>
      </c>
      <c r="BI10" s="445">
        <f>Scenarios!AI11</f>
        <v>78356.729726516962</v>
      </c>
      <c r="BJ10" s="449">
        <f>Scenarios!AA11</f>
        <v>31638710</v>
      </c>
      <c r="BK10" s="448">
        <f t="shared" ref="BK10:BK39" si="67">BG10*$B$10</f>
        <v>2778304264.569026</v>
      </c>
      <c r="BL10" s="445">
        <f t="shared" si="30"/>
        <v>17947953.040503085</v>
      </c>
      <c r="BM10" s="445">
        <f t="shared" si="31"/>
        <v>0</v>
      </c>
      <c r="BN10" s="445">
        <f t="shared" si="32"/>
        <v>2796252217.609529</v>
      </c>
      <c r="BO10" s="454">
        <f t="shared" si="33"/>
        <v>88.38072783654988</v>
      </c>
      <c r="BP10" s="463">
        <f t="shared" si="34"/>
        <v>37.315600949768971</v>
      </c>
      <c r="BR10" s="448">
        <f t="shared" si="35"/>
        <v>31560353.270273484</v>
      </c>
      <c r="BS10" s="445">
        <v>0</v>
      </c>
      <c r="BT10" s="445">
        <f>Scenarios!AN11</f>
        <v>78356.729726516962</v>
      </c>
      <c r="BU10" s="449">
        <f>Scenarios!AA11</f>
        <v>31638710</v>
      </c>
      <c r="BV10" s="448">
        <f t="shared" ref="BV10:BV39" si="68">BR10*$B$10</f>
        <v>2840431794.3246136</v>
      </c>
      <c r="BW10" s="445">
        <f t="shared" si="37"/>
        <v>0</v>
      </c>
      <c r="BX10" s="445">
        <f t="shared" si="38"/>
        <v>0</v>
      </c>
      <c r="BY10" s="445">
        <f t="shared" si="39"/>
        <v>2840431794.3246136</v>
      </c>
      <c r="BZ10" s="454">
        <f t="shared" si="40"/>
        <v>89.777105145077456</v>
      </c>
      <c r="CA10" s="463">
        <f t="shared" si="41"/>
        <v>37.905171319869261</v>
      </c>
      <c r="CC10" s="448">
        <f t="shared" si="42"/>
        <v>29936292.232135728</v>
      </c>
      <c r="CD10" s="445">
        <f>SUM(Scenarios!BA11)</f>
        <v>699739.07845024241</v>
      </c>
      <c r="CE10" s="445">
        <f>Scenarios!AY11</f>
        <v>83968.689414029082</v>
      </c>
      <c r="CF10" s="449">
        <f>Scenarios!AV11</f>
        <v>30720000</v>
      </c>
      <c r="CG10" s="448">
        <f t="shared" ref="CG10:CG39" si="69">CC10*$B$10</f>
        <v>2694266300.8922157</v>
      </c>
      <c r="CH10" s="445">
        <f t="shared" si="44"/>
        <v>18193216.039706301</v>
      </c>
      <c r="CI10" s="445">
        <f t="shared" si="45"/>
        <v>0</v>
      </c>
      <c r="CJ10" s="445">
        <f t="shared" si="46"/>
        <v>2712459516.931922</v>
      </c>
      <c r="CK10" s="454">
        <f t="shared" si="47"/>
        <v>88.296208233461002</v>
      </c>
      <c r="CL10" s="463">
        <f t="shared" si="48"/>
        <v>36.19739889299526</v>
      </c>
      <c r="CN10" s="448">
        <f t="shared" si="49"/>
        <v>29973657.448093202</v>
      </c>
      <c r="CO10" s="445">
        <f>SUM(Scenarios!BF11)</f>
        <v>670261.10809323669</v>
      </c>
      <c r="CP10" s="445">
        <f>Scenarios!BD11</f>
        <v>76081.443813562597</v>
      </c>
      <c r="CQ10" s="449">
        <f>Scenarios!AV11</f>
        <v>30720000</v>
      </c>
      <c r="CR10" s="448">
        <f t="shared" ref="CR10:CR39" si="70">CN10*$B$10</f>
        <v>2697629170.3283882</v>
      </c>
      <c r="CS10" s="445">
        <f t="shared" si="51"/>
        <v>17426788.810424153</v>
      </c>
      <c r="CT10" s="445">
        <f t="shared" si="52"/>
        <v>0</v>
      </c>
      <c r="CU10" s="445">
        <f t="shared" si="53"/>
        <v>2715055959.1388125</v>
      </c>
      <c r="CV10" s="454">
        <f t="shared" si="54"/>
        <v>88.380727836549895</v>
      </c>
      <c r="CW10" s="463">
        <f t="shared" si="55"/>
        <v>36.232048056855128</v>
      </c>
      <c r="CY10" s="448">
        <f t="shared" si="56"/>
        <v>30643918.556186438</v>
      </c>
      <c r="CZ10" s="445">
        <v>0</v>
      </c>
      <c r="DA10" s="445">
        <f>Scenarios!BI11</f>
        <v>76081.443813562597</v>
      </c>
      <c r="DB10" s="449">
        <f>Scenarios!AV11</f>
        <v>30720000</v>
      </c>
      <c r="DC10" s="448">
        <f t="shared" ref="DC10:DC39" si="71">CY10*$B$10</f>
        <v>2757952670.0567794</v>
      </c>
      <c r="DD10" s="445">
        <f t="shared" si="58"/>
        <v>0</v>
      </c>
      <c r="DE10" s="445">
        <f t="shared" si="59"/>
        <v>0</v>
      </c>
      <c r="DF10" s="445">
        <f t="shared" si="60"/>
        <v>2757952670.0567794</v>
      </c>
      <c r="DG10" s="454">
        <f t="shared" si="61"/>
        <v>89.777105145077456</v>
      </c>
      <c r="DH10" s="463">
        <f t="shared" si="62"/>
        <v>36.804498759474818</v>
      </c>
    </row>
    <row r="11" spans="1:112">
      <c r="A11" s="433" t="s">
        <v>242</v>
      </c>
      <c r="B11" s="431">
        <v>26</v>
      </c>
      <c r="C11" s="431">
        <v>26</v>
      </c>
      <c r="M11" s="360">
        <v>2022</v>
      </c>
      <c r="N11" s="429"/>
      <c r="O11" s="448">
        <f t="shared" si="0"/>
        <v>32281964.424617015</v>
      </c>
      <c r="P11" s="445">
        <f>SUM(Scenarios!J12)</f>
        <v>879740.803913382</v>
      </c>
      <c r="Q11" s="445">
        <f>Scenarios!H12</f>
        <v>105568.89646960584</v>
      </c>
      <c r="R11" s="449">
        <f>Scenarios!E12</f>
        <v>33267274.125</v>
      </c>
      <c r="S11" s="448">
        <f t="shared" si="63"/>
        <v>2905376798.2155313</v>
      </c>
      <c r="T11" s="445">
        <f t="shared" si="2"/>
        <v>22873260.901747931</v>
      </c>
      <c r="U11" s="445">
        <f t="shared" si="3"/>
        <v>0</v>
      </c>
      <c r="V11" s="445">
        <f t="shared" si="4"/>
        <v>2928250059.1172791</v>
      </c>
      <c r="W11" s="454">
        <f t="shared" si="5"/>
        <v>88.021941566794339</v>
      </c>
      <c r="X11" s="463">
        <f t="shared" si="6"/>
        <v>39.07709397565376</v>
      </c>
      <c r="Z11" s="448">
        <f t="shared" si="7"/>
        <v>32374283.019166831</v>
      </c>
      <c r="AA11" s="445">
        <f>SUM(Scenarios!O12)</f>
        <v>801425.49770876125</v>
      </c>
      <c r="AB11" s="445">
        <f>Scenarios!M12</f>
        <v>91565.608124410574</v>
      </c>
      <c r="AC11" s="449">
        <f>Scenarios!E12</f>
        <v>33267274.125</v>
      </c>
      <c r="AD11" s="448">
        <f t="shared" si="64"/>
        <v>2913685471.7250147</v>
      </c>
      <c r="AE11" s="445">
        <f t="shared" si="9"/>
        <v>20837062.940427791</v>
      </c>
      <c r="AF11" s="445">
        <f t="shared" si="10"/>
        <v>0</v>
      </c>
      <c r="AG11" s="445">
        <f t="shared" si="11"/>
        <v>2934522534.6654425</v>
      </c>
      <c r="AH11" s="454">
        <f t="shared" si="12"/>
        <v>88.210489493041464</v>
      </c>
      <c r="AI11" s="463">
        <f t="shared" si="13"/>
        <v>39.160799298459914</v>
      </c>
      <c r="AK11" s="448">
        <f t="shared" si="14"/>
        <v>33175223.513952155</v>
      </c>
      <c r="AL11" s="445">
        <v>0</v>
      </c>
      <c r="AM11" s="445">
        <f>Scenarios!R12</f>
        <v>92050.611047847065</v>
      </c>
      <c r="AN11" s="449">
        <f>Scenarios!E12</f>
        <v>33267274.125</v>
      </c>
      <c r="AO11" s="448">
        <f t="shared" si="65"/>
        <v>2985770116.2556939</v>
      </c>
      <c r="AP11" s="445">
        <f t="shared" si="16"/>
        <v>0</v>
      </c>
      <c r="AQ11" s="445">
        <f t="shared" si="17"/>
        <v>0</v>
      </c>
      <c r="AR11" s="445">
        <f t="shared" si="18"/>
        <v>2985770116.2556939</v>
      </c>
      <c r="AS11" s="454">
        <f t="shared" si="19"/>
        <v>89.750969828090589</v>
      </c>
      <c r="AT11" s="463">
        <f t="shared" si="20"/>
        <v>39.844691220733431</v>
      </c>
      <c r="AV11" s="448">
        <f t="shared" si="21"/>
        <v>30911678.159273908</v>
      </c>
      <c r="AW11" s="445">
        <f>SUM(Scenarios!AF12)</f>
        <v>842398.07207686652</v>
      </c>
      <c r="AX11" s="445">
        <f>Scenarios!AD12</f>
        <v>101087.76864922397</v>
      </c>
      <c r="AY11" s="449">
        <f>Scenarios!AA12</f>
        <v>31855164</v>
      </c>
      <c r="AZ11" s="448">
        <f t="shared" si="66"/>
        <v>2782051034.3346515</v>
      </c>
      <c r="BA11" s="445">
        <f t="shared" si="23"/>
        <v>21902349.87399853</v>
      </c>
      <c r="BB11" s="445">
        <f t="shared" si="24"/>
        <v>0</v>
      </c>
      <c r="BC11" s="445">
        <f t="shared" si="25"/>
        <v>2803953384.2086501</v>
      </c>
      <c r="BD11" s="454">
        <f t="shared" si="26"/>
        <v>88.021941566794325</v>
      </c>
      <c r="BE11" s="463">
        <f t="shared" si="27"/>
        <v>37.418371957995888</v>
      </c>
      <c r="BG11" s="448">
        <f t="shared" si="28"/>
        <v>31000078.067200955</v>
      </c>
      <c r="BH11" s="445">
        <f>SUM(Scenarios!AK12)</f>
        <v>767407.04896254302</v>
      </c>
      <c r="BI11" s="445">
        <f>Scenarios!AI12</f>
        <v>87678.883836498615</v>
      </c>
      <c r="BJ11" s="449">
        <f>Scenarios!AA12</f>
        <v>31855164</v>
      </c>
      <c r="BK11" s="448">
        <f t="shared" si="67"/>
        <v>2790007026.0480862</v>
      </c>
      <c r="BL11" s="445">
        <f t="shared" si="30"/>
        <v>19952583.27302612</v>
      </c>
      <c r="BM11" s="445">
        <f t="shared" si="31"/>
        <v>0</v>
      </c>
      <c r="BN11" s="445">
        <f t="shared" si="32"/>
        <v>2809959609.3211122</v>
      </c>
      <c r="BO11" s="454">
        <f t="shared" si="33"/>
        <v>88.21048949304145</v>
      </c>
      <c r="BP11" s="463">
        <f t="shared" si="34"/>
        <v>37.498524205386047</v>
      </c>
      <c r="BR11" s="448">
        <f t="shared" si="35"/>
        <v>31767020.700365305</v>
      </c>
      <c r="BS11" s="445">
        <v>0</v>
      </c>
      <c r="BT11" s="445">
        <f>Scenarios!AN12</f>
        <v>88143.299634694078</v>
      </c>
      <c r="BU11" s="449">
        <f>Scenarios!AA12</f>
        <v>31855164</v>
      </c>
      <c r="BV11" s="448">
        <f t="shared" si="68"/>
        <v>2859031863.0328774</v>
      </c>
      <c r="BW11" s="445">
        <f t="shared" si="37"/>
        <v>0</v>
      </c>
      <c r="BX11" s="445">
        <f t="shared" si="38"/>
        <v>0</v>
      </c>
      <c r="BY11" s="445">
        <f t="shared" si="39"/>
        <v>2859031863.0328774</v>
      </c>
      <c r="BZ11" s="454">
        <f t="shared" si="40"/>
        <v>89.750969828090589</v>
      </c>
      <c r="CA11" s="463">
        <f t="shared" si="41"/>
        <v>38.153386676547349</v>
      </c>
      <c r="CC11" s="448">
        <f t="shared" si="42"/>
        <v>29829543.072391026</v>
      </c>
      <c r="CD11" s="445">
        <f>SUM(Scenarios!BA12)</f>
        <v>812907.97107944195</v>
      </c>
      <c r="CE11" s="445">
        <f>Scenarios!AY12</f>
        <v>97548.95652953301</v>
      </c>
      <c r="CF11" s="449">
        <f>Scenarios!AV12</f>
        <v>30740000</v>
      </c>
      <c r="CG11" s="448">
        <f t="shared" si="69"/>
        <v>2684658876.5151925</v>
      </c>
      <c r="CH11" s="445">
        <f t="shared" si="44"/>
        <v>21135607.24806549</v>
      </c>
      <c r="CI11" s="445">
        <f t="shared" si="45"/>
        <v>0</v>
      </c>
      <c r="CJ11" s="445">
        <f t="shared" si="46"/>
        <v>2705794483.763258</v>
      </c>
      <c r="CK11" s="454">
        <f t="shared" si="47"/>
        <v>88.021941566794339</v>
      </c>
      <c r="CL11" s="463">
        <f t="shared" si="48"/>
        <v>36.108454942777691</v>
      </c>
      <c r="CN11" s="448">
        <f t="shared" si="49"/>
        <v>29914848.33623074</v>
      </c>
      <c r="CO11" s="445">
        <f>SUM(Scenarios!BF12)</f>
        <v>740542.18289720849</v>
      </c>
      <c r="CP11" s="445">
        <f>Scenarios!BD12</f>
        <v>84609.480872048487</v>
      </c>
      <c r="CQ11" s="449">
        <f>Scenarios!AV12</f>
        <v>30740000</v>
      </c>
      <c r="CR11" s="448">
        <f t="shared" si="70"/>
        <v>2692336350.2607665</v>
      </c>
      <c r="CS11" s="445">
        <f t="shared" si="51"/>
        <v>19254096.755327422</v>
      </c>
      <c r="CT11" s="445">
        <f t="shared" si="52"/>
        <v>0</v>
      </c>
      <c r="CU11" s="445">
        <f t="shared" si="53"/>
        <v>2711590447.0160937</v>
      </c>
      <c r="CV11" s="454">
        <f t="shared" si="54"/>
        <v>88.210489493041436</v>
      </c>
      <c r="CW11" s="463">
        <f t="shared" si="55"/>
        <v>36.185801274592933</v>
      </c>
      <c r="CY11" s="448">
        <f t="shared" si="56"/>
        <v>30654942.361283384</v>
      </c>
      <c r="CZ11" s="445">
        <v>0</v>
      </c>
      <c r="DA11" s="445">
        <f>Scenarios!BI12</f>
        <v>85057.638716614238</v>
      </c>
      <c r="DB11" s="449">
        <f>Scenarios!AV12</f>
        <v>30740000</v>
      </c>
      <c r="DC11" s="448">
        <f t="shared" si="71"/>
        <v>2758944812.5155044</v>
      </c>
      <c r="DD11" s="445">
        <f t="shared" si="58"/>
        <v>0</v>
      </c>
      <c r="DE11" s="445">
        <f t="shared" si="59"/>
        <v>0</v>
      </c>
      <c r="DF11" s="445">
        <f t="shared" si="60"/>
        <v>2758944812.5155044</v>
      </c>
      <c r="DG11" s="454">
        <f t="shared" si="61"/>
        <v>89.750969828090575</v>
      </c>
      <c r="DH11" s="463">
        <f t="shared" si="62"/>
        <v>36.817738764021598</v>
      </c>
    </row>
    <row r="12" spans="1:112">
      <c r="A12" s="433" t="s">
        <v>74</v>
      </c>
      <c r="B12" s="431">
        <v>0</v>
      </c>
      <c r="C12" s="431">
        <v>0</v>
      </c>
      <c r="M12" s="360">
        <v>2023</v>
      </c>
      <c r="N12" s="429"/>
      <c r="O12" s="448">
        <f t="shared" si="0"/>
        <v>32521997.860846385</v>
      </c>
      <c r="P12" s="445">
        <f>SUM(Scenarios!J13)</f>
        <v>1025073.1711192988</v>
      </c>
      <c r="Q12" s="445">
        <f>Scenarios!H13</f>
        <v>123008.78053431585</v>
      </c>
      <c r="R12" s="449">
        <f>Scenarios!E13</f>
        <v>33670079.8125</v>
      </c>
      <c r="S12" s="448">
        <f t="shared" si="63"/>
        <v>2926979807.4761748</v>
      </c>
      <c r="T12" s="445">
        <f t="shared" si="2"/>
        <v>26651902.449101768</v>
      </c>
      <c r="U12" s="445">
        <f t="shared" si="3"/>
        <v>0</v>
      </c>
      <c r="V12" s="445">
        <f t="shared" si="4"/>
        <v>2953631709.9252768</v>
      </c>
      <c r="W12" s="454">
        <f t="shared" si="5"/>
        <v>87.72274156679434</v>
      </c>
      <c r="X12" s="463">
        <f t="shared" si="6"/>
        <v>39.415808611991999</v>
      </c>
      <c r="Z12" s="448">
        <f t="shared" si="7"/>
        <v>32680487.38674273</v>
      </c>
      <c r="AA12" s="445">
        <f>SUM(Scenarios!O13)</f>
        <v>887631.46578754764</v>
      </c>
      <c r="AB12" s="445">
        <f>Scenarios!M13</f>
        <v>101960.95996972131</v>
      </c>
      <c r="AC12" s="449">
        <f>Scenarios!E13</f>
        <v>33670079.8125</v>
      </c>
      <c r="AD12" s="448">
        <f t="shared" si="64"/>
        <v>2941243864.8068457</v>
      </c>
      <c r="AE12" s="445">
        <f t="shared" si="9"/>
        <v>23078418.110476241</v>
      </c>
      <c r="AF12" s="445">
        <f t="shared" si="10"/>
        <v>0</v>
      </c>
      <c r="AG12" s="445">
        <f t="shared" si="11"/>
        <v>2964322282.9173217</v>
      </c>
      <c r="AH12" s="454">
        <f t="shared" si="12"/>
        <v>88.04025114953302</v>
      </c>
      <c r="AI12" s="463">
        <f t="shared" si="13"/>
        <v>39.558472837051262</v>
      </c>
      <c r="AK12" s="448">
        <f t="shared" si="14"/>
        <v>33539924.83467643</v>
      </c>
      <c r="AL12" s="445">
        <v>0</v>
      </c>
      <c r="AM12" s="445">
        <f>Scenarios!R13</f>
        <v>130154.97782356928</v>
      </c>
      <c r="AN12" s="449">
        <f>Scenarios!E13</f>
        <v>33670079.8125</v>
      </c>
      <c r="AO12" s="448">
        <f t="shared" si="65"/>
        <v>3018593235.1208787</v>
      </c>
      <c r="AP12" s="445">
        <f t="shared" si="16"/>
        <v>0</v>
      </c>
      <c r="AQ12" s="445">
        <f t="shared" si="17"/>
        <v>0</v>
      </c>
      <c r="AR12" s="445">
        <f t="shared" si="18"/>
        <v>3018593235.1208787</v>
      </c>
      <c r="AS12" s="454">
        <f t="shared" si="19"/>
        <v>89.652096221055814</v>
      </c>
      <c r="AT12" s="463">
        <f t="shared" si="20"/>
        <v>40.282711224003073</v>
      </c>
      <c r="AV12" s="448">
        <f t="shared" si="21"/>
        <v>30978040.378824908</v>
      </c>
      <c r="AW12" s="445">
        <f>SUM(Scenarios!AF13)</f>
        <v>976408.5903349024</v>
      </c>
      <c r="AX12" s="445">
        <f>Scenarios!AD13</f>
        <v>117169.03084018831</v>
      </c>
      <c r="AY12" s="449">
        <f>Scenarios!AA13</f>
        <v>32071618</v>
      </c>
      <c r="AZ12" s="448">
        <f t="shared" si="66"/>
        <v>2788023634.0942416</v>
      </c>
      <c r="BA12" s="445">
        <f t="shared" si="23"/>
        <v>25386623.348707464</v>
      </c>
      <c r="BB12" s="445">
        <f t="shared" si="24"/>
        <v>0</v>
      </c>
      <c r="BC12" s="445">
        <f t="shared" si="25"/>
        <v>2813410257.4429493</v>
      </c>
      <c r="BD12" s="454">
        <f t="shared" si="26"/>
        <v>87.722741566794326</v>
      </c>
      <c r="BE12" s="463">
        <f t="shared" si="27"/>
        <v>37.544572629602456</v>
      </c>
      <c r="BG12" s="448">
        <f t="shared" si="28"/>
        <v>31129005.733224265</v>
      </c>
      <c r="BH12" s="445">
        <f>SUM(Scenarios!AK13)</f>
        <v>845491.82698847214</v>
      </c>
      <c r="BI12" s="445">
        <f>Scenarios!AI13</f>
        <v>97120.43978726145</v>
      </c>
      <c r="BJ12" s="449">
        <f>Scenarios!AA13</f>
        <v>32071618</v>
      </c>
      <c r="BK12" s="448">
        <f t="shared" si="67"/>
        <v>2801610515.9901838</v>
      </c>
      <c r="BL12" s="445">
        <f t="shared" si="30"/>
        <v>21982787.501700275</v>
      </c>
      <c r="BM12" s="445">
        <f t="shared" si="31"/>
        <v>0</v>
      </c>
      <c r="BN12" s="445">
        <f t="shared" si="32"/>
        <v>2823593303.4918842</v>
      </c>
      <c r="BO12" s="454">
        <f t="shared" si="33"/>
        <v>88.040251149533034</v>
      </c>
      <c r="BP12" s="463">
        <f t="shared" si="34"/>
        <v>37.680463977465202</v>
      </c>
      <c r="BR12" s="448">
        <f t="shared" si="35"/>
        <v>31947642.032232728</v>
      </c>
      <c r="BS12" s="445">
        <v>0</v>
      </c>
      <c r="BT12" s="445">
        <f>Scenarios!AN13</f>
        <v>123975.96776727229</v>
      </c>
      <c r="BU12" s="449">
        <f>Scenarios!AA13</f>
        <v>32071618</v>
      </c>
      <c r="BV12" s="448">
        <f t="shared" si="68"/>
        <v>2875287782.9009457</v>
      </c>
      <c r="BW12" s="445">
        <f t="shared" si="37"/>
        <v>0</v>
      </c>
      <c r="BX12" s="445">
        <f t="shared" si="38"/>
        <v>0</v>
      </c>
      <c r="BY12" s="445">
        <f t="shared" si="39"/>
        <v>2875287782.9009457</v>
      </c>
      <c r="BZ12" s="454">
        <f t="shared" si="40"/>
        <v>89.652096221055814</v>
      </c>
      <c r="CA12" s="463">
        <f t="shared" si="41"/>
        <v>38.370319689616835</v>
      </c>
      <c r="CC12" s="448">
        <f t="shared" si="42"/>
        <v>29711145.912646323</v>
      </c>
      <c r="CD12" s="445">
        <f>SUM(Scenarios!BA13)</f>
        <v>936476.86370864103</v>
      </c>
      <c r="CE12" s="445">
        <f>Scenarios!AY13</f>
        <v>112377.22364503694</v>
      </c>
      <c r="CF12" s="449">
        <f>Scenarios!AV13</f>
        <v>30760000</v>
      </c>
      <c r="CG12" s="448">
        <f t="shared" si="69"/>
        <v>2674003132.1381693</v>
      </c>
      <c r="CH12" s="445">
        <f t="shared" si="44"/>
        <v>24348398.456424668</v>
      </c>
      <c r="CI12" s="445">
        <f t="shared" si="45"/>
        <v>0</v>
      </c>
      <c r="CJ12" s="445">
        <f t="shared" si="46"/>
        <v>2698351530.594594</v>
      </c>
      <c r="CK12" s="454">
        <f t="shared" si="47"/>
        <v>87.72274156679434</v>
      </c>
      <c r="CL12" s="463">
        <f t="shared" si="48"/>
        <v>36.009129757238057</v>
      </c>
      <c r="CN12" s="448">
        <f t="shared" si="49"/>
        <v>29855937.307371847</v>
      </c>
      <c r="CO12" s="445">
        <f>SUM(Scenarios!BF13)</f>
        <v>810914.14216038003</v>
      </c>
      <c r="CP12" s="445">
        <f>Scenarios!BD13</f>
        <v>93148.550467773792</v>
      </c>
      <c r="CQ12" s="449">
        <f>Scenarios!AV13</f>
        <v>30760000</v>
      </c>
      <c r="CR12" s="448">
        <f t="shared" si="70"/>
        <v>2687034357.6634665</v>
      </c>
      <c r="CS12" s="445">
        <f t="shared" si="51"/>
        <v>21083767.696169879</v>
      </c>
      <c r="CT12" s="445">
        <f t="shared" si="52"/>
        <v>0</v>
      </c>
      <c r="CU12" s="445">
        <f t="shared" si="53"/>
        <v>2708118125.3596363</v>
      </c>
      <c r="CV12" s="454">
        <f t="shared" si="54"/>
        <v>88.040251149533034</v>
      </c>
      <c r="CW12" s="463">
        <f t="shared" si="55"/>
        <v>36.139463620040303</v>
      </c>
      <c r="CY12" s="448">
        <f t="shared" si="56"/>
        <v>30641094.219551962</v>
      </c>
      <c r="CZ12" s="445">
        <v>0</v>
      </c>
      <c r="DA12" s="445">
        <f>Scenarios!BI13</f>
        <v>118905.7804480365</v>
      </c>
      <c r="DB12" s="449">
        <f>Scenarios!AV13</f>
        <v>30760000</v>
      </c>
      <c r="DC12" s="448">
        <f t="shared" si="71"/>
        <v>2757698479.7596765</v>
      </c>
      <c r="DD12" s="445">
        <f t="shared" si="58"/>
        <v>0</v>
      </c>
      <c r="DE12" s="445">
        <f t="shared" si="59"/>
        <v>0</v>
      </c>
      <c r="DF12" s="445">
        <f t="shared" si="60"/>
        <v>2757698479.7596765</v>
      </c>
      <c r="DG12" s="454">
        <f t="shared" si="61"/>
        <v>89.6520962210558</v>
      </c>
      <c r="DH12" s="463">
        <f t="shared" si="62"/>
        <v>36.801106624948375</v>
      </c>
    </row>
    <row r="13" spans="1:112">
      <c r="M13" s="360">
        <v>2024</v>
      </c>
      <c r="N13" s="429"/>
      <c r="O13" s="448">
        <f t="shared" si="0"/>
        <v>32745701.614195757</v>
      </c>
      <c r="P13" s="445">
        <f>SUM(Scenarios!J14)</f>
        <v>1184985.6123252155</v>
      </c>
      <c r="Q13" s="445">
        <f>Scenarios!H14</f>
        <v>142198.27347902587</v>
      </c>
      <c r="R13" s="449">
        <f>Scenarios!E14</f>
        <v>34072885.5</v>
      </c>
      <c r="S13" s="448">
        <f t="shared" si="63"/>
        <v>2947113145.2776179</v>
      </c>
      <c r="T13" s="445">
        <f t="shared" si="2"/>
        <v>30809625.920455601</v>
      </c>
      <c r="U13" s="445">
        <f t="shared" si="3"/>
        <v>0</v>
      </c>
      <c r="V13" s="445">
        <f t="shared" si="4"/>
        <v>2977922771.1980734</v>
      </c>
      <c r="W13" s="454">
        <f t="shared" si="5"/>
        <v>87.39860823346099</v>
      </c>
      <c r="X13" s="463">
        <f t="shared" si="6"/>
        <v>39.739969481098782</v>
      </c>
      <c r="Z13" s="448">
        <f t="shared" si="7"/>
        <v>32984639.117027704</v>
      </c>
      <c r="AA13" s="445">
        <f>SUM(Scenarios!O14)</f>
        <v>975667.87271988648</v>
      </c>
      <c r="AB13" s="445">
        <f>Scenarios!M14</f>
        <v>112578.51025241199</v>
      </c>
      <c r="AC13" s="449">
        <f>Scenarios!E14</f>
        <v>34072885.5</v>
      </c>
      <c r="AD13" s="448">
        <f t="shared" si="64"/>
        <v>2968617520.5324931</v>
      </c>
      <c r="AE13" s="445">
        <f t="shared" si="9"/>
        <v>25367364.690717049</v>
      </c>
      <c r="AF13" s="445">
        <f t="shared" si="10"/>
        <v>0</v>
      </c>
      <c r="AG13" s="445">
        <f t="shared" si="11"/>
        <v>2993984885.2232103</v>
      </c>
      <c r="AH13" s="454">
        <f t="shared" si="12"/>
        <v>87.870012806024619</v>
      </c>
      <c r="AI13" s="463">
        <f t="shared" si="13"/>
        <v>39.954316181871029</v>
      </c>
      <c r="AK13" s="448">
        <f t="shared" si="14"/>
        <v>33888959.632403493</v>
      </c>
      <c r="AL13" s="445">
        <v>0</v>
      </c>
      <c r="AM13" s="445">
        <f>Scenarios!R14</f>
        <v>183925.86759650573</v>
      </c>
      <c r="AN13" s="449">
        <f>Scenarios!E14</f>
        <v>34072885.5</v>
      </c>
      <c r="AO13" s="448">
        <f t="shared" si="65"/>
        <v>3050006366.9163141</v>
      </c>
      <c r="AP13" s="445">
        <f t="shared" si="16"/>
        <v>0</v>
      </c>
      <c r="AQ13" s="445">
        <f t="shared" si="17"/>
        <v>0</v>
      </c>
      <c r="AR13" s="445">
        <f t="shared" si="18"/>
        <v>3050006366.9163141</v>
      </c>
      <c r="AS13" s="454">
        <f t="shared" si="19"/>
        <v>89.514178859794953</v>
      </c>
      <c r="AT13" s="463">
        <f t="shared" si="20"/>
        <v>40.701915143906639</v>
      </c>
      <c r="AV13" s="448">
        <f t="shared" si="21"/>
        <v>31030408.95698924</v>
      </c>
      <c r="AW13" s="445">
        <f>SUM(Scenarios!AF14)</f>
        <v>1122913.4312596051</v>
      </c>
      <c r="AX13" s="445">
        <f>Scenarios!AD14</f>
        <v>134749.61175115261</v>
      </c>
      <c r="AY13" s="449">
        <f>Scenarios!AA14</f>
        <v>32288072</v>
      </c>
      <c r="AZ13" s="448">
        <f t="shared" si="66"/>
        <v>2792736806.1290317</v>
      </c>
      <c r="BA13" s="445">
        <f t="shared" si="23"/>
        <v>29195749.212749735</v>
      </c>
      <c r="BB13" s="445">
        <f t="shared" si="24"/>
        <v>0</v>
      </c>
      <c r="BC13" s="445">
        <f t="shared" si="25"/>
        <v>2821932555.3417816</v>
      </c>
      <c r="BD13" s="454">
        <f t="shared" si="26"/>
        <v>87.398608233461005</v>
      </c>
      <c r="BE13" s="463">
        <f t="shared" si="27"/>
        <v>37.658301521998197</v>
      </c>
      <c r="BG13" s="448">
        <f t="shared" si="28"/>
        <v>31256830.382170212</v>
      </c>
      <c r="BH13" s="445">
        <f>SUM(Scenarios!AK14)</f>
        <v>924560.22025098314</v>
      </c>
      <c r="BI13" s="445">
        <f>Scenarios!AI14</f>
        <v>106681.39757880548</v>
      </c>
      <c r="BJ13" s="449">
        <f>Scenarios!AA14</f>
        <v>32288072</v>
      </c>
      <c r="BK13" s="448">
        <f t="shared" si="67"/>
        <v>2813114734.395319</v>
      </c>
      <c r="BL13" s="445">
        <f t="shared" si="30"/>
        <v>24038565.72652556</v>
      </c>
      <c r="BM13" s="445">
        <f t="shared" si="31"/>
        <v>0</v>
      </c>
      <c r="BN13" s="445">
        <f t="shared" si="32"/>
        <v>2837153300.1218448</v>
      </c>
      <c r="BO13" s="454">
        <f t="shared" si="33"/>
        <v>87.870012806024619</v>
      </c>
      <c r="BP13" s="463">
        <f t="shared" si="34"/>
        <v>37.861420266006448</v>
      </c>
      <c r="BR13" s="448">
        <f t="shared" si="35"/>
        <v>32113780.578288198</v>
      </c>
      <c r="BS13" s="445">
        <v>0</v>
      </c>
      <c r="BT13" s="445">
        <f>Scenarios!AN14</f>
        <v>174291.42171180202</v>
      </c>
      <c r="BU13" s="449">
        <f>Scenarios!AA14</f>
        <v>32288072</v>
      </c>
      <c r="BV13" s="448">
        <f t="shared" si="68"/>
        <v>2890240252.0459375</v>
      </c>
      <c r="BW13" s="445">
        <f t="shared" si="37"/>
        <v>0</v>
      </c>
      <c r="BX13" s="445">
        <f t="shared" si="38"/>
        <v>0</v>
      </c>
      <c r="BY13" s="445">
        <f t="shared" si="39"/>
        <v>2890240252.0459375</v>
      </c>
      <c r="BZ13" s="454">
        <f t="shared" si="40"/>
        <v>89.514178859794953</v>
      </c>
      <c r="CA13" s="463">
        <f t="shared" si="41"/>
        <v>38.569858332202244</v>
      </c>
      <c r="CC13" s="448">
        <f t="shared" si="42"/>
        <v>29581078.352901619</v>
      </c>
      <c r="CD13" s="445">
        <f>SUM(Scenarios!BA14)</f>
        <v>1070465.7563378403</v>
      </c>
      <c r="CE13" s="445">
        <f>Scenarios!AY14</f>
        <v>128455.89076054085</v>
      </c>
      <c r="CF13" s="449">
        <f>Scenarios!AV14</f>
        <v>30780000</v>
      </c>
      <c r="CG13" s="448">
        <f t="shared" si="69"/>
        <v>2662297051.7611456</v>
      </c>
      <c r="CH13" s="445">
        <f t="shared" si="44"/>
        <v>27832109.66478385</v>
      </c>
      <c r="CI13" s="445">
        <f t="shared" si="45"/>
        <v>0</v>
      </c>
      <c r="CJ13" s="445">
        <f t="shared" si="46"/>
        <v>2690129161.4259295</v>
      </c>
      <c r="CK13" s="454">
        <f t="shared" si="47"/>
        <v>87.398608233461005</v>
      </c>
      <c r="CL13" s="463">
        <f t="shared" si="48"/>
        <v>35.899403372462267</v>
      </c>
      <c r="CN13" s="448">
        <f t="shared" si="49"/>
        <v>29796924.361516509</v>
      </c>
      <c r="CO13" s="445">
        <f>SUM(Scenarios!BF14)</f>
        <v>881376.98588275129</v>
      </c>
      <c r="CP13" s="445">
        <f>Scenarios!BD14</f>
        <v>101698.65260073853</v>
      </c>
      <c r="CQ13" s="449">
        <f>Scenarios!AV14</f>
        <v>30780000</v>
      </c>
      <c r="CR13" s="448">
        <f t="shared" si="70"/>
        <v>2681723192.5364857</v>
      </c>
      <c r="CS13" s="445">
        <f t="shared" si="51"/>
        <v>22915801.632951535</v>
      </c>
      <c r="CT13" s="445">
        <f t="shared" si="52"/>
        <v>0</v>
      </c>
      <c r="CU13" s="445">
        <f t="shared" si="53"/>
        <v>2704638994.1694374</v>
      </c>
      <c r="CV13" s="454">
        <f t="shared" si="54"/>
        <v>87.870012806024604</v>
      </c>
      <c r="CW13" s="463">
        <f t="shared" si="55"/>
        <v>36.093035093197209</v>
      </c>
      <c r="CY13" s="448">
        <f t="shared" si="56"/>
        <v>30613849.17004988</v>
      </c>
      <c r="CZ13" s="445">
        <v>0</v>
      </c>
      <c r="DA13" s="445">
        <f>Scenarios!BI14</f>
        <v>166150.82995012109</v>
      </c>
      <c r="DB13" s="449">
        <f>Scenarios!AV14</f>
        <v>30780000</v>
      </c>
      <c r="DC13" s="448">
        <f t="shared" si="71"/>
        <v>2755246425.3044891</v>
      </c>
      <c r="DD13" s="445">
        <f t="shared" si="58"/>
        <v>0</v>
      </c>
      <c r="DE13" s="445">
        <f t="shared" si="59"/>
        <v>0</v>
      </c>
      <c r="DF13" s="445">
        <f t="shared" si="60"/>
        <v>2755246425.3044891</v>
      </c>
      <c r="DG13" s="454">
        <f t="shared" si="61"/>
        <v>89.514178859794967</v>
      </c>
      <c r="DH13" s="463">
        <f t="shared" si="62"/>
        <v>36.768384295760526</v>
      </c>
    </row>
    <row r="14" spans="1:112">
      <c r="A14" s="280" t="s">
        <v>247</v>
      </c>
      <c r="B14" s="462">
        <v>13344.862353536004</v>
      </c>
      <c r="M14" s="360">
        <v>2025</v>
      </c>
      <c r="N14" s="429"/>
      <c r="O14" s="448">
        <f t="shared" si="0"/>
        <v>32952624.542295132</v>
      </c>
      <c r="P14" s="445">
        <f>SUM(Scenarios!J15)</f>
        <v>1359880.9332186326</v>
      </c>
      <c r="Q14" s="445">
        <f>Scenarios!H15</f>
        <v>163185.71198623592</v>
      </c>
      <c r="R14" s="449">
        <f>Scenarios!E15</f>
        <v>34475691.1875</v>
      </c>
      <c r="S14" s="448">
        <f t="shared" si="63"/>
        <v>2965736208.8065619</v>
      </c>
      <c r="T14" s="445">
        <f t="shared" si="2"/>
        <v>35356904.263684444</v>
      </c>
      <c r="U14" s="445">
        <f t="shared" si="3"/>
        <v>0</v>
      </c>
      <c r="V14" s="445">
        <f t="shared" si="4"/>
        <v>3001093113.0702462</v>
      </c>
      <c r="W14" s="454">
        <f t="shared" si="5"/>
        <v>87.049541566794332</v>
      </c>
      <c r="X14" s="463">
        <f t="shared" si="6"/>
        <v>40.049174504067295</v>
      </c>
      <c r="Z14" s="448">
        <f t="shared" si="7"/>
        <v>33286738.210021742</v>
      </c>
      <c r="AA14" s="445">
        <f>SUM(Scenarios!O15)</f>
        <v>1065534.7185057777</v>
      </c>
      <c r="AB14" s="445">
        <f>Scenarios!M15</f>
        <v>123418.25897248258</v>
      </c>
      <c r="AC14" s="449">
        <f>Scenarios!E15</f>
        <v>34475691.1875</v>
      </c>
      <c r="AD14" s="448">
        <f t="shared" si="64"/>
        <v>2995806438.9019566</v>
      </c>
      <c r="AE14" s="445">
        <f t="shared" si="9"/>
        <v>27703902.68115022</v>
      </c>
      <c r="AF14" s="445">
        <f t="shared" si="10"/>
        <v>0</v>
      </c>
      <c r="AG14" s="445">
        <f t="shared" si="11"/>
        <v>3023510341.583107</v>
      </c>
      <c r="AH14" s="454">
        <f t="shared" si="12"/>
        <v>87.699774462516189</v>
      </c>
      <c r="AI14" s="463">
        <f t="shared" si="13"/>
        <v>40.348329332919185</v>
      </c>
      <c r="AK14" s="448">
        <f t="shared" si="14"/>
        <v>34215974.788095772</v>
      </c>
      <c r="AL14" s="445">
        <v>0</v>
      </c>
      <c r="AM14" s="445">
        <f>Scenarios!R15</f>
        <v>259716.39940422747</v>
      </c>
      <c r="AN14" s="449">
        <f>Scenarios!E15</f>
        <v>34475691.1875</v>
      </c>
      <c r="AO14" s="448">
        <f t="shared" si="65"/>
        <v>3079437730.9286194</v>
      </c>
      <c r="AP14" s="445">
        <f t="shared" si="16"/>
        <v>0</v>
      </c>
      <c r="AQ14" s="445">
        <f t="shared" si="17"/>
        <v>0</v>
      </c>
      <c r="AR14" s="445">
        <f t="shared" si="18"/>
        <v>3079437730.9286194</v>
      </c>
      <c r="AS14" s="454">
        <f t="shared" si="19"/>
        <v>89.322001237937314</v>
      </c>
      <c r="AT14" s="463">
        <f t="shared" si="20"/>
        <v>41.094672645527666</v>
      </c>
      <c r="AV14" s="448">
        <f t="shared" si="21"/>
        <v>31068543.19789014</v>
      </c>
      <c r="AW14" s="445">
        <f>SUM(Scenarios!AF15)</f>
        <v>1282129.1203516256</v>
      </c>
      <c r="AX14" s="445">
        <f>Scenarios!AD15</f>
        <v>153855.49444219505</v>
      </c>
      <c r="AY14" s="449">
        <f>Scenarios!AA15</f>
        <v>32504527.812683959</v>
      </c>
      <c r="AZ14" s="448">
        <f t="shared" si="66"/>
        <v>2796168887.8101125</v>
      </c>
      <c r="BA14" s="445">
        <f t="shared" si="23"/>
        <v>33335357.129142266</v>
      </c>
      <c r="BB14" s="445">
        <f t="shared" si="24"/>
        <v>0</v>
      </c>
      <c r="BC14" s="445">
        <f t="shared" si="25"/>
        <v>2829504244.9392548</v>
      </c>
      <c r="BD14" s="454">
        <f t="shared" si="26"/>
        <v>87.049541566794332</v>
      </c>
      <c r="BE14" s="463">
        <f t="shared" si="27"/>
        <v>37.759344677460177</v>
      </c>
      <c r="BG14" s="448">
        <f t="shared" si="28"/>
        <v>31383553.764209256</v>
      </c>
      <c r="BH14" s="445">
        <f>SUM(Scenarios!AK15)</f>
        <v>1004612.2847744115</v>
      </c>
      <c r="BI14" s="445">
        <f>Scenarios!AI15</f>
        <v>116361.76370029135</v>
      </c>
      <c r="BJ14" s="449">
        <f>Scenarios!AA15</f>
        <v>32504527.812683959</v>
      </c>
      <c r="BK14" s="448">
        <f t="shared" si="67"/>
        <v>2824519838.7788329</v>
      </c>
      <c r="BL14" s="445">
        <f t="shared" si="30"/>
        <v>26119919.404134698</v>
      </c>
      <c r="BM14" s="445">
        <f t="shared" si="31"/>
        <v>0</v>
      </c>
      <c r="BN14" s="445">
        <f t="shared" si="32"/>
        <v>2850639758.1829677</v>
      </c>
      <c r="BO14" s="454">
        <f t="shared" si="33"/>
        <v>87.699774462516189</v>
      </c>
      <c r="BP14" s="463">
        <f t="shared" si="34"/>
        <v>38.041395192468862</v>
      </c>
      <c r="BR14" s="448">
        <f t="shared" si="35"/>
        <v>32259660.816923603</v>
      </c>
      <c r="BS14" s="445">
        <v>0</v>
      </c>
      <c r="BT14" s="445">
        <f>Scenarios!AN15</f>
        <v>244866.99576035433</v>
      </c>
      <c r="BU14" s="449">
        <f>Scenarios!AA15</f>
        <v>32504527.812683959</v>
      </c>
      <c r="BV14" s="448">
        <f t="shared" si="68"/>
        <v>2903369473.5231242</v>
      </c>
      <c r="BW14" s="445">
        <f t="shared" si="37"/>
        <v>0</v>
      </c>
      <c r="BX14" s="445">
        <f t="shared" si="38"/>
        <v>0</v>
      </c>
      <c r="BY14" s="445">
        <f t="shared" si="39"/>
        <v>2903369473.5231242</v>
      </c>
      <c r="BZ14" s="454">
        <f t="shared" si="40"/>
        <v>89.322001237937314</v>
      </c>
      <c r="CA14" s="463">
        <f t="shared" si="41"/>
        <v>38.745065985624393</v>
      </c>
      <c r="CC14" s="448">
        <f t="shared" si="42"/>
        <v>29439317.993156917</v>
      </c>
      <c r="CD14" s="445">
        <f>SUM(Scenarios!BA15)</f>
        <v>1214894.64896704</v>
      </c>
      <c r="CE14" s="445">
        <f>Scenarios!AY15</f>
        <v>145787.35787604479</v>
      </c>
      <c r="CF14" s="449">
        <f>Scenarios!AV15</f>
        <v>30800000</v>
      </c>
      <c r="CG14" s="448">
        <f t="shared" si="69"/>
        <v>2649538619.3841224</v>
      </c>
      <c r="CH14" s="445">
        <f t="shared" si="44"/>
        <v>31587260.87314304</v>
      </c>
      <c r="CI14" s="445">
        <f t="shared" si="45"/>
        <v>0</v>
      </c>
      <c r="CJ14" s="445">
        <f t="shared" si="46"/>
        <v>2681125880.2572656</v>
      </c>
      <c r="CK14" s="454">
        <f t="shared" si="47"/>
        <v>87.049541566794332</v>
      </c>
      <c r="CL14" s="463">
        <f t="shared" si="48"/>
        <v>35.779255824536264</v>
      </c>
      <c r="CN14" s="448">
        <f t="shared" si="49"/>
        <v>29737809.498664737</v>
      </c>
      <c r="CO14" s="445">
        <f>SUM(Scenarios!BF15)</f>
        <v>951930.71406432253</v>
      </c>
      <c r="CP14" s="445">
        <f>Scenarios!BD15</f>
        <v>110259.78727094269</v>
      </c>
      <c r="CQ14" s="449">
        <f>Scenarios!AV15</f>
        <v>30800000</v>
      </c>
      <c r="CR14" s="448">
        <f t="shared" si="70"/>
        <v>2676402854.8798265</v>
      </c>
      <c r="CS14" s="445">
        <f t="shared" si="51"/>
        <v>24750198.565672386</v>
      </c>
      <c r="CT14" s="445">
        <f t="shared" si="52"/>
        <v>0</v>
      </c>
      <c r="CU14" s="445">
        <f t="shared" si="53"/>
        <v>2701153053.4454989</v>
      </c>
      <c r="CV14" s="454">
        <f t="shared" si="54"/>
        <v>87.699774462516203</v>
      </c>
      <c r="CW14" s="463">
        <f t="shared" si="55"/>
        <v>36.046515694063665</v>
      </c>
      <c r="CY14" s="448">
        <f t="shared" si="56"/>
        <v>30567973.756982993</v>
      </c>
      <c r="CZ14" s="445">
        <v>0</v>
      </c>
      <c r="DA14" s="445">
        <f>Scenarios!BI15</f>
        <v>232026.2430170083</v>
      </c>
      <c r="DB14" s="449">
        <f>Scenarios!AV15</f>
        <v>30800000</v>
      </c>
      <c r="DC14" s="448">
        <f t="shared" si="71"/>
        <v>2751117638.1284695</v>
      </c>
      <c r="DD14" s="445">
        <f t="shared" si="58"/>
        <v>0</v>
      </c>
      <c r="DE14" s="445">
        <f t="shared" si="59"/>
        <v>0</v>
      </c>
      <c r="DF14" s="445">
        <f t="shared" si="60"/>
        <v>2751117638.1284695</v>
      </c>
      <c r="DG14" s="454">
        <f t="shared" si="61"/>
        <v>89.322001237937314</v>
      </c>
      <c r="DH14" s="463">
        <f t="shared" si="62"/>
        <v>36.713286199209499</v>
      </c>
    </row>
    <row r="15" spans="1:112">
      <c r="A15" s="280" t="s">
        <v>248</v>
      </c>
      <c r="B15" s="462">
        <f>1*10^12</f>
        <v>1000000000000</v>
      </c>
      <c r="M15" s="360">
        <v>2026</v>
      </c>
      <c r="N15" s="429"/>
      <c r="O15" s="448">
        <f t="shared" si="0"/>
        <v>33142315.502774503</v>
      </c>
      <c r="P15" s="445">
        <f>SUM(Scenarios!J16)</f>
        <v>1550161.9394870496</v>
      </c>
      <c r="Q15" s="445">
        <f>Scenarios!H16</f>
        <v>186019.43273844593</v>
      </c>
      <c r="R15" s="449">
        <f>Scenarios!E16</f>
        <v>34878496.875</v>
      </c>
      <c r="S15" s="448">
        <f t="shared" si="63"/>
        <v>2982808395.2497053</v>
      </c>
      <c r="T15" s="445">
        <f t="shared" si="2"/>
        <v>40304210.426663287</v>
      </c>
      <c r="U15" s="445">
        <f t="shared" si="3"/>
        <v>0</v>
      </c>
      <c r="V15" s="445">
        <f t="shared" si="4"/>
        <v>3023112605.6763687</v>
      </c>
      <c r="W15" s="454">
        <f t="shared" si="5"/>
        <v>86.675541566794337</v>
      </c>
      <c r="X15" s="463">
        <f t="shared" si="6"/>
        <v>40.343021601990706</v>
      </c>
      <c r="Z15" s="448">
        <f t="shared" si="7"/>
        <v>33586784.665724851</v>
      </c>
      <c r="AA15" s="445">
        <f>SUM(Scenarios!O16)</f>
        <v>1157232.0031452209</v>
      </c>
      <c r="AB15" s="445">
        <f>Scenarios!M16</f>
        <v>134480.20612993313</v>
      </c>
      <c r="AC15" s="449">
        <f>Scenarios!E16</f>
        <v>34878496.875</v>
      </c>
      <c r="AD15" s="448">
        <f t="shared" si="64"/>
        <v>3022810619.9152365</v>
      </c>
      <c r="AE15" s="445">
        <f t="shared" si="9"/>
        <v>30088032.081775744</v>
      </c>
      <c r="AF15" s="445">
        <f t="shared" si="10"/>
        <v>0</v>
      </c>
      <c r="AG15" s="445">
        <f t="shared" si="11"/>
        <v>3052898651.9970121</v>
      </c>
      <c r="AH15" s="454">
        <f t="shared" si="12"/>
        <v>87.529536119007773</v>
      </c>
      <c r="AI15" s="463">
        <f t="shared" si="13"/>
        <v>40.740512290195745</v>
      </c>
      <c r="AK15" s="448">
        <f t="shared" si="14"/>
        <v>34512120.067429647</v>
      </c>
      <c r="AL15" s="445">
        <v>0</v>
      </c>
      <c r="AM15" s="445">
        <f>Scenarios!R16</f>
        <v>366376.80757035385</v>
      </c>
      <c r="AN15" s="449">
        <f>Scenarios!E16</f>
        <v>34878496.875</v>
      </c>
      <c r="AO15" s="448">
        <f t="shared" si="65"/>
        <v>3106090806.0686684</v>
      </c>
      <c r="AP15" s="445">
        <f t="shared" si="16"/>
        <v>0</v>
      </c>
      <c r="AQ15" s="445">
        <f t="shared" si="17"/>
        <v>0</v>
      </c>
      <c r="AR15" s="445">
        <f t="shared" si="18"/>
        <v>3106090806.0686684</v>
      </c>
      <c r="AS15" s="454">
        <f t="shared" si="19"/>
        <v>89.054606257846899</v>
      </c>
      <c r="AT15" s="463">
        <f t="shared" si="20"/>
        <v>41.450354264570073</v>
      </c>
      <c r="AV15" s="448">
        <f t="shared" si="21"/>
        <v>31111061.183079343</v>
      </c>
      <c r="AW15" s="445">
        <f>SUM(Scenarios!AF16)</f>
        <v>1455154.3008220172</v>
      </c>
      <c r="AX15" s="445">
        <f>Scenarios!AD16</f>
        <v>174618.51609864205</v>
      </c>
      <c r="AY15" s="449">
        <f>Scenarios!AA16</f>
        <v>32740834</v>
      </c>
      <c r="AZ15" s="448">
        <f t="shared" si="66"/>
        <v>2799995506.4771409</v>
      </c>
      <c r="BA15" s="445">
        <f t="shared" si="23"/>
        <v>37834011.821372449</v>
      </c>
      <c r="BB15" s="445">
        <f t="shared" si="24"/>
        <v>0</v>
      </c>
      <c r="BC15" s="445">
        <f t="shared" si="25"/>
        <v>2837829518.2985134</v>
      </c>
      <c r="BD15" s="454">
        <f t="shared" si="26"/>
        <v>86.675541566794337</v>
      </c>
      <c r="BE15" s="463">
        <f t="shared" si="27"/>
        <v>37.870444304495045</v>
      </c>
      <c r="BG15" s="448">
        <f t="shared" si="28"/>
        <v>31528289.343295924</v>
      </c>
      <c r="BH15" s="445">
        <f>SUM(Scenarios!AK16)</f>
        <v>1086306.5874155497</v>
      </c>
      <c r="BI15" s="445">
        <f>Scenarios!AI16</f>
        <v>126238.069288527</v>
      </c>
      <c r="BJ15" s="449">
        <f>Scenarios!AA16</f>
        <v>32740834</v>
      </c>
      <c r="BK15" s="448">
        <f t="shared" si="67"/>
        <v>2837546040.8966331</v>
      </c>
      <c r="BL15" s="445">
        <f t="shared" si="30"/>
        <v>28243971.27280429</v>
      </c>
      <c r="BM15" s="445">
        <f t="shared" si="31"/>
        <v>0</v>
      </c>
      <c r="BN15" s="445">
        <f t="shared" si="32"/>
        <v>2865790012.1694374</v>
      </c>
      <c r="BO15" s="454">
        <f t="shared" si="33"/>
        <v>87.529536119007759</v>
      </c>
      <c r="BP15" s="463">
        <f t="shared" si="34"/>
        <v>38.243573246539412</v>
      </c>
      <c r="BR15" s="448">
        <f t="shared" si="35"/>
        <v>32396912.004705846</v>
      </c>
      <c r="BS15" s="445">
        <v>0</v>
      </c>
      <c r="BT15" s="445">
        <f>Scenarios!AN16</f>
        <v>343921.99529415352</v>
      </c>
      <c r="BU15" s="449">
        <f>Scenarios!AA16</f>
        <v>32740834</v>
      </c>
      <c r="BV15" s="448">
        <f t="shared" si="68"/>
        <v>2915722080.4235263</v>
      </c>
      <c r="BW15" s="445">
        <f t="shared" si="37"/>
        <v>0</v>
      </c>
      <c r="BX15" s="445">
        <f t="shared" si="38"/>
        <v>0</v>
      </c>
      <c r="BY15" s="445">
        <f t="shared" si="39"/>
        <v>2915722080.4235263</v>
      </c>
      <c r="BZ15" s="454">
        <f t="shared" si="40"/>
        <v>89.054606257846885</v>
      </c>
      <c r="CA15" s="463">
        <f t="shared" si="41"/>
        <v>38.909909824417596</v>
      </c>
      <c r="CC15" s="448">
        <f t="shared" si="42"/>
        <v>29304846.873667508</v>
      </c>
      <c r="CD15" s="445">
        <f>SUM(Scenarios!BA16)</f>
        <v>1370672.4342254386</v>
      </c>
      <c r="CE15" s="445">
        <f>Scenarios!AY16</f>
        <v>164480.69210705263</v>
      </c>
      <c r="CF15" s="449">
        <f>Scenarios!AV16</f>
        <v>30840000</v>
      </c>
      <c r="CG15" s="448">
        <f t="shared" si="69"/>
        <v>2637436218.6300759</v>
      </c>
      <c r="CH15" s="445">
        <f t="shared" si="44"/>
        <v>35637483.289861403</v>
      </c>
      <c r="CI15" s="445">
        <f t="shared" si="45"/>
        <v>0</v>
      </c>
      <c r="CJ15" s="445">
        <f t="shared" si="46"/>
        <v>2673073701.9199371</v>
      </c>
      <c r="CK15" s="454">
        <f t="shared" si="47"/>
        <v>86.675541566794337</v>
      </c>
      <c r="CL15" s="463">
        <f t="shared" si="48"/>
        <v>35.671800612978494</v>
      </c>
      <c r="CN15" s="448">
        <f t="shared" si="49"/>
        <v>29697852.026226524</v>
      </c>
      <c r="CO15" s="445">
        <f>SUM(Scenarios!BF16)</f>
        <v>1023238.9057620079</v>
      </c>
      <c r="CP15" s="445">
        <f>Scenarios!BD16</f>
        <v>118909.06801146767</v>
      </c>
      <c r="CQ15" s="449">
        <f>Scenarios!AV16</f>
        <v>30840000</v>
      </c>
      <c r="CR15" s="448">
        <f t="shared" si="70"/>
        <v>2672806682.3603873</v>
      </c>
      <c r="CS15" s="445">
        <f t="shared" si="51"/>
        <v>26604211.549812205</v>
      </c>
      <c r="CT15" s="445">
        <f t="shared" si="52"/>
        <v>0</v>
      </c>
      <c r="CU15" s="445">
        <f t="shared" si="53"/>
        <v>2699410893.9101996</v>
      </c>
      <c r="CV15" s="454">
        <f t="shared" si="54"/>
        <v>87.529536119007773</v>
      </c>
      <c r="CW15" s="463">
        <f t="shared" si="55"/>
        <v>36.023266814867192</v>
      </c>
      <c r="CY15" s="448">
        <f t="shared" si="56"/>
        <v>30516045.077688865</v>
      </c>
      <c r="CZ15" s="445">
        <v>0</v>
      </c>
      <c r="DA15" s="445">
        <f>Scenarios!BI16</f>
        <v>323954.92231113277</v>
      </c>
      <c r="DB15" s="449">
        <f>Scenarios!AV16</f>
        <v>30840000</v>
      </c>
      <c r="DC15" s="448">
        <f t="shared" si="71"/>
        <v>2746444056.9919977</v>
      </c>
      <c r="DD15" s="445">
        <f t="shared" si="58"/>
        <v>0</v>
      </c>
      <c r="DE15" s="445">
        <f t="shared" si="59"/>
        <v>0</v>
      </c>
      <c r="DF15" s="445">
        <f t="shared" si="60"/>
        <v>2746444056.9919977</v>
      </c>
      <c r="DG15" s="454">
        <f t="shared" si="61"/>
        <v>89.054606257846885</v>
      </c>
      <c r="DH15" s="463">
        <f t="shared" si="62"/>
        <v>36.650917902245205</v>
      </c>
    </row>
    <row r="16" spans="1:112">
      <c r="M16" s="360">
        <v>2027</v>
      </c>
      <c r="N16" s="429"/>
      <c r="O16" s="448">
        <f t="shared" si="0"/>
        <v>33314323.353263877</v>
      </c>
      <c r="P16" s="445">
        <f>SUM(Scenarios!J17)</f>
        <v>1756231.4368179662</v>
      </c>
      <c r="Q16" s="445">
        <f>Scenarios!H17</f>
        <v>210747.77241815592</v>
      </c>
      <c r="R16" s="449">
        <f>Scenarios!E17</f>
        <v>35281302.5625</v>
      </c>
      <c r="S16" s="448">
        <f t="shared" si="63"/>
        <v>2998289101.7937489</v>
      </c>
      <c r="T16" s="445">
        <f t="shared" si="2"/>
        <v>45662017.357267119</v>
      </c>
      <c r="U16" s="445">
        <f t="shared" si="3"/>
        <v>0</v>
      </c>
      <c r="V16" s="445">
        <f t="shared" si="4"/>
        <v>3043951119.1510158</v>
      </c>
      <c r="W16" s="454">
        <f t="shared" si="5"/>
        <v>86.276608233460991</v>
      </c>
      <c r="X16" s="463">
        <f t="shared" si="6"/>
        <v>40.621108695962178</v>
      </c>
      <c r="Z16" s="448">
        <f t="shared" si="7"/>
        <v>33884778.484137014</v>
      </c>
      <c r="AA16" s="445">
        <f>SUM(Scenarios!O17)</f>
        <v>1250759.7266382168</v>
      </c>
      <c r="AB16" s="445">
        <f>Scenarios!M17</f>
        <v>145764.35172476358</v>
      </c>
      <c r="AC16" s="449">
        <f>Scenarios!E17</f>
        <v>35281302.5625</v>
      </c>
      <c r="AD16" s="448">
        <f t="shared" si="64"/>
        <v>3049630063.5723314</v>
      </c>
      <c r="AE16" s="445">
        <f t="shared" si="9"/>
        <v>32519752.892593637</v>
      </c>
      <c r="AF16" s="445">
        <f t="shared" si="10"/>
        <v>0</v>
      </c>
      <c r="AG16" s="445">
        <f t="shared" si="11"/>
        <v>3082149816.4649253</v>
      </c>
      <c r="AH16" s="454">
        <f t="shared" si="12"/>
        <v>87.359297775499343</v>
      </c>
      <c r="AI16" s="463">
        <f t="shared" si="13"/>
        <v>41.130865053700688</v>
      </c>
      <c r="AK16" s="448">
        <f t="shared" si="14"/>
        <v>34765140.356490351</v>
      </c>
      <c r="AL16" s="445">
        <v>0</v>
      </c>
      <c r="AM16" s="445">
        <f>Scenarios!R17</f>
        <v>516162.20600965025</v>
      </c>
      <c r="AN16" s="449">
        <f>Scenarios!E17</f>
        <v>35281302.5625</v>
      </c>
      <c r="AO16" s="448">
        <f t="shared" si="65"/>
        <v>3128862632.0841317</v>
      </c>
      <c r="AP16" s="445">
        <f t="shared" si="16"/>
        <v>0</v>
      </c>
      <c r="AQ16" s="445">
        <f t="shared" si="17"/>
        <v>0</v>
      </c>
      <c r="AR16" s="445">
        <f t="shared" si="18"/>
        <v>3128862632.0841317</v>
      </c>
      <c r="AS16" s="454">
        <f t="shared" si="19"/>
        <v>88.683308291733979</v>
      </c>
      <c r="AT16" s="463">
        <f t="shared" si="20"/>
        <v>41.754241148285104</v>
      </c>
      <c r="AV16" s="448">
        <f t="shared" si="21"/>
        <v>31138621.840676427</v>
      </c>
      <c r="AW16" s="445">
        <f>SUM(Scenarios!AF17)</f>
        <v>1641534.9636817609</v>
      </c>
      <c r="AX16" s="445">
        <f>Scenarios!AD17</f>
        <v>196984.19564181133</v>
      </c>
      <c r="AY16" s="449">
        <f>Scenarios!AA17</f>
        <v>32977141</v>
      </c>
      <c r="AZ16" s="448">
        <f t="shared" si="66"/>
        <v>2802475965.6608782</v>
      </c>
      <c r="BA16" s="445">
        <f t="shared" si="23"/>
        <v>42679909.055725783</v>
      </c>
      <c r="BB16" s="445">
        <f t="shared" si="24"/>
        <v>0</v>
      </c>
      <c r="BC16" s="445">
        <f t="shared" si="25"/>
        <v>2845155874.7166038</v>
      </c>
      <c r="BD16" s="454">
        <f t="shared" si="26"/>
        <v>86.276608233460976</v>
      </c>
      <c r="BE16" s="463">
        <f t="shared" si="27"/>
        <v>37.968213522447407</v>
      </c>
      <c r="BG16" s="448">
        <f t="shared" si="28"/>
        <v>31671821.522055879</v>
      </c>
      <c r="BH16" s="445">
        <f>SUM(Scenarios!AK17)</f>
        <v>1169074.7468691883</v>
      </c>
      <c r="BI16" s="445">
        <f>Scenarios!AI17</f>
        <v>136244.731074932</v>
      </c>
      <c r="BJ16" s="449">
        <f>Scenarios!AA17</f>
        <v>32977141</v>
      </c>
      <c r="BK16" s="448">
        <f t="shared" si="67"/>
        <v>2850463936.9850292</v>
      </c>
      <c r="BL16" s="445">
        <f t="shared" si="30"/>
        <v>30395943.418598894</v>
      </c>
      <c r="BM16" s="445">
        <f t="shared" si="31"/>
        <v>0</v>
      </c>
      <c r="BN16" s="445">
        <f t="shared" si="32"/>
        <v>2880859880.4036283</v>
      </c>
      <c r="BO16" s="454">
        <f t="shared" si="33"/>
        <v>87.359297775499343</v>
      </c>
      <c r="BP16" s="463">
        <f t="shared" si="34"/>
        <v>38.444678563810619</v>
      </c>
      <c r="BR16" s="448">
        <f t="shared" si="35"/>
        <v>32494688.465366449</v>
      </c>
      <c r="BS16" s="445">
        <v>0</v>
      </c>
      <c r="BT16" s="445">
        <f>Scenarios!AN17</f>
        <v>482452.53463354986</v>
      </c>
      <c r="BU16" s="449">
        <f>Scenarios!AA17</f>
        <v>32977141</v>
      </c>
      <c r="BV16" s="448">
        <f t="shared" si="68"/>
        <v>2924521961.8829803</v>
      </c>
      <c r="BW16" s="445">
        <f t="shared" si="37"/>
        <v>0</v>
      </c>
      <c r="BX16" s="445">
        <f t="shared" si="38"/>
        <v>0</v>
      </c>
      <c r="BY16" s="445">
        <f t="shared" si="39"/>
        <v>2924521961.8829803</v>
      </c>
      <c r="BZ16" s="454">
        <f t="shared" si="40"/>
        <v>88.683308291733979</v>
      </c>
      <c r="CA16" s="463">
        <f t="shared" si="41"/>
        <v>39.027343031221434</v>
      </c>
      <c r="CC16" s="448">
        <f t="shared" si="42"/>
        <v>29158399.220844772</v>
      </c>
      <c r="CD16" s="445">
        <f>SUM(Scenarios!BA17)</f>
        <v>1537143.5528171703</v>
      </c>
      <c r="CE16" s="445">
        <f>Scenarios!AY17</f>
        <v>184457.22633806046</v>
      </c>
      <c r="CF16" s="449">
        <f>Scenarios!AV17</f>
        <v>30880000</v>
      </c>
      <c r="CG16" s="448">
        <f t="shared" si="69"/>
        <v>2624255929.8760295</v>
      </c>
      <c r="CH16" s="445">
        <f t="shared" si="44"/>
        <v>39965732.373246424</v>
      </c>
      <c r="CI16" s="445">
        <f t="shared" si="45"/>
        <v>0</v>
      </c>
      <c r="CJ16" s="445">
        <f t="shared" si="46"/>
        <v>2664221662.2492757</v>
      </c>
      <c r="CK16" s="454">
        <f t="shared" si="47"/>
        <v>86.276608233461005</v>
      </c>
      <c r="CL16" s="463">
        <f t="shared" si="48"/>
        <v>35.553671362025476</v>
      </c>
      <c r="CN16" s="448">
        <f t="shared" si="49"/>
        <v>29657690.719795436</v>
      </c>
      <c r="CO16" s="445">
        <f>SUM(Scenarios!BF17)</f>
        <v>1094728.8663780931</v>
      </c>
      <c r="CP16" s="445">
        <f>Scenarios!BD17</f>
        <v>127580.41382647149</v>
      </c>
      <c r="CQ16" s="449">
        <f>Scenarios!AV17</f>
        <v>30880000</v>
      </c>
      <c r="CR16" s="448">
        <f t="shared" si="70"/>
        <v>2669192164.781589</v>
      </c>
      <c r="CS16" s="445">
        <f t="shared" si="51"/>
        <v>28462950.525830422</v>
      </c>
      <c r="CT16" s="445">
        <f t="shared" si="52"/>
        <v>0</v>
      </c>
      <c r="CU16" s="445">
        <f t="shared" si="53"/>
        <v>2697655115.3074193</v>
      </c>
      <c r="CV16" s="454">
        <f t="shared" si="54"/>
        <v>87.359297775499329</v>
      </c>
      <c r="CW16" s="463">
        <f t="shared" si="55"/>
        <v>35.999836191089805</v>
      </c>
      <c r="CY16" s="448">
        <f t="shared" si="56"/>
        <v>30428228.444986057</v>
      </c>
      <c r="CZ16" s="445">
        <v>0</v>
      </c>
      <c r="DA16" s="445">
        <f>Scenarios!BI17</f>
        <v>451771.55501394195</v>
      </c>
      <c r="DB16" s="449">
        <f>Scenarios!AV17</f>
        <v>30880000</v>
      </c>
      <c r="DC16" s="448">
        <f t="shared" si="71"/>
        <v>2738540560.0487452</v>
      </c>
      <c r="DD16" s="445">
        <f t="shared" si="58"/>
        <v>0</v>
      </c>
      <c r="DE16" s="445">
        <f t="shared" si="59"/>
        <v>0</v>
      </c>
      <c r="DF16" s="445">
        <f t="shared" si="60"/>
        <v>2738540560.0487452</v>
      </c>
      <c r="DG16" s="454">
        <f t="shared" si="61"/>
        <v>88.683308291733979</v>
      </c>
      <c r="DH16" s="463">
        <f t="shared" si="62"/>
        <v>36.545446823425905</v>
      </c>
    </row>
    <row r="17" spans="13:112">
      <c r="M17" s="360">
        <v>2028</v>
      </c>
      <c r="N17" s="429"/>
      <c r="O17" s="448">
        <f t="shared" si="0"/>
        <v>33468196.95139325</v>
      </c>
      <c r="P17" s="445">
        <f>SUM(Scenarios!J18)</f>
        <v>1978492.2308988834</v>
      </c>
      <c r="Q17" s="445">
        <f>Scenarios!H18</f>
        <v>237419.06770786599</v>
      </c>
      <c r="R17" s="449">
        <f>Scenarios!E18</f>
        <v>35684108.25</v>
      </c>
      <c r="S17" s="448">
        <f t="shared" si="63"/>
        <v>3012137725.6253924</v>
      </c>
      <c r="T17" s="445">
        <f t="shared" si="2"/>
        <v>51440798.00337097</v>
      </c>
      <c r="U17" s="445">
        <f t="shared" si="3"/>
        <v>0</v>
      </c>
      <c r="V17" s="445">
        <f t="shared" si="4"/>
        <v>3063578523.6287632</v>
      </c>
      <c r="W17" s="454">
        <f t="shared" si="5"/>
        <v>85.852741566794322</v>
      </c>
      <c r="X17" s="463">
        <f t="shared" si="6"/>
        <v>40.883033707074894</v>
      </c>
      <c r="Z17" s="448">
        <f t="shared" si="7"/>
        <v>34180719.665258266</v>
      </c>
      <c r="AA17" s="445">
        <f>SUM(Scenarios!O18)</f>
        <v>1346117.8889847649</v>
      </c>
      <c r="AB17" s="445">
        <f>Scenarios!M18</f>
        <v>157270.69575697396</v>
      </c>
      <c r="AC17" s="449">
        <f>Scenarios!E18</f>
        <v>35684108.25</v>
      </c>
      <c r="AD17" s="448">
        <f t="shared" si="64"/>
        <v>3076264769.8732438</v>
      </c>
      <c r="AE17" s="445">
        <f t="shared" si="9"/>
        <v>34999065.11360389</v>
      </c>
      <c r="AF17" s="445">
        <f t="shared" si="10"/>
        <v>0</v>
      </c>
      <c r="AG17" s="445">
        <f t="shared" si="11"/>
        <v>3111263834.9868479</v>
      </c>
      <c r="AH17" s="454">
        <f t="shared" si="12"/>
        <v>87.189059431990927</v>
      </c>
      <c r="AI17" s="463">
        <f t="shared" si="13"/>
        <v>41.519387623434042</v>
      </c>
      <c r="AK17" s="448">
        <f t="shared" si="14"/>
        <v>34958207.492161348</v>
      </c>
      <c r="AL17" s="445">
        <v>0</v>
      </c>
      <c r="AM17" s="445">
        <f>Scenarios!R18</f>
        <v>725900.75783864828</v>
      </c>
      <c r="AN17" s="449">
        <f>Scenarios!E18</f>
        <v>35684108.25</v>
      </c>
      <c r="AO17" s="448">
        <f t="shared" si="65"/>
        <v>3146238674.2945213</v>
      </c>
      <c r="AP17" s="445">
        <f t="shared" si="16"/>
        <v>0</v>
      </c>
      <c r="AQ17" s="445">
        <f t="shared" si="17"/>
        <v>0</v>
      </c>
      <c r="AR17" s="445">
        <f t="shared" si="18"/>
        <v>3146238674.2945213</v>
      </c>
      <c r="AS17" s="454">
        <f t="shared" si="19"/>
        <v>88.169183106727104</v>
      </c>
      <c r="AT17" s="463">
        <f t="shared" si="20"/>
        <v>41.986122039831983</v>
      </c>
      <c r="AV17" s="448">
        <f t="shared" si="21"/>
        <v>31150959.730060183</v>
      </c>
      <c r="AW17" s="445">
        <f>SUM(Scenarios!AF18)</f>
        <v>1841507.3838748389</v>
      </c>
      <c r="AX17" s="445">
        <f>Scenarios!AD18</f>
        <v>220980.88606498064</v>
      </c>
      <c r="AY17" s="449">
        <f>Scenarios!AA18</f>
        <v>33213448</v>
      </c>
      <c r="AZ17" s="448">
        <f t="shared" si="66"/>
        <v>2803586375.7054162</v>
      </c>
      <c r="BA17" s="445">
        <f t="shared" si="23"/>
        <v>47879191.980745815</v>
      </c>
      <c r="BB17" s="445">
        <f t="shared" si="24"/>
        <v>0</v>
      </c>
      <c r="BC17" s="445">
        <f t="shared" si="25"/>
        <v>2851465567.686162</v>
      </c>
      <c r="BD17" s="454">
        <f t="shared" si="26"/>
        <v>85.852741566794336</v>
      </c>
      <c r="BE17" s="463">
        <f t="shared" si="27"/>
        <v>38.052415506619234</v>
      </c>
      <c r="BG17" s="448">
        <f t="shared" si="28"/>
        <v>31814149.515831955</v>
      </c>
      <c r="BH17" s="445">
        <f>SUM(Scenarios!AK18)</f>
        <v>1252916.7380178336</v>
      </c>
      <c r="BI17" s="445">
        <f>Scenarios!AI18</f>
        <v>146381.7461502089</v>
      </c>
      <c r="BJ17" s="449">
        <f>Scenarios!AA18</f>
        <v>33213448</v>
      </c>
      <c r="BK17" s="448">
        <f t="shared" si="67"/>
        <v>2863273456.4248757</v>
      </c>
      <c r="BL17" s="445">
        <f t="shared" si="30"/>
        <v>32575835.188463673</v>
      </c>
      <c r="BM17" s="445">
        <f t="shared" si="31"/>
        <v>0</v>
      </c>
      <c r="BN17" s="445">
        <f t="shared" si="32"/>
        <v>2895849291.6133394</v>
      </c>
      <c r="BO17" s="454">
        <f t="shared" si="33"/>
        <v>87.189059431990898</v>
      </c>
      <c r="BP17" s="463">
        <f t="shared" si="34"/>
        <v>38.644710193164755</v>
      </c>
      <c r="BR17" s="448">
        <f t="shared" si="35"/>
        <v>32537806.425752882</v>
      </c>
      <c r="BS17" s="445">
        <v>0</v>
      </c>
      <c r="BT17" s="445">
        <f>Scenarios!AN18</f>
        <v>675641.57424711704</v>
      </c>
      <c r="BU17" s="449">
        <f>Scenarios!AA18</f>
        <v>33213448</v>
      </c>
      <c r="BV17" s="448">
        <f t="shared" si="68"/>
        <v>2928402578.3177595</v>
      </c>
      <c r="BW17" s="445">
        <f t="shared" si="37"/>
        <v>0</v>
      </c>
      <c r="BX17" s="445">
        <f t="shared" si="38"/>
        <v>0</v>
      </c>
      <c r="BY17" s="445">
        <f t="shared" si="39"/>
        <v>2928402578.3177595</v>
      </c>
      <c r="BZ17" s="454">
        <f t="shared" si="40"/>
        <v>88.169183106727118</v>
      </c>
      <c r="CA17" s="463">
        <f t="shared" si="41"/>
        <v>39.07912932339044</v>
      </c>
      <c r="CC17" s="448">
        <f t="shared" si="42"/>
        <v>28999930.234688696</v>
      </c>
      <c r="CD17" s="445">
        <f>SUM(Scenarios!BA18)</f>
        <v>1714348.0047422363</v>
      </c>
      <c r="CE17" s="445">
        <f>Scenarios!AY18</f>
        <v>205721.76056906834</v>
      </c>
      <c r="CF17" s="449">
        <f>Scenarios!AV18</f>
        <v>30920000</v>
      </c>
      <c r="CG17" s="448">
        <f t="shared" si="69"/>
        <v>2609993721.1219826</v>
      </c>
      <c r="CH17" s="445">
        <f t="shared" si="44"/>
        <v>44573048.123298146</v>
      </c>
      <c r="CI17" s="445">
        <f t="shared" si="45"/>
        <v>0</v>
      </c>
      <c r="CJ17" s="445">
        <f t="shared" si="46"/>
        <v>2654566769.2452807</v>
      </c>
      <c r="CK17" s="454">
        <f t="shared" si="47"/>
        <v>85.852741566794336</v>
      </c>
      <c r="CL17" s="463">
        <f t="shared" si="48"/>
        <v>35.424828143849048</v>
      </c>
      <c r="CN17" s="448">
        <f t="shared" si="49"/>
        <v>29617325.579371467</v>
      </c>
      <c r="CO17" s="445">
        <f>SUM(Scenarios!BF18)</f>
        <v>1166400.5959125778</v>
      </c>
      <c r="CP17" s="445">
        <f>Scenarios!BD18</f>
        <v>136273.82471595419</v>
      </c>
      <c r="CQ17" s="449">
        <f>Scenarios!AV18</f>
        <v>30920000</v>
      </c>
      <c r="CR17" s="448">
        <f t="shared" si="70"/>
        <v>2665559302.1434321</v>
      </c>
      <c r="CS17" s="445">
        <f t="shared" si="51"/>
        <v>30326415.493727025</v>
      </c>
      <c r="CT17" s="445">
        <f t="shared" si="52"/>
        <v>0</v>
      </c>
      <c r="CU17" s="445">
        <f t="shared" si="53"/>
        <v>2695885717.6371593</v>
      </c>
      <c r="CV17" s="454">
        <f t="shared" si="54"/>
        <v>87.189059431990927</v>
      </c>
      <c r="CW17" s="463">
        <f t="shared" si="55"/>
        <v>35.976223822731527</v>
      </c>
      <c r="CY17" s="448">
        <f t="shared" si="56"/>
        <v>30291012.685111139</v>
      </c>
      <c r="CZ17" s="445">
        <v>0</v>
      </c>
      <c r="DA17" s="445">
        <f>Scenarios!BI18</f>
        <v>628987.31488886254</v>
      </c>
      <c r="DB17" s="449">
        <f>Scenarios!AV18</f>
        <v>30920000</v>
      </c>
      <c r="DC17" s="448">
        <f t="shared" si="71"/>
        <v>2726191141.6600027</v>
      </c>
      <c r="DD17" s="445">
        <f t="shared" si="58"/>
        <v>0</v>
      </c>
      <c r="DE17" s="445">
        <f t="shared" si="59"/>
        <v>0</v>
      </c>
      <c r="DF17" s="445">
        <f t="shared" si="60"/>
        <v>2726191141.6600027</v>
      </c>
      <c r="DG17" s="454">
        <f t="shared" si="61"/>
        <v>88.169183106727118</v>
      </c>
      <c r="DH17" s="463">
        <f t="shared" si="62"/>
        <v>36.380645534881907</v>
      </c>
    </row>
    <row r="18" spans="13:112">
      <c r="M18" s="360">
        <v>2029</v>
      </c>
      <c r="N18" s="429"/>
      <c r="O18" s="448">
        <f t="shared" si="0"/>
        <v>33603485.154792622</v>
      </c>
      <c r="P18" s="445">
        <f>SUM(Scenarios!J19)</f>
        <v>2217347.1274172999</v>
      </c>
      <c r="Q18" s="445">
        <f>Scenarios!H19</f>
        <v>266081.65529007599</v>
      </c>
      <c r="R18" s="449">
        <f>Scenarios!E19</f>
        <v>36086913.9375</v>
      </c>
      <c r="S18" s="448">
        <f t="shared" si="63"/>
        <v>3024313663.9313359</v>
      </c>
      <c r="T18" s="445">
        <f t="shared" si="2"/>
        <v>57651025.312849797</v>
      </c>
      <c r="U18" s="445">
        <f t="shared" si="3"/>
        <v>0</v>
      </c>
      <c r="V18" s="445">
        <f t="shared" si="4"/>
        <v>3081964689.2441859</v>
      </c>
      <c r="W18" s="454">
        <f t="shared" si="5"/>
        <v>85.40394156679433</v>
      </c>
      <c r="X18" s="463">
        <f t="shared" si="6"/>
        <v>41.128394556422023</v>
      </c>
      <c r="Z18" s="448">
        <f t="shared" si="7"/>
        <v>34474608.209088571</v>
      </c>
      <c r="AA18" s="445">
        <f>SUM(Scenarios!O19)</f>
        <v>1443306.4901848652</v>
      </c>
      <c r="AB18" s="445">
        <f>Scenarios!M19</f>
        <v>168999.23822656425</v>
      </c>
      <c r="AC18" s="449">
        <f>Scenarios!E19</f>
        <v>36086913.9375</v>
      </c>
      <c r="AD18" s="448">
        <f t="shared" si="64"/>
        <v>3102714738.8179712</v>
      </c>
      <c r="AE18" s="445">
        <f t="shared" si="9"/>
        <v>37525968.744806498</v>
      </c>
      <c r="AF18" s="445">
        <f t="shared" si="10"/>
        <v>0</v>
      </c>
      <c r="AG18" s="445">
        <f t="shared" si="11"/>
        <v>3140240707.5627775</v>
      </c>
      <c r="AH18" s="454">
        <f t="shared" si="12"/>
        <v>87.018821088482483</v>
      </c>
      <c r="AI18" s="463">
        <f t="shared" si="13"/>
        <v>41.906079999395772</v>
      </c>
      <c r="AK18" s="448">
        <f t="shared" si="14"/>
        <v>35068484.437598348</v>
      </c>
      <c r="AL18" s="445">
        <v>0</v>
      </c>
      <c r="AM18" s="445">
        <f>Scenarios!R19</f>
        <v>1018429.4999016544</v>
      </c>
      <c r="AN18" s="449">
        <f>Scenarios!E19</f>
        <v>36086913.9375</v>
      </c>
      <c r="AO18" s="448">
        <f t="shared" si="65"/>
        <v>3156163599.3838511</v>
      </c>
      <c r="AP18" s="445">
        <f t="shared" si="16"/>
        <v>0</v>
      </c>
      <c r="AQ18" s="445">
        <f t="shared" si="17"/>
        <v>0</v>
      </c>
      <c r="AR18" s="445">
        <f t="shared" si="18"/>
        <v>3156163599.3838511</v>
      </c>
      <c r="AS18" s="454">
        <f t="shared" si="19"/>
        <v>87.46005837046927</v>
      </c>
      <c r="AT18" s="463">
        <f t="shared" si="20"/>
        <v>42.118568799018242</v>
      </c>
      <c r="AV18" s="448">
        <f t="shared" si="21"/>
        <v>31147810.187390603</v>
      </c>
      <c r="AW18" s="445">
        <f>SUM(Scenarios!AF19)</f>
        <v>2055307.8684012494</v>
      </c>
      <c r="AX18" s="445">
        <f>Scenarios!AD19</f>
        <v>246636.94420814991</v>
      </c>
      <c r="AY18" s="449">
        <f>Scenarios!AA19</f>
        <v>33449755</v>
      </c>
      <c r="AZ18" s="448">
        <f t="shared" si="66"/>
        <v>2803302916.8651543</v>
      </c>
      <c r="BA18" s="445">
        <f t="shared" si="23"/>
        <v>53438004.578432485</v>
      </c>
      <c r="BB18" s="445">
        <f t="shared" si="24"/>
        <v>0</v>
      </c>
      <c r="BC18" s="445">
        <f t="shared" si="25"/>
        <v>2856740921.4435868</v>
      </c>
      <c r="BD18" s="454">
        <f t="shared" si="26"/>
        <v>85.403941566794344</v>
      </c>
      <c r="BE18" s="463">
        <f t="shared" si="27"/>
        <v>38.122814376378273</v>
      </c>
      <c r="BG18" s="448">
        <f t="shared" si="28"/>
        <v>31955273.324624155</v>
      </c>
      <c r="BH18" s="445">
        <f>SUM(Scenarios!AK19)</f>
        <v>1337832.5608614853</v>
      </c>
      <c r="BI18" s="445">
        <f>Scenarios!AI19</f>
        <v>156649.1145143577</v>
      </c>
      <c r="BJ18" s="449">
        <f>Scenarios!AA19</f>
        <v>33449755</v>
      </c>
      <c r="BK18" s="448">
        <f t="shared" si="67"/>
        <v>2875974599.2161741</v>
      </c>
      <c r="BL18" s="445">
        <f t="shared" si="30"/>
        <v>34783646.582398616</v>
      </c>
      <c r="BM18" s="445">
        <f t="shared" si="31"/>
        <v>0</v>
      </c>
      <c r="BN18" s="445">
        <f t="shared" si="32"/>
        <v>2910758245.7985725</v>
      </c>
      <c r="BO18" s="454">
        <f t="shared" si="33"/>
        <v>87.018821088482483</v>
      </c>
      <c r="BP18" s="463">
        <f t="shared" si="34"/>
        <v>38.84366813460187</v>
      </c>
      <c r="BR18" s="448">
        <f t="shared" si="35"/>
        <v>32505750.275309961</v>
      </c>
      <c r="BS18" s="445">
        <v>0</v>
      </c>
      <c r="BT18" s="445">
        <f>Scenarios!AN19</f>
        <v>944004.72469004022</v>
      </c>
      <c r="BU18" s="449">
        <f>Scenarios!AA19</f>
        <v>33449755</v>
      </c>
      <c r="BV18" s="448">
        <f t="shared" si="68"/>
        <v>2925517524.7778964</v>
      </c>
      <c r="BW18" s="445">
        <f t="shared" si="37"/>
        <v>0</v>
      </c>
      <c r="BX18" s="445">
        <f t="shared" si="38"/>
        <v>0</v>
      </c>
      <c r="BY18" s="445">
        <f t="shared" si="39"/>
        <v>2925517524.7778964</v>
      </c>
      <c r="BZ18" s="454">
        <f t="shared" si="40"/>
        <v>87.46005837046927</v>
      </c>
      <c r="CA18" s="463">
        <f t="shared" si="41"/>
        <v>39.040628681018383</v>
      </c>
      <c r="CC18" s="448">
        <f t="shared" si="42"/>
        <v>28829395.115199286</v>
      </c>
      <c r="CD18" s="445">
        <f>SUM(Scenarios!BA19)</f>
        <v>1902325.7900006347</v>
      </c>
      <c r="CE18" s="445">
        <f>Scenarios!AY19</f>
        <v>228279.09480007616</v>
      </c>
      <c r="CF18" s="449">
        <f>Scenarios!AV19</f>
        <v>30960000</v>
      </c>
      <c r="CG18" s="448">
        <f t="shared" si="69"/>
        <v>2594645560.3679357</v>
      </c>
      <c r="CH18" s="445">
        <f t="shared" si="44"/>
        <v>49460470.540016502</v>
      </c>
      <c r="CI18" s="445">
        <f t="shared" si="45"/>
        <v>0</v>
      </c>
      <c r="CJ18" s="445">
        <f t="shared" si="46"/>
        <v>2644106030.9079523</v>
      </c>
      <c r="CK18" s="454">
        <f t="shared" si="47"/>
        <v>85.40394156679433</v>
      </c>
      <c r="CL18" s="463">
        <f t="shared" si="48"/>
        <v>35.285231030621041</v>
      </c>
      <c r="CN18" s="448">
        <f t="shared" si="49"/>
        <v>29576756.604954623</v>
      </c>
      <c r="CO18" s="445">
        <f>SUM(Scenarios!BF19)</f>
        <v>1238254.094365462</v>
      </c>
      <c r="CP18" s="445">
        <f>Scenarios!BD19</f>
        <v>144989.30067991573</v>
      </c>
      <c r="CQ18" s="449">
        <f>Scenarios!AV19</f>
        <v>30960000</v>
      </c>
      <c r="CR18" s="448">
        <f t="shared" si="70"/>
        <v>2661908094.4459162</v>
      </c>
      <c r="CS18" s="445">
        <f t="shared" si="51"/>
        <v>32194606.453502011</v>
      </c>
      <c r="CT18" s="445">
        <f t="shared" si="52"/>
        <v>0</v>
      </c>
      <c r="CU18" s="445">
        <f t="shared" si="53"/>
        <v>2694102700.8994184</v>
      </c>
      <c r="CV18" s="454">
        <f t="shared" si="54"/>
        <v>87.018821088482511</v>
      </c>
      <c r="CW18" s="463">
        <f t="shared" si="55"/>
        <v>35.95242970979232</v>
      </c>
      <c r="CY18" s="448">
        <f t="shared" si="56"/>
        <v>30086260.079441428</v>
      </c>
      <c r="CZ18" s="445">
        <v>0</v>
      </c>
      <c r="DA18" s="445">
        <f>Scenarios!BI19</f>
        <v>873739.92055857053</v>
      </c>
      <c r="DB18" s="449">
        <f>Scenarios!AV19</f>
        <v>30960000</v>
      </c>
      <c r="DC18" s="448">
        <f t="shared" si="71"/>
        <v>2707763407.1497288</v>
      </c>
      <c r="DD18" s="445">
        <f t="shared" si="58"/>
        <v>0</v>
      </c>
      <c r="DE18" s="445">
        <f t="shared" si="59"/>
        <v>0</v>
      </c>
      <c r="DF18" s="445">
        <f t="shared" si="60"/>
        <v>2707763407.1497288</v>
      </c>
      <c r="DG18" s="454">
        <f t="shared" si="61"/>
        <v>87.46005837046927</v>
      </c>
      <c r="DH18" s="463">
        <f t="shared" si="62"/>
        <v>36.134729954354796</v>
      </c>
    </row>
    <row r="19" spans="13:112">
      <c r="M19" s="360">
        <v>2030</v>
      </c>
      <c r="N19" s="429"/>
      <c r="O19" s="448">
        <f t="shared" si="0"/>
        <v>33719736.821091995</v>
      </c>
      <c r="P19" s="445">
        <f>SUM(Scenarios!J20)</f>
        <v>2473198.9320607162</v>
      </c>
      <c r="Q19" s="445">
        <f>Scenarios!H20</f>
        <v>296783.87184728601</v>
      </c>
      <c r="R19" s="449">
        <f>Scenarios!E20</f>
        <v>36489719.625</v>
      </c>
      <c r="S19" s="448">
        <f t="shared" si="63"/>
        <v>3034776313.8982797</v>
      </c>
      <c r="T19" s="445">
        <f t="shared" si="2"/>
        <v>64303172.233578622</v>
      </c>
      <c r="U19" s="445">
        <f t="shared" si="3"/>
        <v>0</v>
      </c>
      <c r="V19" s="445">
        <f t="shared" si="4"/>
        <v>3099079486.1318583</v>
      </c>
      <c r="W19" s="454">
        <f t="shared" si="5"/>
        <v>84.930208233461002</v>
      </c>
      <c r="X19" s="463">
        <f t="shared" si="6"/>
        <v>41.356789165096743</v>
      </c>
      <c r="Z19" s="448">
        <f t="shared" si="7"/>
        <v>34766444.115627952</v>
      </c>
      <c r="AA19" s="445">
        <f>SUM(Scenarios!O20)</f>
        <v>1542325.530238518</v>
      </c>
      <c r="AB19" s="445">
        <f>Scenarios!M20</f>
        <v>180949.97913353448</v>
      </c>
      <c r="AC19" s="449">
        <f>Scenarios!E20</f>
        <v>36489719.625</v>
      </c>
      <c r="AD19" s="448">
        <f t="shared" si="64"/>
        <v>3128979970.4065156</v>
      </c>
      <c r="AE19" s="445">
        <f t="shared" si="9"/>
        <v>40100463.78620147</v>
      </c>
      <c r="AF19" s="445">
        <f t="shared" si="10"/>
        <v>0</v>
      </c>
      <c r="AG19" s="445">
        <f t="shared" si="11"/>
        <v>3169080434.1927171</v>
      </c>
      <c r="AH19" s="454">
        <f t="shared" si="12"/>
        <v>86.848582744974081</v>
      </c>
      <c r="AI19" s="463">
        <f t="shared" si="13"/>
        <v>42.290942181585919</v>
      </c>
      <c r="AK19" s="448">
        <f t="shared" si="14"/>
        <v>35065490.789337523</v>
      </c>
      <c r="AL19" s="445">
        <v>0</v>
      </c>
      <c r="AM19" s="445">
        <f>Scenarios!R20</f>
        <v>1424228.8356624753</v>
      </c>
      <c r="AN19" s="449">
        <f>Scenarios!E20</f>
        <v>36489719.625</v>
      </c>
      <c r="AO19" s="448">
        <f t="shared" si="65"/>
        <v>3155894171.0403771</v>
      </c>
      <c r="AP19" s="445">
        <f t="shared" si="16"/>
        <v>0</v>
      </c>
      <c r="AQ19" s="445">
        <f t="shared" si="17"/>
        <v>0</v>
      </c>
      <c r="AR19" s="445">
        <f t="shared" si="18"/>
        <v>3155894171.0403771</v>
      </c>
      <c r="AS19" s="454">
        <f t="shared" si="19"/>
        <v>86.487213480209832</v>
      </c>
      <c r="AT19" s="463">
        <f t="shared" si="20"/>
        <v>42.114973314860443</v>
      </c>
      <c r="AV19" s="448">
        <f t="shared" si="21"/>
        <v>31128909.716239087</v>
      </c>
      <c r="AW19" s="445">
        <f>SUM(Scenarios!AF20)</f>
        <v>2283172.809885642</v>
      </c>
      <c r="AX19" s="445">
        <f>Scenarios!AD20</f>
        <v>273980.73718627705</v>
      </c>
      <c r="AY19" s="449">
        <f>Scenarios!AA20</f>
        <v>33686063.263311006</v>
      </c>
      <c r="AZ19" s="448">
        <f t="shared" si="66"/>
        <v>2801601874.4615178</v>
      </c>
      <c r="BA19" s="445">
        <f t="shared" si="23"/>
        <v>59362493.057026692</v>
      </c>
      <c r="BB19" s="445">
        <f t="shared" si="24"/>
        <v>0</v>
      </c>
      <c r="BC19" s="445">
        <f t="shared" si="25"/>
        <v>2860964367.5185447</v>
      </c>
      <c r="BD19" s="454">
        <f t="shared" si="26"/>
        <v>84.930208233461002</v>
      </c>
      <c r="BE19" s="463">
        <f t="shared" si="27"/>
        <v>38.17917568290617</v>
      </c>
      <c r="BG19" s="448">
        <f t="shared" si="28"/>
        <v>32095194.152081944</v>
      </c>
      <c r="BH19" s="445">
        <f>SUM(Scenarios!AK20)</f>
        <v>1423822.2687970137</v>
      </c>
      <c r="BI19" s="445">
        <f>Scenarios!AI20</f>
        <v>167046.84243204977</v>
      </c>
      <c r="BJ19" s="449">
        <f>Scenarios!AA20</f>
        <v>33686063.263311006</v>
      </c>
      <c r="BK19" s="448">
        <f t="shared" si="67"/>
        <v>2888567473.6873751</v>
      </c>
      <c r="BL19" s="445">
        <f t="shared" si="30"/>
        <v>37019378.988722354</v>
      </c>
      <c r="BM19" s="445">
        <f t="shared" si="31"/>
        <v>0</v>
      </c>
      <c r="BN19" s="445">
        <f t="shared" si="32"/>
        <v>2925586852.6760974</v>
      </c>
      <c r="BO19" s="454">
        <f t="shared" si="33"/>
        <v>86.848582744974081</v>
      </c>
      <c r="BP19" s="463">
        <f t="shared" si="34"/>
        <v>39.041553852277133</v>
      </c>
      <c r="BR19" s="448">
        <f t="shared" si="35"/>
        <v>32371263.830687031</v>
      </c>
      <c r="BS19" s="445">
        <v>0</v>
      </c>
      <c r="BT19" s="445">
        <f>Scenarios!AN20</f>
        <v>1314799.4326239747</v>
      </c>
      <c r="BU19" s="449">
        <f>Scenarios!AA20</f>
        <v>33686063.263311006</v>
      </c>
      <c r="BV19" s="448">
        <f t="shared" si="68"/>
        <v>2913413744.7618327</v>
      </c>
      <c r="BW19" s="445">
        <f t="shared" si="37"/>
        <v>0</v>
      </c>
      <c r="BX19" s="445">
        <f t="shared" si="38"/>
        <v>0</v>
      </c>
      <c r="BY19" s="445">
        <f t="shared" si="39"/>
        <v>2913413744.7618327</v>
      </c>
      <c r="BZ19" s="454">
        <f t="shared" si="40"/>
        <v>86.487213480209832</v>
      </c>
      <c r="CA19" s="463">
        <f t="shared" si="41"/>
        <v>38.879105402746532</v>
      </c>
      <c r="CC19" s="448">
        <f t="shared" si="42"/>
        <v>28646749.062376551</v>
      </c>
      <c r="CD19" s="445">
        <f>SUM(Scenarios!BA20)</f>
        <v>2101116.9085923661</v>
      </c>
      <c r="CE19" s="445">
        <f>Scenarios!AY20</f>
        <v>252134.02903108401</v>
      </c>
      <c r="CF19" s="449">
        <f>Scenarios!AV20</f>
        <v>31000000</v>
      </c>
      <c r="CG19" s="448">
        <f t="shared" si="69"/>
        <v>2578207415.6138897</v>
      </c>
      <c r="CH19" s="445">
        <f t="shared" si="44"/>
        <v>54629039.623401523</v>
      </c>
      <c r="CI19" s="445">
        <f t="shared" si="45"/>
        <v>0</v>
      </c>
      <c r="CJ19" s="445">
        <f t="shared" si="46"/>
        <v>2632836455.2372913</v>
      </c>
      <c r="CK19" s="454">
        <f t="shared" si="47"/>
        <v>84.930208233461016</v>
      </c>
      <c r="CL19" s="463">
        <f t="shared" si="48"/>
        <v>35.134840094513308</v>
      </c>
      <c r="CN19" s="448">
        <f t="shared" si="49"/>
        <v>29535983.796544898</v>
      </c>
      <c r="CO19" s="445">
        <f>SUM(Scenarios!BF20)</f>
        <v>1310289.361736746</v>
      </c>
      <c r="CP19" s="445">
        <f>Scenarios!BD20</f>
        <v>153726.84171835615</v>
      </c>
      <c r="CQ19" s="449">
        <f>Scenarios!AV20</f>
        <v>31000000</v>
      </c>
      <c r="CR19" s="448">
        <f t="shared" si="70"/>
        <v>2658238541.6890407</v>
      </c>
      <c r="CS19" s="445">
        <f t="shared" si="51"/>
        <v>34067523.405155398</v>
      </c>
      <c r="CT19" s="445">
        <f t="shared" si="52"/>
        <v>0</v>
      </c>
      <c r="CU19" s="445">
        <f t="shared" si="53"/>
        <v>2692306065.0941958</v>
      </c>
      <c r="CV19" s="454">
        <f t="shared" si="54"/>
        <v>86.848582744974053</v>
      </c>
      <c r="CW19" s="463">
        <f t="shared" si="55"/>
        <v>35.928453852272185</v>
      </c>
      <c r="CY19" s="448">
        <f t="shared" si="56"/>
        <v>29790040.19873894</v>
      </c>
      <c r="CZ19" s="445">
        <v>0</v>
      </c>
      <c r="DA19" s="445">
        <f>Scenarios!BI20</f>
        <v>1209959.8012610581</v>
      </c>
      <c r="DB19" s="449">
        <f>Scenarios!AV20</f>
        <v>31000000</v>
      </c>
      <c r="DC19" s="448">
        <f t="shared" si="71"/>
        <v>2681103617.8865047</v>
      </c>
      <c r="DD19" s="445">
        <f t="shared" si="58"/>
        <v>0</v>
      </c>
      <c r="DE19" s="445">
        <f t="shared" si="59"/>
        <v>0</v>
      </c>
      <c r="DF19" s="445">
        <f t="shared" si="60"/>
        <v>2681103617.8865047</v>
      </c>
      <c r="DG19" s="454">
        <f t="shared" si="61"/>
        <v>86.487213480209832</v>
      </c>
      <c r="DH19" s="463">
        <f t="shared" si="62"/>
        <v>35.778958736262794</v>
      </c>
    </row>
    <row r="20" spans="13:112">
      <c r="M20" s="360">
        <v>2031</v>
      </c>
      <c r="N20" s="429"/>
      <c r="O20" s="448">
        <f t="shared" si="0"/>
        <v>33816500.807921372</v>
      </c>
      <c r="P20" s="445">
        <f>SUM(Scenarios!J21)</f>
        <v>2746450.4505166342</v>
      </c>
      <c r="Q20" s="445">
        <f>Scenarios!H21</f>
        <v>329574.05406199599</v>
      </c>
      <c r="R20" s="449">
        <f>Scenarios!E21</f>
        <v>36892525.3125</v>
      </c>
      <c r="S20" s="448">
        <f t="shared" si="63"/>
        <v>3043485072.7129235</v>
      </c>
      <c r="T20" s="445">
        <f t="shared" si="2"/>
        <v>71407711.713432491</v>
      </c>
      <c r="U20" s="445">
        <f t="shared" si="3"/>
        <v>0</v>
      </c>
      <c r="V20" s="445">
        <f t="shared" si="4"/>
        <v>3114892784.4263558</v>
      </c>
      <c r="W20" s="454">
        <f t="shared" si="5"/>
        <v>84.431541566794337</v>
      </c>
      <c r="X20" s="463">
        <f t="shared" si="6"/>
        <v>41.567815454192221</v>
      </c>
      <c r="Z20" s="448">
        <f t="shared" si="7"/>
        <v>34909495.235653207</v>
      </c>
      <c r="AA20" s="445">
        <f>SUM(Scenarios!O21)</f>
        <v>1745066.4676251775</v>
      </c>
      <c r="AB20" s="445">
        <f>Scenarios!M21</f>
        <v>237963.6092216151</v>
      </c>
      <c r="AC20" s="449">
        <f>Scenarios!E21</f>
        <v>36892525.3125</v>
      </c>
      <c r="AD20" s="448">
        <f t="shared" si="64"/>
        <v>3141854571.2087884</v>
      </c>
      <c r="AE20" s="445">
        <f t="shared" si="9"/>
        <v>45371728.158254616</v>
      </c>
      <c r="AF20" s="445">
        <f t="shared" si="10"/>
        <v>0</v>
      </c>
      <c r="AG20" s="445">
        <f t="shared" si="11"/>
        <v>3187226299.367043</v>
      </c>
      <c r="AH20" s="454">
        <f t="shared" si="12"/>
        <v>86.392196586421818</v>
      </c>
      <c r="AI20" s="463">
        <f t="shared" si="13"/>
        <v>42.533096254623125</v>
      </c>
      <c r="AK20" s="448">
        <f t="shared" si="14"/>
        <v>34909495.235653207</v>
      </c>
      <c r="AL20" s="445">
        <v>0</v>
      </c>
      <c r="AM20" s="445">
        <f>Scenarios!R21</f>
        <v>1983030.0768467926</v>
      </c>
      <c r="AN20" s="449">
        <f>Scenarios!E21</f>
        <v>36892525.3125</v>
      </c>
      <c r="AO20" s="448">
        <f t="shared" si="65"/>
        <v>3141854571.2087884</v>
      </c>
      <c r="AP20" s="445">
        <f t="shared" si="16"/>
        <v>0</v>
      </c>
      <c r="AQ20" s="445">
        <f t="shared" si="17"/>
        <v>0</v>
      </c>
      <c r="AR20" s="445">
        <f t="shared" si="18"/>
        <v>3141854571.2087884</v>
      </c>
      <c r="AS20" s="454">
        <f t="shared" si="19"/>
        <v>85.162361334594209</v>
      </c>
      <c r="AT20" s="463">
        <f t="shared" si="20"/>
        <v>41.927616787609161</v>
      </c>
      <c r="AV20" s="448">
        <f t="shared" si="21"/>
        <v>31024992.345142581</v>
      </c>
      <c r="AW20" s="445">
        <f>SUM(Scenarios!AF21)</f>
        <v>2519734.5132655539</v>
      </c>
      <c r="AX20" s="445">
        <f>Scenarios!AD21</f>
        <v>302368.14159186638</v>
      </c>
      <c r="AY20" s="449">
        <f>Scenarios!AA21</f>
        <v>33847095</v>
      </c>
      <c r="AZ20" s="448">
        <f t="shared" si="66"/>
        <v>2792249311.0628324</v>
      </c>
      <c r="BA20" s="445">
        <f t="shared" si="23"/>
        <v>65513097.3449044</v>
      </c>
      <c r="BB20" s="445">
        <f t="shared" si="24"/>
        <v>0</v>
      </c>
      <c r="BC20" s="445">
        <f t="shared" si="25"/>
        <v>2857762408.4077368</v>
      </c>
      <c r="BD20" s="454">
        <f t="shared" si="26"/>
        <v>84.431541566794337</v>
      </c>
      <c r="BE20" s="463">
        <f t="shared" si="27"/>
        <v>38.136445979310793</v>
      </c>
      <c r="BG20" s="448">
        <f t="shared" si="28"/>
        <v>32027761.494625974</v>
      </c>
      <c r="BH20" s="445">
        <f>SUM(Scenarios!AK21)</f>
        <v>1601013.4847291445</v>
      </c>
      <c r="BI20" s="445">
        <f>Scenarios!AI21</f>
        <v>218320.02064488336</v>
      </c>
      <c r="BJ20" s="449">
        <f>Scenarios!AA21</f>
        <v>33847095</v>
      </c>
      <c r="BK20" s="448">
        <f t="shared" si="67"/>
        <v>2882498534.5163379</v>
      </c>
      <c r="BL20" s="445">
        <f t="shared" si="30"/>
        <v>41626350.602957755</v>
      </c>
      <c r="BM20" s="445">
        <f t="shared" si="31"/>
        <v>0</v>
      </c>
      <c r="BN20" s="445">
        <f t="shared" si="32"/>
        <v>2924124885.1192956</v>
      </c>
      <c r="BO20" s="454">
        <f t="shared" si="33"/>
        <v>86.392196586421832</v>
      </c>
      <c r="BP20" s="463">
        <f t="shared" si="34"/>
        <v>39.022044096466281</v>
      </c>
      <c r="BR20" s="448">
        <f t="shared" si="35"/>
        <v>32027761.494625971</v>
      </c>
      <c r="BS20" s="445">
        <v>0</v>
      </c>
      <c r="BT20" s="445">
        <f>Scenarios!AN21</f>
        <v>1819333.5053740281</v>
      </c>
      <c r="BU20" s="449">
        <f>Scenarios!AA21</f>
        <v>33847095</v>
      </c>
      <c r="BV20" s="448">
        <f t="shared" si="68"/>
        <v>2882498534.5163374</v>
      </c>
      <c r="BW20" s="445">
        <f t="shared" si="37"/>
        <v>0</v>
      </c>
      <c r="BX20" s="445">
        <f t="shared" si="38"/>
        <v>0</v>
      </c>
      <c r="BY20" s="445">
        <f t="shared" si="39"/>
        <v>2882498534.5163374</v>
      </c>
      <c r="BZ20" s="454">
        <f t="shared" si="40"/>
        <v>85.162361334594223</v>
      </c>
      <c r="CA20" s="463">
        <f t="shared" si="41"/>
        <v>38.466546177389773</v>
      </c>
      <c r="CC20" s="448">
        <f t="shared" si="42"/>
        <v>27681984.785498016</v>
      </c>
      <c r="CD20" s="445">
        <f>SUM(Scenarios!BA21)</f>
        <v>2248227.8700910588</v>
      </c>
      <c r="CE20" s="445">
        <f>Scenarios!AY21</f>
        <v>269787.34441092698</v>
      </c>
      <c r="CF20" s="449">
        <f>Scenarios!AV21</f>
        <v>30200000</v>
      </c>
      <c r="CG20" s="448">
        <f t="shared" si="69"/>
        <v>2491378630.6948214</v>
      </c>
      <c r="CH20" s="445">
        <f t="shared" si="44"/>
        <v>58453924.622367531</v>
      </c>
      <c r="CI20" s="445">
        <f t="shared" si="45"/>
        <v>0</v>
      </c>
      <c r="CJ20" s="445">
        <f t="shared" si="46"/>
        <v>2549832555.3171887</v>
      </c>
      <c r="CK20" s="454">
        <f t="shared" si="47"/>
        <v>84.431541566794323</v>
      </c>
      <c r="CL20" s="463">
        <f t="shared" si="48"/>
        <v>34.027164475272862</v>
      </c>
      <c r="CN20" s="448">
        <f t="shared" si="49"/>
        <v>28576703.470052727</v>
      </c>
      <c r="CO20" s="445">
        <f>SUM(Scenarios!BF21)</f>
        <v>1428500.9463535992</v>
      </c>
      <c r="CP20" s="445">
        <f>Scenarios!BD21</f>
        <v>194795.58359367258</v>
      </c>
      <c r="CQ20" s="449">
        <f>Scenarios!AV21</f>
        <v>30200000</v>
      </c>
      <c r="CR20" s="448">
        <f t="shared" si="70"/>
        <v>2571903312.3047452</v>
      </c>
      <c r="CS20" s="445">
        <f t="shared" si="51"/>
        <v>37141024.605193578</v>
      </c>
      <c r="CT20" s="445">
        <f t="shared" si="52"/>
        <v>0</v>
      </c>
      <c r="CU20" s="445">
        <f t="shared" si="53"/>
        <v>2609044336.9099388</v>
      </c>
      <c r="CV20" s="454">
        <f t="shared" si="54"/>
        <v>86.392196586421818</v>
      </c>
      <c r="CW20" s="463">
        <f t="shared" si="55"/>
        <v>34.817337550335751</v>
      </c>
      <c r="CY20" s="448">
        <f t="shared" si="56"/>
        <v>28576703.470052727</v>
      </c>
      <c r="CZ20" s="445">
        <v>0</v>
      </c>
      <c r="DA20" s="445">
        <f>Scenarios!BI21</f>
        <v>1623296.5299472716</v>
      </c>
      <c r="DB20" s="449">
        <f>Scenarios!AV21</f>
        <v>30200000</v>
      </c>
      <c r="DC20" s="448">
        <f t="shared" si="71"/>
        <v>2571903312.3047452</v>
      </c>
      <c r="DD20" s="445">
        <f t="shared" si="58"/>
        <v>0</v>
      </c>
      <c r="DE20" s="445">
        <f t="shared" si="59"/>
        <v>0</v>
      </c>
      <c r="DF20" s="445">
        <f t="shared" si="60"/>
        <v>2571903312.3047452</v>
      </c>
      <c r="DG20" s="454">
        <f t="shared" si="61"/>
        <v>85.162361334594209</v>
      </c>
      <c r="DH20" s="463">
        <f t="shared" si="62"/>
        <v>34.321695689310147</v>
      </c>
    </row>
    <row r="21" spans="13:112">
      <c r="M21" s="360">
        <v>2032</v>
      </c>
      <c r="N21" s="429"/>
      <c r="O21" s="448">
        <f t="shared" si="0"/>
        <v>33893325.972910739</v>
      </c>
      <c r="P21" s="445">
        <f>SUM(Scenarios!J22)</f>
        <v>3037504.4884725506</v>
      </c>
      <c r="Q21" s="445">
        <f>Scenarios!H22</f>
        <v>364500.53861670598</v>
      </c>
      <c r="R21" s="449">
        <f>Scenarios!E22</f>
        <v>37295331</v>
      </c>
      <c r="S21" s="448">
        <f t="shared" si="63"/>
        <v>3050399337.5619664</v>
      </c>
      <c r="T21" s="445">
        <f t="shared" si="2"/>
        <v>78975116.700286314</v>
      </c>
      <c r="U21" s="445">
        <f t="shared" si="3"/>
        <v>0</v>
      </c>
      <c r="V21" s="445">
        <f t="shared" si="4"/>
        <v>3129374454.2622528</v>
      </c>
      <c r="W21" s="454">
        <f t="shared" si="5"/>
        <v>83.907941566794321</v>
      </c>
      <c r="X21" s="463">
        <f t="shared" si="6"/>
        <v>41.761071344801614</v>
      </c>
      <c r="Z21" s="448">
        <f t="shared" si="7"/>
        <v>34550439.470049806</v>
      </c>
      <c r="AA21" s="445">
        <f>SUM(Scenarios!O22)</f>
        <v>2415504.5463561732</v>
      </c>
      <c r="AB21" s="445">
        <f>Scenarios!M22</f>
        <v>329386.98359402362</v>
      </c>
      <c r="AC21" s="449">
        <f>Scenarios!E22</f>
        <v>37295331</v>
      </c>
      <c r="AD21" s="448">
        <f t="shared" si="64"/>
        <v>3109539552.3044825</v>
      </c>
      <c r="AE21" s="445">
        <f t="shared" si="9"/>
        <v>62803118.2052605</v>
      </c>
      <c r="AF21" s="445">
        <f t="shared" si="10"/>
        <v>0</v>
      </c>
      <c r="AG21" s="445">
        <f t="shared" si="11"/>
        <v>3172342670.5097427</v>
      </c>
      <c r="AH21" s="454">
        <f t="shared" si="12"/>
        <v>85.060048683030672</v>
      </c>
      <c r="AI21" s="463">
        <f t="shared" si="13"/>
        <v>42.334476276201336</v>
      </c>
      <c r="AK21" s="448">
        <f t="shared" si="14"/>
        <v>34550439.470049806</v>
      </c>
      <c r="AL21" s="445">
        <v>0</v>
      </c>
      <c r="AM21" s="445">
        <f>Scenarios!R22</f>
        <v>2744891.5299501969</v>
      </c>
      <c r="AN21" s="449">
        <f>Scenarios!E22</f>
        <v>37295331</v>
      </c>
      <c r="AO21" s="448">
        <f t="shared" si="65"/>
        <v>3109539552.3044825</v>
      </c>
      <c r="AP21" s="445">
        <f t="shared" si="16"/>
        <v>0</v>
      </c>
      <c r="AQ21" s="445">
        <f t="shared" si="17"/>
        <v>0</v>
      </c>
      <c r="AR21" s="445">
        <f t="shared" si="18"/>
        <v>3109539552.3044825</v>
      </c>
      <c r="AS21" s="454">
        <f t="shared" si="19"/>
        <v>83.376108186423721</v>
      </c>
      <c r="AT21" s="463">
        <f t="shared" si="20"/>
        <v>41.496377308379287</v>
      </c>
      <c r="AV21" s="448">
        <f t="shared" si="21"/>
        <v>30905974.105422132</v>
      </c>
      <c r="AW21" s="445">
        <f>SUM(Scenarios!AF22)</f>
        <v>2769779.3701588153</v>
      </c>
      <c r="AX21" s="445">
        <f>Scenarios!AD22</f>
        <v>332373.52441905777</v>
      </c>
      <c r="AY21" s="449">
        <f>Scenarios!AA22</f>
        <v>34008127</v>
      </c>
      <c r="AZ21" s="448">
        <f t="shared" si="66"/>
        <v>2781537669.4879918</v>
      </c>
      <c r="BA21" s="445">
        <f t="shared" si="23"/>
        <v>72014263.624129191</v>
      </c>
      <c r="BB21" s="445">
        <f t="shared" si="24"/>
        <v>0</v>
      </c>
      <c r="BC21" s="445">
        <f t="shared" si="25"/>
        <v>2853551933.1121211</v>
      </c>
      <c r="BD21" s="454">
        <f t="shared" si="26"/>
        <v>83.907941566794349</v>
      </c>
      <c r="BE21" s="463">
        <f t="shared" si="27"/>
        <v>38.080257766047836</v>
      </c>
      <c r="BG21" s="448">
        <f t="shared" si="28"/>
        <v>31505169.732995976</v>
      </c>
      <c r="BH21" s="445">
        <f>SUM(Scenarios!AK22)</f>
        <v>2202602.3949635448</v>
      </c>
      <c r="BI21" s="445">
        <f>Scenarios!AI22</f>
        <v>300354.87204048334</v>
      </c>
      <c r="BJ21" s="449">
        <f>Scenarios!AA22</f>
        <v>34008127</v>
      </c>
      <c r="BK21" s="448">
        <f t="shared" si="67"/>
        <v>2835465275.9696379</v>
      </c>
      <c r="BL21" s="445">
        <f t="shared" si="30"/>
        <v>57267662.269052163</v>
      </c>
      <c r="BM21" s="445">
        <f t="shared" si="31"/>
        <v>0</v>
      </c>
      <c r="BN21" s="445">
        <f t="shared" si="32"/>
        <v>2892732938.2386899</v>
      </c>
      <c r="BO21" s="454">
        <f t="shared" si="33"/>
        <v>85.060048683030672</v>
      </c>
      <c r="BP21" s="463">
        <f t="shared" si="34"/>
        <v>38.603122886335086</v>
      </c>
      <c r="BR21" s="448">
        <f t="shared" si="35"/>
        <v>31505169.732995972</v>
      </c>
      <c r="BS21" s="445">
        <v>0</v>
      </c>
      <c r="BT21" s="445">
        <f>Scenarios!AN22</f>
        <v>2502957.267004028</v>
      </c>
      <c r="BU21" s="449">
        <f>Scenarios!AA22</f>
        <v>34008127</v>
      </c>
      <c r="BV21" s="448">
        <f t="shared" si="68"/>
        <v>2835465275.9696374</v>
      </c>
      <c r="BW21" s="445">
        <f t="shared" si="37"/>
        <v>0</v>
      </c>
      <c r="BX21" s="445">
        <f t="shared" si="38"/>
        <v>0</v>
      </c>
      <c r="BY21" s="445">
        <f t="shared" si="39"/>
        <v>2835465275.9696374</v>
      </c>
      <c r="BZ21" s="454">
        <f t="shared" si="40"/>
        <v>83.376108186423721</v>
      </c>
      <c r="CA21" s="463">
        <f t="shared" si="41"/>
        <v>37.83889381604579</v>
      </c>
      <c r="CC21" s="448">
        <f t="shared" si="42"/>
        <v>26718191.175286148</v>
      </c>
      <c r="CD21" s="445">
        <f>SUM(Scenarios!BA22)</f>
        <v>2394472.1649230835</v>
      </c>
      <c r="CE21" s="445">
        <f>Scenarios!AY22</f>
        <v>287336.65979076998</v>
      </c>
      <c r="CF21" s="449">
        <f>Scenarios!AV22</f>
        <v>29400000</v>
      </c>
      <c r="CG21" s="448">
        <f t="shared" si="69"/>
        <v>2404637205.7757535</v>
      </c>
      <c r="CH21" s="445">
        <f t="shared" si="44"/>
        <v>62256276.288000174</v>
      </c>
      <c r="CI21" s="445">
        <f t="shared" si="45"/>
        <v>0</v>
      </c>
      <c r="CJ21" s="445">
        <f t="shared" si="46"/>
        <v>2466893482.0637536</v>
      </c>
      <c r="CK21" s="454">
        <f t="shared" si="47"/>
        <v>83.907941566794335</v>
      </c>
      <c r="CL21" s="463">
        <f t="shared" si="48"/>
        <v>32.92035395897593</v>
      </c>
      <c r="CN21" s="448">
        <f t="shared" si="49"/>
        <v>27236195.340898413</v>
      </c>
      <c r="CO21" s="445">
        <f>SUM(Scenarios!BF22)</f>
        <v>1904148.1000093953</v>
      </c>
      <c r="CP21" s="445">
        <f>Scenarios!BD22</f>
        <v>259656.55909219023</v>
      </c>
      <c r="CQ21" s="449">
        <f>Scenarios!AV22</f>
        <v>29400000</v>
      </c>
      <c r="CR21" s="448">
        <f t="shared" si="70"/>
        <v>2451257580.6808572</v>
      </c>
      <c r="CS21" s="445">
        <f t="shared" si="51"/>
        <v>49507850.600244276</v>
      </c>
      <c r="CT21" s="445">
        <f t="shared" si="52"/>
        <v>0</v>
      </c>
      <c r="CU21" s="445">
        <f t="shared" si="53"/>
        <v>2500765431.2811012</v>
      </c>
      <c r="CV21" s="454">
        <f t="shared" si="54"/>
        <v>85.060048683030658</v>
      </c>
      <c r="CW21" s="463">
        <f t="shared" si="55"/>
        <v>33.372370458927392</v>
      </c>
      <c r="CY21" s="448">
        <f t="shared" si="56"/>
        <v>27236195.340898413</v>
      </c>
      <c r="CZ21" s="445">
        <v>0</v>
      </c>
      <c r="DA21" s="445">
        <f>Scenarios!BI22</f>
        <v>2163804.6591015854</v>
      </c>
      <c r="DB21" s="449">
        <f>Scenarios!AV22</f>
        <v>29400000</v>
      </c>
      <c r="DC21" s="448">
        <f t="shared" si="71"/>
        <v>2451257580.6808572</v>
      </c>
      <c r="DD21" s="445">
        <f t="shared" si="58"/>
        <v>0</v>
      </c>
      <c r="DE21" s="445">
        <f t="shared" si="59"/>
        <v>0</v>
      </c>
      <c r="DF21" s="445">
        <f t="shared" si="60"/>
        <v>2451257580.6808572</v>
      </c>
      <c r="DG21" s="454">
        <f t="shared" si="61"/>
        <v>83.376108186423707</v>
      </c>
      <c r="DH21" s="463">
        <f t="shared" si="62"/>
        <v>32.711695007247712</v>
      </c>
    </row>
    <row r="22" spans="13:112">
      <c r="M22" s="360">
        <v>2033</v>
      </c>
      <c r="N22" s="429"/>
      <c r="O22" s="448">
        <f t="shared" si="0"/>
        <v>33949761.173690118</v>
      </c>
      <c r="P22" s="445">
        <f>SUM(Scenarios!J23)</f>
        <v>3346763.8516159677</v>
      </c>
      <c r="Q22" s="445">
        <f>Scenarios!H23</f>
        <v>401611.66219391604</v>
      </c>
      <c r="R22" s="449">
        <f>Scenarios!E23</f>
        <v>37698136.6875</v>
      </c>
      <c r="S22" s="448">
        <f t="shared" si="63"/>
        <v>3055478505.6321106</v>
      </c>
      <c r="T22" s="445">
        <f t="shared" si="2"/>
        <v>87015860.142015159</v>
      </c>
      <c r="U22" s="445">
        <f t="shared" si="3"/>
        <v>0</v>
      </c>
      <c r="V22" s="445">
        <f t="shared" si="4"/>
        <v>3142494365.7741256</v>
      </c>
      <c r="W22" s="454">
        <f t="shared" si="5"/>
        <v>83.359408233460996</v>
      </c>
      <c r="X22" s="463">
        <f t="shared" si="6"/>
        <v>41.936154758018134</v>
      </c>
      <c r="Z22" s="448">
        <f t="shared" si="7"/>
        <v>33928323.018749952</v>
      </c>
      <c r="AA22" s="445">
        <f>SUM(Scenarios!O23)</f>
        <v>3317436.0285000443</v>
      </c>
      <c r="AB22" s="445">
        <f>Scenarios!M23</f>
        <v>452377.64025000611</v>
      </c>
      <c r="AC22" s="449">
        <f>Scenarios!E23</f>
        <v>37698136.6875</v>
      </c>
      <c r="AD22" s="448">
        <f t="shared" si="64"/>
        <v>3053549071.6874957</v>
      </c>
      <c r="AE22" s="445">
        <f t="shared" si="9"/>
        <v>86253336.741001144</v>
      </c>
      <c r="AF22" s="445">
        <f t="shared" si="10"/>
        <v>0</v>
      </c>
      <c r="AG22" s="445">
        <f t="shared" si="11"/>
        <v>3139802408.4284968</v>
      </c>
      <c r="AH22" s="454">
        <f t="shared" si="12"/>
        <v>83.287999999999911</v>
      </c>
      <c r="AI22" s="463">
        <f t="shared" si="13"/>
        <v>41.900230957779122</v>
      </c>
      <c r="AK22" s="448">
        <f t="shared" si="14"/>
        <v>33928323.018749952</v>
      </c>
      <c r="AL22" s="445">
        <v>0</v>
      </c>
      <c r="AM22" s="445">
        <f>Scenarios!R23</f>
        <v>3769813.6687500509</v>
      </c>
      <c r="AN22" s="449">
        <f>Scenarios!E23</f>
        <v>37698136.6875</v>
      </c>
      <c r="AO22" s="448">
        <f t="shared" si="65"/>
        <v>3053549071.6874957</v>
      </c>
      <c r="AP22" s="445">
        <f t="shared" si="16"/>
        <v>0</v>
      </c>
      <c r="AQ22" s="445">
        <f t="shared" si="17"/>
        <v>0</v>
      </c>
      <c r="AR22" s="445">
        <f t="shared" si="18"/>
        <v>3053549071.6874957</v>
      </c>
      <c r="AS22" s="454">
        <f t="shared" si="19"/>
        <v>80.999999999999886</v>
      </c>
      <c r="AT22" s="463">
        <f t="shared" si="20"/>
        <v>40.749192051437277</v>
      </c>
      <c r="AV22" s="448">
        <f t="shared" si="21"/>
        <v>30771674.397915006</v>
      </c>
      <c r="AW22" s="445">
        <f>SUM(Scenarios!AF23)</f>
        <v>3033468.3947187434</v>
      </c>
      <c r="AX22" s="445">
        <f>Scenarios!AD23</f>
        <v>364016.20736624917</v>
      </c>
      <c r="AY22" s="449">
        <f>Scenarios!AA23</f>
        <v>34169159</v>
      </c>
      <c r="AZ22" s="448">
        <f t="shared" si="66"/>
        <v>2769450695.8123503</v>
      </c>
      <c r="BA22" s="445">
        <f t="shared" si="23"/>
        <v>78870178.262687325</v>
      </c>
      <c r="BB22" s="445">
        <f t="shared" si="24"/>
        <v>0</v>
      </c>
      <c r="BC22" s="445">
        <f t="shared" si="25"/>
        <v>2848320874.0750375</v>
      </c>
      <c r="BD22" s="454">
        <f t="shared" si="26"/>
        <v>83.359408233460982</v>
      </c>
      <c r="BE22" s="463">
        <f t="shared" si="27"/>
        <v>38.010450003234737</v>
      </c>
      <c r="BG22" s="448">
        <f t="shared" si="28"/>
        <v>30752243.099999953</v>
      </c>
      <c r="BH22" s="445">
        <f>SUM(Scenarios!AK23)</f>
        <v>3006885.9920000406</v>
      </c>
      <c r="BI22" s="445">
        <f>Scenarios!AI23</f>
        <v>410029.90800000553</v>
      </c>
      <c r="BJ22" s="449">
        <f>Scenarios!AA23</f>
        <v>34169159</v>
      </c>
      <c r="BK22" s="448">
        <f t="shared" si="67"/>
        <v>2767701878.9999957</v>
      </c>
      <c r="BL22" s="445">
        <f t="shared" si="30"/>
        <v>78179035.792001054</v>
      </c>
      <c r="BM22" s="445">
        <f t="shared" si="31"/>
        <v>0</v>
      </c>
      <c r="BN22" s="445">
        <f t="shared" si="32"/>
        <v>2845880914.791997</v>
      </c>
      <c r="BO22" s="454">
        <f t="shared" si="33"/>
        <v>83.287999999999911</v>
      </c>
      <c r="BP22" s="463">
        <f t="shared" si="34"/>
        <v>37.977889082454318</v>
      </c>
      <c r="BR22" s="448">
        <f t="shared" si="35"/>
        <v>30752243.099999953</v>
      </c>
      <c r="BS22" s="445">
        <v>0</v>
      </c>
      <c r="BT22" s="445">
        <f>Scenarios!AN23</f>
        <v>3416915.900000046</v>
      </c>
      <c r="BU22" s="449">
        <f>Scenarios!AA23</f>
        <v>34169159</v>
      </c>
      <c r="BV22" s="448">
        <f t="shared" si="68"/>
        <v>2767701878.9999957</v>
      </c>
      <c r="BW22" s="445">
        <f t="shared" si="37"/>
        <v>0</v>
      </c>
      <c r="BX22" s="445">
        <f t="shared" si="38"/>
        <v>0</v>
      </c>
      <c r="BY22" s="445">
        <f t="shared" si="39"/>
        <v>2767701878.9999957</v>
      </c>
      <c r="BZ22" s="454">
        <f t="shared" si="40"/>
        <v>80.999999999999872</v>
      </c>
      <c r="CA22" s="463">
        <f t="shared" si="41"/>
        <v>36.934600610877908</v>
      </c>
      <c r="CC22" s="448">
        <f t="shared" si="42"/>
        <v>25756264.231740944</v>
      </c>
      <c r="CD22" s="445">
        <f>SUM(Scenarios!BA23)</f>
        <v>2539049.7930884417</v>
      </c>
      <c r="CE22" s="445">
        <f>Scenarios!AY23</f>
        <v>304685.97517061298</v>
      </c>
      <c r="CF22" s="449">
        <f>Scenarios!AV23</f>
        <v>28600000</v>
      </c>
      <c r="CG22" s="448">
        <f t="shared" si="69"/>
        <v>2318063780.8566852</v>
      </c>
      <c r="CH22" s="445">
        <f t="shared" si="44"/>
        <v>66015294.620299488</v>
      </c>
      <c r="CI22" s="445">
        <f t="shared" si="45"/>
        <v>0</v>
      </c>
      <c r="CJ22" s="445">
        <f t="shared" si="46"/>
        <v>2384079075.4769845</v>
      </c>
      <c r="CK22" s="454">
        <f t="shared" si="47"/>
        <v>83.359408233460996</v>
      </c>
      <c r="CL22" s="463">
        <f t="shared" si="48"/>
        <v>31.815207102185731</v>
      </c>
      <c r="CN22" s="448">
        <f t="shared" si="49"/>
        <v>25739999.999999963</v>
      </c>
      <c r="CO22" s="445">
        <f>SUM(Scenarios!BF23)</f>
        <v>2516800.0000000335</v>
      </c>
      <c r="CP22" s="445">
        <f>Scenarios!BD23</f>
        <v>343200.0000000046</v>
      </c>
      <c r="CQ22" s="449">
        <f>Scenarios!AV23</f>
        <v>28600000</v>
      </c>
      <c r="CR22" s="448">
        <f t="shared" si="70"/>
        <v>2316599999.9999967</v>
      </c>
      <c r="CS22" s="445">
        <f t="shared" si="51"/>
        <v>65436800.000000872</v>
      </c>
      <c r="CT22" s="445">
        <f t="shared" si="52"/>
        <v>0</v>
      </c>
      <c r="CU22" s="445">
        <f t="shared" si="53"/>
        <v>2382036799.9999976</v>
      </c>
      <c r="CV22" s="454">
        <f t="shared" si="54"/>
        <v>83.287999999999911</v>
      </c>
      <c r="CW22" s="463">
        <f t="shared" si="55"/>
        <v>31.787953217057339</v>
      </c>
      <c r="CY22" s="448">
        <f t="shared" si="56"/>
        <v>25739999.999999963</v>
      </c>
      <c r="CZ22" s="445">
        <v>0</v>
      </c>
      <c r="DA22" s="445">
        <f>Scenarios!BI23</f>
        <v>2860000.0000000386</v>
      </c>
      <c r="DB22" s="449">
        <f>Scenarios!AV23</f>
        <v>28600000</v>
      </c>
      <c r="DC22" s="448">
        <f t="shared" si="71"/>
        <v>2316599999.9999967</v>
      </c>
      <c r="DD22" s="445">
        <f t="shared" si="58"/>
        <v>0</v>
      </c>
      <c r="DE22" s="445">
        <f t="shared" si="59"/>
        <v>0</v>
      </c>
      <c r="DF22" s="445">
        <f t="shared" si="60"/>
        <v>2316599999.9999967</v>
      </c>
      <c r="DG22" s="454">
        <f t="shared" si="61"/>
        <v>80.999999999999886</v>
      </c>
      <c r="DH22" s="463">
        <f t="shared" si="62"/>
        <v>30.914708128201461</v>
      </c>
    </row>
    <row r="23" spans="13:112">
      <c r="M23" s="360">
        <v>2034</v>
      </c>
      <c r="N23" s="429"/>
      <c r="O23" s="448">
        <f t="shared" si="0"/>
        <v>33985355.267889485</v>
      </c>
      <c r="P23" s="445">
        <f>SUM(Scenarios!J24)</f>
        <v>3674631.3456343845</v>
      </c>
      <c r="Q23" s="445">
        <f>Scenarios!H24</f>
        <v>440955.76147612609</v>
      </c>
      <c r="R23" s="449">
        <f>Scenarios!E24</f>
        <v>38100942.375</v>
      </c>
      <c r="S23" s="448">
        <f t="shared" si="63"/>
        <v>3058681974.1100535</v>
      </c>
      <c r="T23" s="445">
        <f t="shared" si="2"/>
        <v>95540414.986494005</v>
      </c>
      <c r="U23" s="445">
        <f t="shared" si="3"/>
        <v>0</v>
      </c>
      <c r="V23" s="445">
        <f t="shared" si="4"/>
        <v>3154222389.0965476</v>
      </c>
      <c r="W23" s="454">
        <f t="shared" si="5"/>
        <v>82.785941566794321</v>
      </c>
      <c r="X23" s="463">
        <f t="shared" si="6"/>
        <v>42.092663614934914</v>
      </c>
      <c r="Z23" s="448">
        <f t="shared" si="7"/>
        <v>32976486.565884992</v>
      </c>
      <c r="AA23" s="445">
        <f>SUM(Scenarios!O24)</f>
        <v>4509521.1120212087</v>
      </c>
      <c r="AB23" s="445">
        <f>Scenarios!M24</f>
        <v>614934.69709380111</v>
      </c>
      <c r="AC23" s="449">
        <f>Scenarios!E24</f>
        <v>38100942.375</v>
      </c>
      <c r="AD23" s="448">
        <f t="shared" si="64"/>
        <v>2967883790.9296494</v>
      </c>
      <c r="AE23" s="445">
        <f t="shared" si="9"/>
        <v>117247548.91255143</v>
      </c>
      <c r="AF23" s="445">
        <f t="shared" si="10"/>
        <v>0</v>
      </c>
      <c r="AG23" s="445">
        <f t="shared" si="11"/>
        <v>3085131339.8422008</v>
      </c>
      <c r="AH23" s="454">
        <f t="shared" si="12"/>
        <v>80.972573052852226</v>
      </c>
      <c r="AI23" s="463">
        <f t="shared" si="13"/>
        <v>41.170653072774272</v>
      </c>
      <c r="AK23" s="448">
        <f t="shared" si="14"/>
        <v>32976486.565884992</v>
      </c>
      <c r="AL23" s="445">
        <v>0</v>
      </c>
      <c r="AM23" s="445">
        <f>Scenarios!R24</f>
        <v>5124455.8091150094</v>
      </c>
      <c r="AN23" s="449">
        <f>Scenarios!E24</f>
        <v>38100942.375</v>
      </c>
      <c r="AO23" s="448">
        <f t="shared" si="65"/>
        <v>2967883790.9296494</v>
      </c>
      <c r="AP23" s="445">
        <f t="shared" si="16"/>
        <v>0</v>
      </c>
      <c r="AQ23" s="445">
        <f t="shared" si="17"/>
        <v>0</v>
      </c>
      <c r="AR23" s="445">
        <f t="shared" si="18"/>
        <v>2967883790.9296494</v>
      </c>
      <c r="AS23" s="454">
        <f t="shared" si="19"/>
        <v>77.895285678735121</v>
      </c>
      <c r="AT23" s="463">
        <f t="shared" si="20"/>
        <v>39.606000671246797</v>
      </c>
      <c r="AV23" s="448">
        <f t="shared" si="21"/>
        <v>30621912.86678122</v>
      </c>
      <c r="AW23" s="445">
        <f>SUM(Scenarios!AF24)</f>
        <v>3310962.6189453392</v>
      </c>
      <c r="AX23" s="445">
        <f>Scenarios!AD24</f>
        <v>397315.51427344058</v>
      </c>
      <c r="AY23" s="449">
        <f>Scenarios!AA24</f>
        <v>34330191</v>
      </c>
      <c r="AZ23" s="448">
        <f t="shared" si="66"/>
        <v>2755972158.0103097</v>
      </c>
      <c r="BA23" s="445">
        <f t="shared" si="23"/>
        <v>86085028.092578813</v>
      </c>
      <c r="BB23" s="445">
        <f t="shared" si="24"/>
        <v>0</v>
      </c>
      <c r="BC23" s="445">
        <f t="shared" si="25"/>
        <v>2842057186.1028886</v>
      </c>
      <c r="BD23" s="454">
        <f t="shared" si="26"/>
        <v>82.785941566794335</v>
      </c>
      <c r="BE23" s="463">
        <f t="shared" si="27"/>
        <v>37.926861949420903</v>
      </c>
      <c r="BG23" s="448">
        <f t="shared" si="28"/>
        <v>29712889.281672675</v>
      </c>
      <c r="BH23" s="445">
        <f>SUM(Scenarios!AK24)</f>
        <v>4063225.5121280444</v>
      </c>
      <c r="BI23" s="445">
        <f>Scenarios!AI24</f>
        <v>554076.20619927871</v>
      </c>
      <c r="BJ23" s="449">
        <f>Scenarios!AA24</f>
        <v>34330191</v>
      </c>
      <c r="BK23" s="448">
        <f t="shared" si="67"/>
        <v>2674160035.3505406</v>
      </c>
      <c r="BL23" s="445">
        <f t="shared" si="30"/>
        <v>105643863.31532915</v>
      </c>
      <c r="BM23" s="445">
        <f t="shared" si="31"/>
        <v>0</v>
      </c>
      <c r="BN23" s="445">
        <f t="shared" si="32"/>
        <v>2779803898.6658697</v>
      </c>
      <c r="BO23" s="454">
        <f t="shared" si="33"/>
        <v>80.972573052852212</v>
      </c>
      <c r="BP23" s="463">
        <f t="shared" si="34"/>
        <v>37.096100397518775</v>
      </c>
      <c r="BR23" s="448">
        <f t="shared" si="35"/>
        <v>29712889.281672679</v>
      </c>
      <c r="BS23" s="445">
        <v>0</v>
      </c>
      <c r="BT23" s="445">
        <f>Scenarios!AN24</f>
        <v>4617301.718327323</v>
      </c>
      <c r="BU23" s="449">
        <f>Scenarios!AA24</f>
        <v>34330191</v>
      </c>
      <c r="BV23" s="448">
        <f t="shared" si="68"/>
        <v>2674160035.3505411</v>
      </c>
      <c r="BW23" s="445">
        <f t="shared" si="37"/>
        <v>0</v>
      </c>
      <c r="BX23" s="445">
        <f t="shared" si="38"/>
        <v>0</v>
      </c>
      <c r="BY23" s="445">
        <f t="shared" si="39"/>
        <v>2674160035.3505411</v>
      </c>
      <c r="BZ23" s="454">
        <f t="shared" si="40"/>
        <v>77.895285678735121</v>
      </c>
      <c r="CA23" s="463">
        <f t="shared" si="41"/>
        <v>35.686297583079948</v>
      </c>
      <c r="CC23" s="448">
        <f t="shared" si="42"/>
        <v>24797099.954862412</v>
      </c>
      <c r="CD23" s="445">
        <f>SUM(Scenarios!BA24)</f>
        <v>2681160.7545871339</v>
      </c>
      <c r="CE23" s="445">
        <f>Scenarios!AY24</f>
        <v>321739.29055045597</v>
      </c>
      <c r="CF23" s="449">
        <f>Scenarios!AV24</f>
        <v>27800000</v>
      </c>
      <c r="CG23" s="448">
        <f t="shared" si="69"/>
        <v>2231738995.9376173</v>
      </c>
      <c r="CH23" s="445">
        <f t="shared" si="44"/>
        <v>69710179.619265482</v>
      </c>
      <c r="CI23" s="445">
        <f t="shared" si="45"/>
        <v>0</v>
      </c>
      <c r="CJ23" s="445">
        <f t="shared" si="46"/>
        <v>2301449175.5568829</v>
      </c>
      <c r="CK23" s="454">
        <f t="shared" si="47"/>
        <v>82.785941566794349</v>
      </c>
      <c r="CL23" s="463">
        <f t="shared" si="48"/>
        <v>30.712522461465518</v>
      </c>
      <c r="CN23" s="448">
        <f t="shared" si="49"/>
        <v>24060988.242987067</v>
      </c>
      <c r="CO23" s="445">
        <f>SUM(Scenarios!BF24)</f>
        <v>3290330.346171381</v>
      </c>
      <c r="CP23" s="445">
        <f>Scenarios!BD24</f>
        <v>448681.41084155196</v>
      </c>
      <c r="CQ23" s="449">
        <f>Scenarios!AV24</f>
        <v>27800000</v>
      </c>
      <c r="CR23" s="448">
        <f t="shared" si="70"/>
        <v>2165488941.8688359</v>
      </c>
      <c r="CS23" s="445">
        <f t="shared" si="51"/>
        <v>85548589.000455901</v>
      </c>
      <c r="CT23" s="445">
        <f t="shared" si="52"/>
        <v>0</v>
      </c>
      <c r="CU23" s="445">
        <f t="shared" si="53"/>
        <v>2251037530.8692918</v>
      </c>
      <c r="CV23" s="454">
        <f t="shared" si="54"/>
        <v>80.972573052852226</v>
      </c>
      <c r="CW23" s="463">
        <f t="shared" si="55"/>
        <v>30.039786002094253</v>
      </c>
      <c r="CY23" s="448">
        <f t="shared" si="56"/>
        <v>24060988.242987067</v>
      </c>
      <c r="CZ23" s="445">
        <v>0</v>
      </c>
      <c r="DA23" s="445">
        <f>Scenarios!BI24</f>
        <v>3739011.7570129326</v>
      </c>
      <c r="DB23" s="449">
        <f>Scenarios!AV24</f>
        <v>27800000</v>
      </c>
      <c r="DC23" s="448">
        <f t="shared" si="71"/>
        <v>2165488941.8688359</v>
      </c>
      <c r="DD23" s="445">
        <f t="shared" si="58"/>
        <v>0</v>
      </c>
      <c r="DE23" s="445">
        <f t="shared" si="59"/>
        <v>0</v>
      </c>
      <c r="DF23" s="445">
        <f t="shared" si="60"/>
        <v>2165488941.8688359</v>
      </c>
      <c r="DG23" s="454">
        <f t="shared" si="61"/>
        <v>77.895285678735107</v>
      </c>
      <c r="DH23" s="463">
        <f t="shared" si="62"/>
        <v>28.898151857343944</v>
      </c>
    </row>
    <row r="24" spans="13:112">
      <c r="M24" s="360">
        <v>2035</v>
      </c>
      <c r="N24" s="429"/>
      <c r="O24" s="448">
        <f t="shared" si="0"/>
        <v>33999657.113138862</v>
      </c>
      <c r="P24" s="445">
        <f>SUM(Scenarios!J25)</f>
        <v>4021509.7762153014</v>
      </c>
      <c r="Q24" s="445">
        <f>Scenarios!H25</f>
        <v>482581.17314583616</v>
      </c>
      <c r="R24" s="449">
        <f>Scenarios!E25</f>
        <v>38503748.0625</v>
      </c>
      <c r="S24" s="448">
        <f t="shared" si="63"/>
        <v>3059969140.1824975</v>
      </c>
      <c r="T24" s="445">
        <f t="shared" si="2"/>
        <v>104559254.18159783</v>
      </c>
      <c r="U24" s="445">
        <f t="shared" si="3"/>
        <v>0</v>
      </c>
      <c r="V24" s="445">
        <f t="shared" si="4"/>
        <v>3164528394.3640952</v>
      </c>
      <c r="W24" s="454">
        <f t="shared" si="5"/>
        <v>82.187541566794323</v>
      </c>
      <c r="X24" s="463">
        <f t="shared" si="6"/>
        <v>42.230195836645152</v>
      </c>
      <c r="Z24" s="448">
        <f t="shared" si="7"/>
        <v>31629547.123032756</v>
      </c>
      <c r="AA24" s="445">
        <f>SUM(Scenarios!O25)</f>
        <v>6049296.8267311752</v>
      </c>
      <c r="AB24" s="445">
        <f>Scenarios!M25</f>
        <v>824904.11273606936</v>
      </c>
      <c r="AC24" s="449">
        <f>Scenarios!E25</f>
        <v>38503748.0625</v>
      </c>
      <c r="AD24" s="448">
        <f t="shared" si="64"/>
        <v>2846659241.072948</v>
      </c>
      <c r="AE24" s="445">
        <f t="shared" si="9"/>
        <v>157281717.49501055</v>
      </c>
      <c r="AF24" s="445">
        <f t="shared" si="10"/>
        <v>0</v>
      </c>
      <c r="AG24" s="445">
        <f t="shared" si="11"/>
        <v>3003940958.5679584</v>
      </c>
      <c r="AH24" s="454">
        <f t="shared" si="12"/>
        <v>78.01684536507733</v>
      </c>
      <c r="AI24" s="463">
        <f t="shared" si="13"/>
        <v>40.087178610238404</v>
      </c>
      <c r="AK24" s="448">
        <f t="shared" si="14"/>
        <v>31629547.123032756</v>
      </c>
      <c r="AL24" s="445">
        <v>0</v>
      </c>
      <c r="AM24" s="445">
        <f>Scenarios!R25</f>
        <v>6874200.9394672448</v>
      </c>
      <c r="AN24" s="449">
        <f>Scenarios!E25</f>
        <v>38503748.0625</v>
      </c>
      <c r="AO24" s="448">
        <f t="shared" si="65"/>
        <v>2846659241.072948</v>
      </c>
      <c r="AP24" s="445">
        <f t="shared" si="16"/>
        <v>0</v>
      </c>
      <c r="AQ24" s="445">
        <f t="shared" si="17"/>
        <v>0</v>
      </c>
      <c r="AR24" s="445">
        <f t="shared" si="18"/>
        <v>2846659241.072948</v>
      </c>
      <c r="AS24" s="454">
        <f t="shared" si="19"/>
        <v>73.932003618250306</v>
      </c>
      <c r="AT24" s="463">
        <f t="shared" si="20"/>
        <v>37.988275739539759</v>
      </c>
      <c r="AV24" s="448">
        <f t="shared" si="21"/>
        <v>30456510.664588131</v>
      </c>
      <c r="AW24" s="445">
        <f>SUM(Scenarios!AF25)</f>
        <v>3602423.2532543689</v>
      </c>
      <c r="AX24" s="445">
        <f>Scenarios!AD25</f>
        <v>432290.79039052426</v>
      </c>
      <c r="AY24" s="449">
        <f>Scenarios!AA25</f>
        <v>34491224.708233021</v>
      </c>
      <c r="AZ24" s="448">
        <f t="shared" si="66"/>
        <v>2741085959.812932</v>
      </c>
      <c r="BA24" s="445">
        <f t="shared" si="23"/>
        <v>93663004.584613591</v>
      </c>
      <c r="BB24" s="445">
        <f t="shared" si="24"/>
        <v>0</v>
      </c>
      <c r="BC24" s="445">
        <f t="shared" si="25"/>
        <v>2834748964.3975458</v>
      </c>
      <c r="BD24" s="454">
        <f t="shared" si="26"/>
        <v>82.187541566794351</v>
      </c>
      <c r="BE24" s="463">
        <f t="shared" si="27"/>
        <v>37.829334736713982</v>
      </c>
      <c r="BG24" s="448">
        <f t="shared" si="28"/>
        <v>28333392.776966311</v>
      </c>
      <c r="BH24" s="445">
        <f>SUM(Scenarios!AK25)</f>
        <v>5418892.0995147061</v>
      </c>
      <c r="BI24" s="445">
        <f>Scenarios!AI25</f>
        <v>738939.83175200538</v>
      </c>
      <c r="BJ24" s="449">
        <f>Scenarios!AA25</f>
        <v>34491224.708233021</v>
      </c>
      <c r="BK24" s="448">
        <f t="shared" si="67"/>
        <v>2550005349.9269681</v>
      </c>
      <c r="BL24" s="445">
        <f t="shared" si="30"/>
        <v>140891194.58738235</v>
      </c>
      <c r="BM24" s="445">
        <f t="shared" si="31"/>
        <v>0</v>
      </c>
      <c r="BN24" s="445">
        <f t="shared" si="32"/>
        <v>2690896544.5143504</v>
      </c>
      <c r="BO24" s="454">
        <f t="shared" si="33"/>
        <v>78.016845365077344</v>
      </c>
      <c r="BP24" s="463">
        <f t="shared" si="34"/>
        <v>35.909643994149668</v>
      </c>
      <c r="BR24" s="448">
        <f t="shared" si="35"/>
        <v>28333392.776966311</v>
      </c>
      <c r="BS24" s="445">
        <v>0</v>
      </c>
      <c r="BT24" s="445">
        <f>Scenarios!AN25</f>
        <v>6157831.9312667111</v>
      </c>
      <c r="BU24" s="449">
        <f>Scenarios!AA25</f>
        <v>34491224.708233021</v>
      </c>
      <c r="BV24" s="448">
        <f t="shared" si="68"/>
        <v>2550005349.9269681</v>
      </c>
      <c r="BW24" s="445">
        <f t="shared" si="37"/>
        <v>0</v>
      </c>
      <c r="BX24" s="445">
        <f t="shared" si="38"/>
        <v>0</v>
      </c>
      <c r="BY24" s="445">
        <f t="shared" si="39"/>
        <v>2550005349.9269681</v>
      </c>
      <c r="BZ24" s="454">
        <f t="shared" si="40"/>
        <v>73.932003618250306</v>
      </c>
      <c r="CA24" s="463">
        <f t="shared" si="41"/>
        <v>34.029470395555798</v>
      </c>
      <c r="CC24" s="448">
        <f t="shared" si="42"/>
        <v>23841594.344650544</v>
      </c>
      <c r="CD24" s="445">
        <f>SUM(Scenarios!BA25)</f>
        <v>2820005.0494191581</v>
      </c>
      <c r="CE24" s="445">
        <f>Scenarios!AY25</f>
        <v>338400.60593029897</v>
      </c>
      <c r="CF24" s="449">
        <f>Scenarios!AV25</f>
        <v>27000000</v>
      </c>
      <c r="CG24" s="448">
        <f t="shared" si="69"/>
        <v>2145743491.018549</v>
      </c>
      <c r="CH24" s="445">
        <f t="shared" si="44"/>
        <v>73320131.284898117</v>
      </c>
      <c r="CI24" s="445">
        <f t="shared" si="45"/>
        <v>0</v>
      </c>
      <c r="CJ24" s="445">
        <f t="shared" si="46"/>
        <v>2219063622.3034472</v>
      </c>
      <c r="CK24" s="454">
        <f t="shared" si="47"/>
        <v>82.187541566794337</v>
      </c>
      <c r="CL24" s="463">
        <f t="shared" si="48"/>
        <v>29.613098593378513</v>
      </c>
      <c r="CN24" s="448">
        <f t="shared" si="49"/>
        <v>22179601.085475091</v>
      </c>
      <c r="CO24" s="445">
        <f>SUM(Scenarios!BF25)</f>
        <v>4241951.0447819205</v>
      </c>
      <c r="CP24" s="445">
        <f>Scenarios!BD25</f>
        <v>578447.86974298919</v>
      </c>
      <c r="CQ24" s="449">
        <f>Scenarios!AV25</f>
        <v>27000000</v>
      </c>
      <c r="CR24" s="448">
        <f t="shared" si="70"/>
        <v>1996164097.6927581</v>
      </c>
      <c r="CS24" s="445">
        <f t="shared" si="51"/>
        <v>110290727.16432993</v>
      </c>
      <c r="CT24" s="445">
        <f t="shared" si="52"/>
        <v>0</v>
      </c>
      <c r="CU24" s="445">
        <f t="shared" si="53"/>
        <v>2106454824.8570881</v>
      </c>
      <c r="CV24" s="454">
        <f t="shared" si="54"/>
        <v>78.01684536507733</v>
      </c>
      <c r="CW24" s="463">
        <f t="shared" si="55"/>
        <v>28.110349691659632</v>
      </c>
      <c r="CY24" s="448">
        <f t="shared" si="56"/>
        <v>22179601.085475091</v>
      </c>
      <c r="CZ24" s="445">
        <v>0</v>
      </c>
      <c r="DA24" s="445">
        <f>Scenarios!BI25</f>
        <v>4820398.91452491</v>
      </c>
      <c r="DB24" s="449">
        <f>Scenarios!AV25</f>
        <v>27000000</v>
      </c>
      <c r="DC24" s="448">
        <f t="shared" si="71"/>
        <v>1996164097.6927581</v>
      </c>
      <c r="DD24" s="445">
        <f t="shared" si="58"/>
        <v>0</v>
      </c>
      <c r="DE24" s="445">
        <f t="shared" si="59"/>
        <v>0</v>
      </c>
      <c r="DF24" s="445">
        <f t="shared" si="60"/>
        <v>1996164097.6927581</v>
      </c>
      <c r="DG24" s="454">
        <f t="shared" si="61"/>
        <v>73.932003618250306</v>
      </c>
      <c r="DH24" s="463">
        <f t="shared" si="62"/>
        <v>26.638535118780254</v>
      </c>
    </row>
    <row r="25" spans="13:112">
      <c r="M25" s="360">
        <v>2036</v>
      </c>
      <c r="N25" s="429"/>
      <c r="O25" s="448">
        <f t="shared" si="0"/>
        <v>33992215.567068234</v>
      </c>
      <c r="P25" s="445">
        <f>SUM(Scenarios!J26)</f>
        <v>4387801.9490462188</v>
      </c>
      <c r="Q25" s="445">
        <f>Scenarios!H26</f>
        <v>526536.23388554621</v>
      </c>
      <c r="R25" s="449">
        <f>Scenarios!E26</f>
        <v>38906553.75</v>
      </c>
      <c r="S25" s="448">
        <f t="shared" si="63"/>
        <v>3059299401.0361409</v>
      </c>
      <c r="T25" s="445">
        <f t="shared" si="2"/>
        <v>114082850.67520168</v>
      </c>
      <c r="U25" s="445">
        <f t="shared" si="3"/>
        <v>0</v>
      </c>
      <c r="V25" s="445">
        <f t="shared" si="4"/>
        <v>3173382251.7113428</v>
      </c>
      <c r="W25" s="454">
        <f t="shared" si="5"/>
        <v>81.564208233461002</v>
      </c>
      <c r="X25" s="463">
        <f t="shared" si="6"/>
        <v>42.348349344242017</v>
      </c>
      <c r="Z25" s="448">
        <f t="shared" si="7"/>
        <v>29837250.415324766</v>
      </c>
      <c r="AA25" s="445">
        <f>SUM(Scenarios!O26)</f>
        <v>7980986.9345142068</v>
      </c>
      <c r="AB25" s="445">
        <f>Scenarios!M26</f>
        <v>1088316.4001610281</v>
      </c>
      <c r="AC25" s="449">
        <f>Scenarios!E26</f>
        <v>38906553.75</v>
      </c>
      <c r="AD25" s="448">
        <f t="shared" si="64"/>
        <v>2685352537.3792291</v>
      </c>
      <c r="AE25" s="445">
        <f t="shared" si="9"/>
        <v>207505660.29736939</v>
      </c>
      <c r="AF25" s="445">
        <f t="shared" si="10"/>
        <v>0</v>
      </c>
      <c r="AG25" s="445">
        <f t="shared" si="11"/>
        <v>2892858197.6765985</v>
      </c>
      <c r="AH25" s="454">
        <f t="shared" si="12"/>
        <v>74.354007714615392</v>
      </c>
      <c r="AI25" s="463">
        <f t="shared" si="13"/>
        <v>38.604794456292453</v>
      </c>
      <c r="AK25" s="448">
        <f t="shared" si="14"/>
        <v>29837250.415324762</v>
      </c>
      <c r="AL25" s="445">
        <v>0</v>
      </c>
      <c r="AM25" s="445">
        <f>Scenarios!R26</f>
        <v>9069303.3346752357</v>
      </c>
      <c r="AN25" s="449">
        <f>Scenarios!E26</f>
        <v>38906553.75</v>
      </c>
      <c r="AO25" s="448">
        <f t="shared" si="65"/>
        <v>2685352537.3792286</v>
      </c>
      <c r="AP25" s="445">
        <f t="shared" si="16"/>
        <v>0</v>
      </c>
      <c r="AQ25" s="445">
        <f t="shared" si="17"/>
        <v>0</v>
      </c>
      <c r="AR25" s="445">
        <f t="shared" si="18"/>
        <v>2685352537.3792286</v>
      </c>
      <c r="AS25" s="454">
        <f t="shared" si="19"/>
        <v>69.020570535092133</v>
      </c>
      <c r="AT25" s="463">
        <f t="shared" si="20"/>
        <v>35.835659982044454</v>
      </c>
      <c r="AV25" s="448">
        <f t="shared" si="21"/>
        <v>30293143.727947265</v>
      </c>
      <c r="AW25" s="445">
        <f>SUM(Scenarios!AF26)</f>
        <v>3910316.3143327986</v>
      </c>
      <c r="AX25" s="445">
        <f>Scenarios!AD26</f>
        <v>469237.9577199358</v>
      </c>
      <c r="AY25" s="449">
        <f>Scenarios!AA26</f>
        <v>34672698</v>
      </c>
      <c r="AZ25" s="448">
        <f t="shared" si="66"/>
        <v>2726382935.515254</v>
      </c>
      <c r="BA25" s="445">
        <f t="shared" si="23"/>
        <v>101668224.17265277</v>
      </c>
      <c r="BB25" s="445">
        <f t="shared" si="24"/>
        <v>0</v>
      </c>
      <c r="BC25" s="445">
        <f t="shared" si="25"/>
        <v>2828051159.6879067</v>
      </c>
      <c r="BD25" s="454">
        <f t="shared" si="26"/>
        <v>81.564208233461002</v>
      </c>
      <c r="BE25" s="463">
        <f t="shared" si="27"/>
        <v>37.739953454792982</v>
      </c>
      <c r="BG25" s="448">
        <f t="shared" si="28"/>
        <v>26590326.643899426</v>
      </c>
      <c r="BH25" s="445">
        <f>SUM(Scenarios!AK26)</f>
        <v>7112486.7933685044</v>
      </c>
      <c r="BI25" s="445">
        <f>Scenarios!AI26</f>
        <v>969884.56273206871</v>
      </c>
      <c r="BJ25" s="449">
        <f>Scenarios!AA26</f>
        <v>34672698</v>
      </c>
      <c r="BK25" s="448">
        <f t="shared" si="67"/>
        <v>2393129397.9509482</v>
      </c>
      <c r="BL25" s="445">
        <f t="shared" si="30"/>
        <v>184924656.62758112</v>
      </c>
      <c r="BM25" s="445">
        <f t="shared" si="31"/>
        <v>0</v>
      </c>
      <c r="BN25" s="445">
        <f t="shared" si="32"/>
        <v>2578054054.5785294</v>
      </c>
      <c r="BO25" s="454">
        <f t="shared" si="33"/>
        <v>74.354007714615378</v>
      </c>
      <c r="BP25" s="463">
        <f t="shared" si="34"/>
        <v>34.403776498325868</v>
      </c>
      <c r="BR25" s="448">
        <f t="shared" si="35"/>
        <v>26590326.643899426</v>
      </c>
      <c r="BS25" s="445">
        <v>0</v>
      </c>
      <c r="BT25" s="445">
        <f>Scenarios!AN26</f>
        <v>8082371.3561005732</v>
      </c>
      <c r="BU25" s="449">
        <f>Scenarios!AA26</f>
        <v>34672698</v>
      </c>
      <c r="BV25" s="448">
        <f t="shared" si="68"/>
        <v>2393129397.9509482</v>
      </c>
      <c r="BW25" s="445">
        <f t="shared" si="37"/>
        <v>0</v>
      </c>
      <c r="BX25" s="445">
        <f t="shared" si="38"/>
        <v>0</v>
      </c>
      <c r="BY25" s="445">
        <f t="shared" si="39"/>
        <v>2393129397.9509482</v>
      </c>
      <c r="BZ25" s="454">
        <f t="shared" si="40"/>
        <v>69.020570535092148</v>
      </c>
      <c r="CA25" s="463">
        <f t="shared" si="41"/>
        <v>31.935982409855889</v>
      </c>
      <c r="CC25" s="448">
        <f t="shared" si="42"/>
        <v>22890643.401105341</v>
      </c>
      <c r="CD25" s="445">
        <f>SUM(Scenarios!BA26)</f>
        <v>2954782.6775845168</v>
      </c>
      <c r="CE25" s="445">
        <f>Scenarios!AY26</f>
        <v>354573.92131014203</v>
      </c>
      <c r="CF25" s="449">
        <f>Scenarios!AV26</f>
        <v>26200000</v>
      </c>
      <c r="CG25" s="448">
        <f t="shared" si="69"/>
        <v>2060157906.0994806</v>
      </c>
      <c r="CH25" s="445">
        <f t="shared" si="44"/>
        <v>76824349.617197439</v>
      </c>
      <c r="CI25" s="445">
        <f t="shared" si="45"/>
        <v>0</v>
      </c>
      <c r="CJ25" s="445">
        <f t="shared" si="46"/>
        <v>2136982255.7166781</v>
      </c>
      <c r="CK25" s="454">
        <f t="shared" si="47"/>
        <v>81.564208233461002</v>
      </c>
      <c r="CL25" s="463">
        <f t="shared" si="48"/>
        <v>28.517734054487949</v>
      </c>
      <c r="CN25" s="448">
        <f t="shared" si="49"/>
        <v>20092654.977993488</v>
      </c>
      <c r="CO25" s="445">
        <f>SUM(Scenarios!BF26)</f>
        <v>5374463.6193657275</v>
      </c>
      <c r="CP25" s="445">
        <f>Scenarios!BD26</f>
        <v>732881.40264078102</v>
      </c>
      <c r="CQ25" s="449">
        <f>Scenarios!AV26</f>
        <v>26200000</v>
      </c>
      <c r="CR25" s="448">
        <f t="shared" si="70"/>
        <v>1808338948.0194139</v>
      </c>
      <c r="CS25" s="445">
        <f t="shared" si="51"/>
        <v>139736054.10350892</v>
      </c>
      <c r="CT25" s="445">
        <f t="shared" si="52"/>
        <v>0</v>
      </c>
      <c r="CU25" s="445">
        <f t="shared" si="53"/>
        <v>1948075002.1229229</v>
      </c>
      <c r="CV25" s="454">
        <f t="shared" si="54"/>
        <v>74.354007714615378</v>
      </c>
      <c r="CW25" s="463">
        <f t="shared" si="55"/>
        <v>25.996792757694767</v>
      </c>
      <c r="CY25" s="448">
        <f t="shared" si="56"/>
        <v>20092654.977993492</v>
      </c>
      <c r="CZ25" s="445">
        <v>0</v>
      </c>
      <c r="DA25" s="445">
        <f>Scenarios!BI26</f>
        <v>6107345.0220065089</v>
      </c>
      <c r="DB25" s="449">
        <f>Scenarios!AV26</f>
        <v>26200000</v>
      </c>
      <c r="DC25" s="448">
        <f t="shared" si="71"/>
        <v>1808338948.0194142</v>
      </c>
      <c r="DD25" s="445">
        <f t="shared" si="58"/>
        <v>0</v>
      </c>
      <c r="DE25" s="445">
        <f t="shared" si="59"/>
        <v>0</v>
      </c>
      <c r="DF25" s="445">
        <f t="shared" si="60"/>
        <v>1808338948.0194142</v>
      </c>
      <c r="DG25" s="454">
        <f t="shared" si="61"/>
        <v>69.020570535092148</v>
      </c>
      <c r="DH25" s="463">
        <f t="shared" si="62"/>
        <v>24.132034349857179</v>
      </c>
    </row>
    <row r="26" spans="13:112">
      <c r="M26" s="360">
        <v>2037</v>
      </c>
      <c r="N26" s="429"/>
      <c r="O26" s="446">
        <f t="shared" si="0"/>
        <v>33962579.487307608</v>
      </c>
      <c r="P26" s="438">
        <f>SUM(Scenarios!J27)</f>
        <v>4773910.6698146351</v>
      </c>
      <c r="Q26" s="438">
        <f>Scenarios!H27</f>
        <v>572869.28037775622</v>
      </c>
      <c r="R26" s="447">
        <f>Scenarios!E27</f>
        <v>39309359.4375</v>
      </c>
      <c r="S26" s="446">
        <f t="shared" si="63"/>
        <v>3056632153.8576846</v>
      </c>
      <c r="T26" s="438">
        <f t="shared" si="2"/>
        <v>124121677.4151805</v>
      </c>
      <c r="U26" s="438">
        <f t="shared" si="3"/>
        <v>0</v>
      </c>
      <c r="V26" s="438">
        <f t="shared" si="4"/>
        <v>3180753831.2728653</v>
      </c>
      <c r="W26" s="453">
        <f t="shared" si="5"/>
        <v>80.915941566794331</v>
      </c>
      <c r="X26" s="463">
        <f t="shared" si="6"/>
        <v>42.446722058818672</v>
      </c>
      <c r="Z26" s="446">
        <f t="shared" si="7"/>
        <v>27583392.08781743</v>
      </c>
      <c r="AA26" s="438">
        <f>SUM(Scenarios!O27)</f>
        <v>10318851.26772066</v>
      </c>
      <c r="AB26" s="438">
        <f>Scenarios!M27</f>
        <v>1407116.0819619084</v>
      </c>
      <c r="AC26" s="447">
        <f>Scenarios!E27</f>
        <v>39309359.4375</v>
      </c>
      <c r="AD26" s="446">
        <f t="shared" si="64"/>
        <v>2482505287.9035687</v>
      </c>
      <c r="AE26" s="438">
        <f t="shared" si="9"/>
        <v>268290132.96073717</v>
      </c>
      <c r="AF26" s="438">
        <f t="shared" si="10"/>
        <v>0</v>
      </c>
      <c r="AG26" s="438">
        <f t="shared" si="11"/>
        <v>2750795420.864306</v>
      </c>
      <c r="AH26" s="453">
        <f t="shared" si="12"/>
        <v>69.978128878898147</v>
      </c>
      <c r="AI26" s="463">
        <f t="shared" si="13"/>
        <v>36.708986254171307</v>
      </c>
      <c r="AK26" s="446">
        <f t="shared" si="14"/>
        <v>27583392.08781743</v>
      </c>
      <c r="AL26" s="438">
        <v>0</v>
      </c>
      <c r="AM26" s="438">
        <f>Scenarios!R27</f>
        <v>11725967.34968257</v>
      </c>
      <c r="AN26" s="447">
        <f>Scenarios!E27</f>
        <v>39309359.4375</v>
      </c>
      <c r="AO26" s="446">
        <f t="shared" si="65"/>
        <v>2482505287.9035687</v>
      </c>
      <c r="AP26" s="438">
        <f t="shared" si="16"/>
        <v>0</v>
      </c>
      <c r="AQ26" s="438">
        <f t="shared" si="17"/>
        <v>0</v>
      </c>
      <c r="AR26" s="438">
        <f t="shared" si="18"/>
        <v>2482505287.9035687</v>
      </c>
      <c r="AS26" s="453">
        <f t="shared" si="19"/>
        <v>63.153033359666757</v>
      </c>
      <c r="AT26" s="463">
        <f t="shared" si="20"/>
        <v>33.128691358998395</v>
      </c>
      <c r="AV26" s="446">
        <f t="shared" si="21"/>
        <v>30113376.813829735</v>
      </c>
      <c r="AW26" s="438">
        <f>SUM(Scenarios!AF27)</f>
        <v>4232851.9519377332</v>
      </c>
      <c r="AX26" s="438">
        <f>Scenarios!AD27</f>
        <v>507942.23423252802</v>
      </c>
      <c r="AY26" s="447">
        <f>Scenarios!AA27</f>
        <v>34854171</v>
      </c>
      <c r="AZ26" s="446">
        <f t="shared" si="66"/>
        <v>2710203913.2446761</v>
      </c>
      <c r="BA26" s="438">
        <f t="shared" si="23"/>
        <v>110054150.75038107</v>
      </c>
      <c r="BB26" s="438">
        <f t="shared" si="24"/>
        <v>0</v>
      </c>
      <c r="BC26" s="438">
        <f t="shared" si="25"/>
        <v>2820258063.9950571</v>
      </c>
      <c r="BD26" s="453">
        <f t="shared" si="26"/>
        <v>80.915941566794316</v>
      </c>
      <c r="BE26" s="463">
        <f t="shared" si="27"/>
        <v>37.635955665463968</v>
      </c>
      <c r="BG26" s="446">
        <f t="shared" si="28"/>
        <v>24457184.709850334</v>
      </c>
      <c r="BH26" s="438">
        <f>SUM(Scenarios!AK27)</f>
        <v>9149347.9353317078</v>
      </c>
      <c r="BI26" s="438">
        <f>Scenarios!AI27</f>
        <v>1247638.3548179604</v>
      </c>
      <c r="BJ26" s="447">
        <f>Scenarios!AA27</f>
        <v>34854171</v>
      </c>
      <c r="BK26" s="446">
        <f t="shared" si="67"/>
        <v>2201146623.8865299</v>
      </c>
      <c r="BL26" s="438">
        <f t="shared" si="30"/>
        <v>237883046.31862441</v>
      </c>
      <c r="BM26" s="438">
        <f t="shared" si="31"/>
        <v>0</v>
      </c>
      <c r="BN26" s="438">
        <f t="shared" si="32"/>
        <v>2439029670.2051544</v>
      </c>
      <c r="BO26" s="453">
        <f t="shared" si="33"/>
        <v>69.978128878898147</v>
      </c>
      <c r="BP26" s="463">
        <f t="shared" si="34"/>
        <v>32.548515225078098</v>
      </c>
      <c r="BR26" s="446">
        <f t="shared" si="35"/>
        <v>24457184.70985033</v>
      </c>
      <c r="BS26" s="438">
        <v>0</v>
      </c>
      <c r="BT26" s="438">
        <f>Scenarios!AN27</f>
        <v>10396986.29014967</v>
      </c>
      <c r="BU26" s="447">
        <f>Scenarios!AA27</f>
        <v>34854171</v>
      </c>
      <c r="BV26" s="446">
        <f t="shared" si="68"/>
        <v>2201146623.8865299</v>
      </c>
      <c r="BW26" s="438">
        <f t="shared" si="37"/>
        <v>0</v>
      </c>
      <c r="BX26" s="438">
        <f t="shared" si="38"/>
        <v>0</v>
      </c>
      <c r="BY26" s="438">
        <f t="shared" si="39"/>
        <v>2201146623.8865299</v>
      </c>
      <c r="BZ26" s="453">
        <f t="shared" si="40"/>
        <v>63.153033359666765</v>
      </c>
      <c r="CA26" s="463">
        <f t="shared" si="41"/>
        <v>29.373998715716226</v>
      </c>
      <c r="CC26" s="446">
        <f t="shared" si="42"/>
        <v>21945143.124226809</v>
      </c>
      <c r="CD26" s="438">
        <f>SUM(Scenarios!BA27)</f>
        <v>3084693.6390832085</v>
      </c>
      <c r="CE26" s="438">
        <f>Scenarios!AY27</f>
        <v>370163.23668998503</v>
      </c>
      <c r="CF26" s="447">
        <f>Scenarios!AV27</f>
        <v>25400000</v>
      </c>
      <c r="CG26" s="446">
        <f t="shared" si="69"/>
        <v>1975062881.1804128</v>
      </c>
      <c r="CH26" s="438">
        <f t="shared" si="44"/>
        <v>80202034.616163418</v>
      </c>
      <c r="CI26" s="438">
        <f t="shared" si="45"/>
        <v>0</v>
      </c>
      <c r="CJ26" s="438">
        <f t="shared" si="46"/>
        <v>2055264915.7965763</v>
      </c>
      <c r="CK26" s="453">
        <f t="shared" si="47"/>
        <v>80.915941566794345</v>
      </c>
      <c r="CL26" s="463">
        <f t="shared" si="48"/>
        <v>27.427227401357076</v>
      </c>
      <c r="CN26" s="446">
        <f t="shared" si="49"/>
        <v>17823189.414839286</v>
      </c>
      <c r="CO26" s="438">
        <f>SUM(Scenarios!BF27)</f>
        <v>6667593.3149414286</v>
      </c>
      <c r="CP26" s="438">
        <f>Scenarios!BD27</f>
        <v>909217.27021928586</v>
      </c>
      <c r="CQ26" s="447">
        <f>Scenarios!AV27</f>
        <v>25400000</v>
      </c>
      <c r="CR26" s="446">
        <f t="shared" si="70"/>
        <v>1604087047.3355358</v>
      </c>
      <c r="CS26" s="438">
        <f t="shared" si="51"/>
        <v>173357426.18847716</v>
      </c>
      <c r="CT26" s="438">
        <f t="shared" si="52"/>
        <v>0</v>
      </c>
      <c r="CU26" s="438">
        <f t="shared" si="53"/>
        <v>1777444473.524013</v>
      </c>
      <c r="CV26" s="453">
        <f t="shared" si="54"/>
        <v>69.978128878898147</v>
      </c>
      <c r="CW26" s="463">
        <f t="shared" si="55"/>
        <v>23.719751840231222</v>
      </c>
      <c r="CY26" s="446">
        <f t="shared" si="56"/>
        <v>17823189.414839286</v>
      </c>
      <c r="CZ26" s="438">
        <v>0</v>
      </c>
      <c r="DA26" s="438">
        <f>Scenarios!BI27</f>
        <v>7576810.5851607146</v>
      </c>
      <c r="DB26" s="447">
        <f>Scenarios!AV27</f>
        <v>25400000</v>
      </c>
      <c r="DC26" s="446">
        <f t="shared" si="71"/>
        <v>1604087047.3355358</v>
      </c>
      <c r="DD26" s="438">
        <f t="shared" si="58"/>
        <v>0</v>
      </c>
      <c r="DE26" s="438">
        <f t="shared" si="59"/>
        <v>0</v>
      </c>
      <c r="DF26" s="438">
        <f t="shared" si="60"/>
        <v>1604087047.3355358</v>
      </c>
      <c r="DG26" s="453">
        <f t="shared" si="61"/>
        <v>63.153033359666765</v>
      </c>
      <c r="DH26" s="463">
        <f t="shared" si="62"/>
        <v>21.40632084978272</v>
      </c>
    </row>
    <row r="27" spans="13:112">
      <c r="M27" s="360">
        <v>2038</v>
      </c>
      <c r="N27" s="429"/>
      <c r="O27" s="446">
        <f t="shared" si="0"/>
        <v>33910297.731486984</v>
      </c>
      <c r="P27" s="438">
        <f>SUM(Scenarios!J28)</f>
        <v>5180238.7442080537</v>
      </c>
      <c r="Q27" s="438">
        <f>Scenarios!H28</f>
        <v>621628.64930496633</v>
      </c>
      <c r="R27" s="447">
        <f>Scenarios!E28</f>
        <v>39712165.125</v>
      </c>
      <c r="S27" s="446">
        <f t="shared" si="63"/>
        <v>3051926795.8338284</v>
      </c>
      <c r="T27" s="438">
        <f t="shared" si="2"/>
        <v>134686207.3494094</v>
      </c>
      <c r="U27" s="438">
        <f t="shared" si="3"/>
        <v>0</v>
      </c>
      <c r="V27" s="438">
        <f t="shared" si="4"/>
        <v>3186613003.183238</v>
      </c>
      <c r="W27" s="453">
        <f t="shared" si="5"/>
        <v>80.242741566794336</v>
      </c>
      <c r="X27" s="463">
        <f t="shared" si="6"/>
        <v>42.5249119014683</v>
      </c>
      <c r="Z27" s="446">
        <f t="shared" si="7"/>
        <v>24904967.635705456</v>
      </c>
      <c r="AA27" s="438">
        <f>SUM(Scenarios!O28)</f>
        <v>13030333.7905792</v>
      </c>
      <c r="AB27" s="438">
        <f>Scenarios!M28</f>
        <v>1776863.6987153452</v>
      </c>
      <c r="AC27" s="447">
        <f>Scenarios!E28</f>
        <v>39712165.125</v>
      </c>
      <c r="AD27" s="446">
        <f t="shared" si="64"/>
        <v>2241447087.213491</v>
      </c>
      <c r="AE27" s="438">
        <f t="shared" si="9"/>
        <v>338788678.55505919</v>
      </c>
      <c r="AF27" s="438">
        <f t="shared" si="10"/>
        <v>0</v>
      </c>
      <c r="AG27" s="438">
        <f t="shared" si="11"/>
        <v>2580235765.7685499</v>
      </c>
      <c r="AH27" s="453">
        <f t="shared" si="12"/>
        <v>64.973434655271774</v>
      </c>
      <c r="AI27" s="463">
        <f t="shared" si="13"/>
        <v>34.432891133851861</v>
      </c>
      <c r="AK27" s="446">
        <f t="shared" si="14"/>
        <v>24904967.635705456</v>
      </c>
      <c r="AL27" s="438">
        <v>0</v>
      </c>
      <c r="AM27" s="438">
        <f>Scenarios!R28</f>
        <v>14807197.489294546</v>
      </c>
      <c r="AN27" s="447">
        <f>Scenarios!E28</f>
        <v>39712165.125</v>
      </c>
      <c r="AO27" s="446">
        <f t="shared" si="65"/>
        <v>2241447087.213491</v>
      </c>
      <c r="AP27" s="438">
        <f t="shared" si="16"/>
        <v>0</v>
      </c>
      <c r="AQ27" s="438">
        <f t="shared" si="17"/>
        <v>0</v>
      </c>
      <c r="AR27" s="438">
        <f t="shared" si="18"/>
        <v>2241447087.213491</v>
      </c>
      <c r="AS27" s="453">
        <f t="shared" si="19"/>
        <v>56.442328947772047</v>
      </c>
      <c r="AT27" s="463">
        <f t="shared" si="20"/>
        <v>29.911802851598246</v>
      </c>
      <c r="AV27" s="446">
        <f t="shared" si="21"/>
        <v>29917006.930112213</v>
      </c>
      <c r="AW27" s="438">
        <f>SUM(Scenarios!AF28)</f>
        <v>4570211.6695426693</v>
      </c>
      <c r="AX27" s="438">
        <f>Scenarios!AD28</f>
        <v>548425.40034512023</v>
      </c>
      <c r="AY27" s="447">
        <f>Scenarios!AA28</f>
        <v>35035644</v>
      </c>
      <c r="AZ27" s="446">
        <f t="shared" si="66"/>
        <v>2692530623.7100992</v>
      </c>
      <c r="BA27" s="438">
        <f t="shared" si="23"/>
        <v>118825503.4081094</v>
      </c>
      <c r="BB27" s="438">
        <f t="shared" si="24"/>
        <v>0</v>
      </c>
      <c r="BC27" s="438">
        <f t="shared" si="25"/>
        <v>2811356127.1182084</v>
      </c>
      <c r="BD27" s="453">
        <f t="shared" si="26"/>
        <v>80.242741566794336</v>
      </c>
      <c r="BE27" s="463">
        <f t="shared" si="27"/>
        <v>37.517160543162561</v>
      </c>
      <c r="BG27" s="446">
        <f t="shared" si="28"/>
        <v>21972148.261611514</v>
      </c>
      <c r="BH27" s="438">
        <f>SUM(Scenarios!AK28)</f>
        <v>11495876.249781871</v>
      </c>
      <c r="BI27" s="438">
        <f>Scenarios!AI28</f>
        <v>1567619.4886066185</v>
      </c>
      <c r="BJ27" s="447">
        <f>Scenarios!AA28</f>
        <v>35035644</v>
      </c>
      <c r="BK27" s="446">
        <f t="shared" si="67"/>
        <v>1977493343.5450363</v>
      </c>
      <c r="BL27" s="438">
        <f t="shared" si="30"/>
        <v>298892782.49432868</v>
      </c>
      <c r="BM27" s="438">
        <f t="shared" si="31"/>
        <v>0</v>
      </c>
      <c r="BN27" s="438">
        <f t="shared" si="32"/>
        <v>2276386126.0393648</v>
      </c>
      <c r="BO27" s="453">
        <f t="shared" si="33"/>
        <v>64.973434655271774</v>
      </c>
      <c r="BP27" s="463">
        <f t="shared" si="34"/>
        <v>30.378059515494382</v>
      </c>
      <c r="BR27" s="446">
        <f t="shared" si="35"/>
        <v>21972148.26161151</v>
      </c>
      <c r="BS27" s="438">
        <v>0</v>
      </c>
      <c r="BT27" s="438">
        <f>Scenarios!AN28</f>
        <v>13063495.73838849</v>
      </c>
      <c r="BU27" s="447">
        <f>Scenarios!AA28</f>
        <v>35035644</v>
      </c>
      <c r="BV27" s="446">
        <f t="shared" si="68"/>
        <v>1977493343.5450358</v>
      </c>
      <c r="BW27" s="438">
        <f t="shared" si="37"/>
        <v>0</v>
      </c>
      <c r="BX27" s="438">
        <f t="shared" si="38"/>
        <v>0</v>
      </c>
      <c r="BY27" s="438">
        <f t="shared" si="39"/>
        <v>1977493343.5450358</v>
      </c>
      <c r="BZ27" s="453">
        <f t="shared" si="40"/>
        <v>56.44232894777204</v>
      </c>
      <c r="CA27" s="463">
        <f t="shared" si="41"/>
        <v>26.389376474642187</v>
      </c>
      <c r="CC27" s="446">
        <f t="shared" si="42"/>
        <v>21005989.514014937</v>
      </c>
      <c r="CD27" s="438">
        <f>SUM(Scenarios!BA28)</f>
        <v>3208937.9339152342</v>
      </c>
      <c r="CE27" s="438">
        <f>Scenarios!AY28</f>
        <v>385072.55206982803</v>
      </c>
      <c r="CF27" s="447">
        <f>Scenarios!AV28</f>
        <v>24600000</v>
      </c>
      <c r="CG27" s="446">
        <f t="shared" si="69"/>
        <v>1890539056.2613444</v>
      </c>
      <c r="CH27" s="438">
        <f t="shared" si="44"/>
        <v>83432386.281796083</v>
      </c>
      <c r="CI27" s="438">
        <f t="shared" si="45"/>
        <v>0</v>
      </c>
      <c r="CJ27" s="438">
        <f t="shared" si="46"/>
        <v>1973971442.5431404</v>
      </c>
      <c r="CK27" s="453">
        <f t="shared" si="47"/>
        <v>80.242741566794322</v>
      </c>
      <c r="CL27" s="463">
        <f t="shared" si="48"/>
        <v>26.342377190549112</v>
      </c>
      <c r="CN27" s="446">
        <f t="shared" si="49"/>
        <v>15427569.912391026</v>
      </c>
      <c r="CO27" s="438">
        <f>SUM(Scenarios!BF28)</f>
        <v>8071738.4770958973</v>
      </c>
      <c r="CP27" s="438">
        <f>Scenarios!BD28</f>
        <v>1100691.6105130769</v>
      </c>
      <c r="CQ27" s="447">
        <f>Scenarios!AV28</f>
        <v>24600000</v>
      </c>
      <c r="CR27" s="446">
        <f t="shared" si="70"/>
        <v>1388481292.1151924</v>
      </c>
      <c r="CS27" s="438">
        <f t="shared" si="51"/>
        <v>209865200.40449333</v>
      </c>
      <c r="CT27" s="438">
        <f t="shared" si="52"/>
        <v>0</v>
      </c>
      <c r="CU27" s="438">
        <f t="shared" si="53"/>
        <v>1598346492.5196857</v>
      </c>
      <c r="CV27" s="453">
        <f t="shared" si="54"/>
        <v>64.973434655271774</v>
      </c>
      <c r="CW27" s="463">
        <f t="shared" si="55"/>
        <v>21.329713935932268</v>
      </c>
      <c r="CY27" s="446">
        <f t="shared" si="56"/>
        <v>15427569.912391026</v>
      </c>
      <c r="CZ27" s="438">
        <v>0</v>
      </c>
      <c r="DA27" s="438">
        <f>Scenarios!BI28</f>
        <v>9172430.0876089744</v>
      </c>
      <c r="DB27" s="447">
        <f>Scenarios!AV28</f>
        <v>24600000</v>
      </c>
      <c r="DC27" s="446">
        <f t="shared" si="71"/>
        <v>1388481292.1151924</v>
      </c>
      <c r="DD27" s="438">
        <f t="shared" si="58"/>
        <v>0</v>
      </c>
      <c r="DE27" s="438">
        <f t="shared" si="59"/>
        <v>0</v>
      </c>
      <c r="DF27" s="438">
        <f t="shared" si="60"/>
        <v>1388481292.1151924</v>
      </c>
      <c r="DG27" s="453">
        <f t="shared" si="61"/>
        <v>56.442328947772047</v>
      </c>
      <c r="DH27" s="463">
        <f t="shared" si="62"/>
        <v>18.529091723737057</v>
      </c>
    </row>
    <row r="28" spans="13:112">
      <c r="M28" s="360">
        <v>2039</v>
      </c>
      <c r="N28" s="429"/>
      <c r="O28" s="446">
        <f t="shared" si="0"/>
        <v>33834919.157236353</v>
      </c>
      <c r="P28" s="438">
        <f>SUM(Scenarios!J29)</f>
        <v>5607188.9779139711</v>
      </c>
      <c r="Q28" s="438">
        <f>Scenarios!H29</f>
        <v>672862.67734967649</v>
      </c>
      <c r="R28" s="447">
        <f>Scenarios!E29</f>
        <v>40114970.8125</v>
      </c>
      <c r="S28" s="446">
        <f t="shared" si="63"/>
        <v>3045142724.1512718</v>
      </c>
      <c r="T28" s="438">
        <f t="shared" si="2"/>
        <v>145786913.42576325</v>
      </c>
      <c r="U28" s="438">
        <f t="shared" si="3"/>
        <v>0</v>
      </c>
      <c r="V28" s="438">
        <f t="shared" si="4"/>
        <v>3190929637.577035</v>
      </c>
      <c r="W28" s="453">
        <f t="shared" si="5"/>
        <v>79.544608233460991</v>
      </c>
      <c r="X28" s="463">
        <f t="shared" si="6"/>
        <v>42.582516793284057</v>
      </c>
      <c r="Z28" s="446">
        <f t="shared" si="7"/>
        <v>21902555.258381482</v>
      </c>
      <c r="AA28" s="438">
        <f>SUM(Scenarios!O29)</f>
        <v>16026925.687624294</v>
      </c>
      <c r="AB28" s="438">
        <f>Scenarios!M29</f>
        <v>2185489.8664942221</v>
      </c>
      <c r="AC28" s="447">
        <f>Scenarios!E29</f>
        <v>40114970.8125</v>
      </c>
      <c r="AD28" s="446">
        <f t="shared" si="64"/>
        <v>1971229973.2543335</v>
      </c>
      <c r="AE28" s="438">
        <f t="shared" si="9"/>
        <v>416700067.87823164</v>
      </c>
      <c r="AF28" s="438">
        <f t="shared" si="10"/>
        <v>0</v>
      </c>
      <c r="AG28" s="438">
        <f t="shared" si="11"/>
        <v>2387930041.132565</v>
      </c>
      <c r="AH28" s="453">
        <f t="shared" si="12"/>
        <v>59.527153897080126</v>
      </c>
      <c r="AI28" s="463">
        <f t="shared" si="13"/>
        <v>31.866597708787648</v>
      </c>
      <c r="AK28" s="446">
        <f t="shared" si="14"/>
        <v>21902555.258381482</v>
      </c>
      <c r="AL28" s="438">
        <v>0</v>
      </c>
      <c r="AM28" s="438">
        <f>Scenarios!R29</f>
        <v>18212415.554118518</v>
      </c>
      <c r="AN28" s="447">
        <f>Scenarios!E29</f>
        <v>40114970.8125</v>
      </c>
      <c r="AO28" s="446">
        <f t="shared" si="65"/>
        <v>1971229973.2543335</v>
      </c>
      <c r="AP28" s="438">
        <f t="shared" si="16"/>
        <v>0</v>
      </c>
      <c r="AQ28" s="438">
        <f t="shared" si="17"/>
        <v>0</v>
      </c>
      <c r="AR28" s="438">
        <f t="shared" si="18"/>
        <v>1971229973.2543335</v>
      </c>
      <c r="AS28" s="453">
        <f t="shared" si="19"/>
        <v>49.139509099183726</v>
      </c>
      <c r="AT28" s="463">
        <f t="shared" si="20"/>
        <v>26.30579266024354</v>
      </c>
      <c r="AV28" s="446">
        <f t="shared" si="21"/>
        <v>29703830.827034686</v>
      </c>
      <c r="AW28" s="438">
        <f>SUM(Scenarios!AF29)</f>
        <v>4922576.9401476048</v>
      </c>
      <c r="AX28" s="438">
        <f>Scenarios!AD29</f>
        <v>590709.23281771259</v>
      </c>
      <c r="AY28" s="447">
        <f>Scenarios!AA29</f>
        <v>35217117</v>
      </c>
      <c r="AZ28" s="446">
        <f t="shared" si="66"/>
        <v>2673344774.4331217</v>
      </c>
      <c r="BA28" s="438">
        <f t="shared" si="23"/>
        <v>127987000.44383773</v>
      </c>
      <c r="BB28" s="438">
        <f t="shared" si="24"/>
        <v>0</v>
      </c>
      <c r="BC28" s="438">
        <f t="shared" si="25"/>
        <v>2801331774.8769593</v>
      </c>
      <c r="BD28" s="453">
        <f t="shared" si="26"/>
        <v>79.544608233461005</v>
      </c>
      <c r="BE28" s="463">
        <f t="shared" si="27"/>
        <v>37.383386942319724</v>
      </c>
      <c r="BG28" s="446">
        <f t="shared" si="28"/>
        <v>19228353.791872423</v>
      </c>
      <c r="BH28" s="438">
        <f>SUM(Scenarios!AK29)</f>
        <v>14070111.623152267</v>
      </c>
      <c r="BI28" s="438">
        <f>Scenarios!AI29</f>
        <v>1918651.5849753094</v>
      </c>
      <c r="BJ28" s="447">
        <f>Scenarios!AA29</f>
        <v>35217117</v>
      </c>
      <c r="BK28" s="446">
        <f t="shared" si="67"/>
        <v>1730551841.268518</v>
      </c>
      <c r="BL28" s="438">
        <f t="shared" si="30"/>
        <v>365822902.20195895</v>
      </c>
      <c r="BM28" s="438">
        <f t="shared" si="31"/>
        <v>0</v>
      </c>
      <c r="BN28" s="438">
        <f t="shared" si="32"/>
        <v>2096374743.4704769</v>
      </c>
      <c r="BO28" s="453">
        <f t="shared" si="33"/>
        <v>59.527153897080126</v>
      </c>
      <c r="BP28" s="463">
        <f t="shared" si="34"/>
        <v>27.975832393042865</v>
      </c>
      <c r="BR28" s="446">
        <f t="shared" si="35"/>
        <v>19228353.791872419</v>
      </c>
      <c r="BS28" s="438">
        <v>0</v>
      </c>
      <c r="BT28" s="438">
        <f>Scenarios!AN29</f>
        <v>15988763.208127579</v>
      </c>
      <c r="BU28" s="447">
        <f>Scenarios!AA29</f>
        <v>35217117</v>
      </c>
      <c r="BV28" s="446">
        <f t="shared" si="68"/>
        <v>1730551841.2685177</v>
      </c>
      <c r="BW28" s="438">
        <f t="shared" si="37"/>
        <v>0</v>
      </c>
      <c r="BX28" s="438">
        <f t="shared" si="38"/>
        <v>0</v>
      </c>
      <c r="BY28" s="438">
        <f t="shared" si="39"/>
        <v>1730551841.2685177</v>
      </c>
      <c r="BZ28" s="453">
        <f t="shared" si="40"/>
        <v>49.139509099183719</v>
      </c>
      <c r="CA28" s="463">
        <f t="shared" si="41"/>
        <v>23.093976117386656</v>
      </c>
      <c r="CC28" s="446">
        <f t="shared" si="42"/>
        <v>20074078.570469737</v>
      </c>
      <c r="CD28" s="438">
        <f>SUM(Scenarios!BA29)</f>
        <v>3326715.5620805924</v>
      </c>
      <c r="CE28" s="438">
        <f>Scenarios!AY29</f>
        <v>399205.86744967109</v>
      </c>
      <c r="CF28" s="447">
        <f>Scenarios!AV29</f>
        <v>23800000</v>
      </c>
      <c r="CG28" s="446">
        <f t="shared" si="69"/>
        <v>1806667071.3422763</v>
      </c>
      <c r="CH28" s="438">
        <f t="shared" si="44"/>
        <v>86494604.614095405</v>
      </c>
      <c r="CI28" s="438">
        <f t="shared" si="45"/>
        <v>0</v>
      </c>
      <c r="CJ28" s="438">
        <f t="shared" si="46"/>
        <v>1893161675.9563718</v>
      </c>
      <c r="CK28" s="453">
        <f t="shared" si="47"/>
        <v>79.544608233461005</v>
      </c>
      <c r="CL28" s="463">
        <f t="shared" si="48"/>
        <v>25.263981978627314</v>
      </c>
      <c r="CN28" s="446">
        <f t="shared" si="49"/>
        <v>12994670.184006363</v>
      </c>
      <c r="CO28" s="438">
        <f>SUM(Scenarios!BF29)</f>
        <v>9508690.2380743995</v>
      </c>
      <c r="CP28" s="438">
        <f>Scenarios!BD29</f>
        <v>1296639.5779192364</v>
      </c>
      <c r="CQ28" s="447">
        <f>Scenarios!AV29</f>
        <v>23800000</v>
      </c>
      <c r="CR28" s="446">
        <f t="shared" si="70"/>
        <v>1169520316.5605726</v>
      </c>
      <c r="CS28" s="438">
        <f t="shared" si="51"/>
        <v>247225946.18993437</v>
      </c>
      <c r="CT28" s="438">
        <f t="shared" si="52"/>
        <v>0</v>
      </c>
      <c r="CU28" s="438">
        <f t="shared" si="53"/>
        <v>1416746262.7505069</v>
      </c>
      <c r="CV28" s="453">
        <f t="shared" si="54"/>
        <v>59.527153897080119</v>
      </c>
      <c r="CW28" s="463">
        <f t="shared" si="55"/>
        <v>18.906283866292068</v>
      </c>
      <c r="CY28" s="446">
        <f t="shared" si="56"/>
        <v>12994670.184006363</v>
      </c>
      <c r="CZ28" s="438">
        <v>0</v>
      </c>
      <c r="DA28" s="438">
        <f>Scenarios!BI29</f>
        <v>10805329.815993637</v>
      </c>
      <c r="DB28" s="447">
        <f>Scenarios!AV29</f>
        <v>23800000</v>
      </c>
      <c r="DC28" s="446">
        <f t="shared" si="71"/>
        <v>1169520316.5605726</v>
      </c>
      <c r="DD28" s="438">
        <f t="shared" si="58"/>
        <v>0</v>
      </c>
      <c r="DE28" s="438">
        <f t="shared" si="59"/>
        <v>0</v>
      </c>
      <c r="DF28" s="438">
        <f t="shared" si="60"/>
        <v>1169520316.5605726</v>
      </c>
      <c r="DG28" s="453">
        <f t="shared" si="61"/>
        <v>49.139509099183726</v>
      </c>
      <c r="DH28" s="463">
        <f t="shared" si="62"/>
        <v>15.607087644164695</v>
      </c>
    </row>
    <row r="29" spans="13:112">
      <c r="M29" s="360">
        <v>2040</v>
      </c>
      <c r="N29" s="429"/>
      <c r="O29" s="446">
        <f t="shared" si="0"/>
        <v>33735992.622185729</v>
      </c>
      <c r="P29" s="438">
        <f>SUM(Scenarios!J30)</f>
        <v>6055164.1766198874</v>
      </c>
      <c r="Q29" s="438">
        <f>Scenarios!H30</f>
        <v>726619.70119438658</v>
      </c>
      <c r="R29" s="447">
        <f>Scenarios!E30</f>
        <v>40517776.5</v>
      </c>
      <c r="S29" s="446">
        <f t="shared" si="63"/>
        <v>3036239335.9967155</v>
      </c>
      <c r="T29" s="438">
        <f t="shared" si="2"/>
        <v>157434268.59211707</v>
      </c>
      <c r="U29" s="438">
        <f t="shared" si="3"/>
        <v>0</v>
      </c>
      <c r="V29" s="438">
        <f t="shared" si="4"/>
        <v>3193673604.5888329</v>
      </c>
      <c r="W29" s="453">
        <f t="shared" si="5"/>
        <v>78.821541566794338</v>
      </c>
      <c r="X29" s="463">
        <f t="shared" si="6"/>
        <v>42.619134655359147</v>
      </c>
      <c r="Z29" s="446">
        <f t="shared" si="7"/>
        <v>18732701.521348011</v>
      </c>
      <c r="AA29" s="438">
        <f>SUM(Scenarios!O30)</f>
        <v>19170865.981213752</v>
      </c>
      <c r="AB29" s="438">
        <f>Scenarios!M30</f>
        <v>2614208.9974382389</v>
      </c>
      <c r="AC29" s="447">
        <f>Scenarios!E30</f>
        <v>40517776.5</v>
      </c>
      <c r="AD29" s="446">
        <f t="shared" si="64"/>
        <v>1685943136.9213209</v>
      </c>
      <c r="AE29" s="438">
        <f t="shared" si="9"/>
        <v>498442515.51155758</v>
      </c>
      <c r="AF29" s="438">
        <f t="shared" si="10"/>
        <v>0</v>
      </c>
      <c r="AG29" s="438">
        <f t="shared" si="11"/>
        <v>2184385652.4328785</v>
      </c>
      <c r="AH29" s="453">
        <f t="shared" si="12"/>
        <v>53.911784928101333</v>
      </c>
      <c r="AI29" s="463">
        <f t="shared" si="13"/>
        <v>29.150325858755703</v>
      </c>
      <c r="AK29" s="446">
        <f t="shared" si="14"/>
        <v>18732701.521348007</v>
      </c>
      <c r="AL29" s="438">
        <v>0</v>
      </c>
      <c r="AM29" s="438">
        <f>Scenarios!R30</f>
        <v>21785074.978651993</v>
      </c>
      <c r="AN29" s="447">
        <f>Scenarios!E30</f>
        <v>40517776.5</v>
      </c>
      <c r="AO29" s="446">
        <f t="shared" si="65"/>
        <v>1685943136.9213207</v>
      </c>
      <c r="AP29" s="438">
        <f t="shared" si="16"/>
        <v>0</v>
      </c>
      <c r="AQ29" s="438">
        <f t="shared" si="17"/>
        <v>0</v>
      </c>
      <c r="AR29" s="438">
        <f t="shared" si="18"/>
        <v>1685943136.9213207</v>
      </c>
      <c r="AS29" s="453">
        <f t="shared" si="19"/>
        <v>41.609961911935635</v>
      </c>
      <c r="AT29" s="463">
        <f t="shared" si="20"/>
        <v>22.498679098103729</v>
      </c>
      <c r="AV29" s="446">
        <f t="shared" si="21"/>
        <v>29473646.582754619</v>
      </c>
      <c r="AW29" s="438">
        <f>SUM(Scenarios!AF30)</f>
        <v>5290129.4750961494</v>
      </c>
      <c r="AX29" s="438">
        <f>Scenarios!AD30</f>
        <v>634815.53701153805</v>
      </c>
      <c r="AY29" s="447">
        <f>Scenarios!AA30</f>
        <v>35398591.594862312</v>
      </c>
      <c r="AZ29" s="446">
        <f t="shared" si="66"/>
        <v>2652628192.4479156</v>
      </c>
      <c r="BA29" s="438">
        <f t="shared" si="23"/>
        <v>137543366.35249987</v>
      </c>
      <c r="BB29" s="438">
        <f t="shared" si="24"/>
        <v>0</v>
      </c>
      <c r="BC29" s="438">
        <f t="shared" si="25"/>
        <v>2790171558.8004155</v>
      </c>
      <c r="BD29" s="453">
        <f t="shared" si="26"/>
        <v>78.821541566794309</v>
      </c>
      <c r="BE29" s="463">
        <f t="shared" si="27"/>
        <v>37.234455394942529</v>
      </c>
      <c r="BG29" s="446">
        <f t="shared" si="28"/>
        <v>16365933.86664873</v>
      </c>
      <c r="BH29" s="438">
        <f>SUM(Scenarios!AK30)</f>
        <v>16748738.800827954</v>
      </c>
      <c r="BI29" s="438">
        <f>Scenarios!AI30</f>
        <v>2283918.9273856296</v>
      </c>
      <c r="BJ29" s="447">
        <f>Scenarios!AA30</f>
        <v>35398591.594862312</v>
      </c>
      <c r="BK29" s="446">
        <f t="shared" si="67"/>
        <v>1472934047.9983857</v>
      </c>
      <c r="BL29" s="438">
        <f t="shared" si="30"/>
        <v>435467208.82152683</v>
      </c>
      <c r="BM29" s="438">
        <f t="shared" si="31"/>
        <v>0</v>
      </c>
      <c r="BN29" s="438">
        <f t="shared" si="32"/>
        <v>1908401256.8199124</v>
      </c>
      <c r="BO29" s="453">
        <f t="shared" si="33"/>
        <v>53.911784928101333</v>
      </c>
      <c r="BP29" s="463">
        <f t="shared" si="34"/>
        <v>25.467352087576845</v>
      </c>
      <c r="BR29" s="446">
        <f t="shared" si="35"/>
        <v>16365933.86664873</v>
      </c>
      <c r="BS29" s="438">
        <v>0</v>
      </c>
      <c r="BT29" s="438">
        <f>Scenarios!AN30</f>
        <v>19032657.728213582</v>
      </c>
      <c r="BU29" s="447">
        <f>Scenarios!AA30</f>
        <v>35398591.594862312</v>
      </c>
      <c r="BV29" s="446">
        <f t="shared" si="68"/>
        <v>1472934047.9983857</v>
      </c>
      <c r="BW29" s="438">
        <f t="shared" si="37"/>
        <v>0</v>
      </c>
      <c r="BX29" s="438">
        <f t="shared" si="38"/>
        <v>0</v>
      </c>
      <c r="BY29" s="438">
        <f t="shared" si="39"/>
        <v>1472934047.9983857</v>
      </c>
      <c r="BZ29" s="453">
        <f t="shared" si="40"/>
        <v>41.609961911935635</v>
      </c>
      <c r="CA29" s="463">
        <f t="shared" si="41"/>
        <v>19.65610212637505</v>
      </c>
      <c r="CC29" s="446">
        <f t="shared" si="42"/>
        <v>19150306.293591201</v>
      </c>
      <c r="CD29" s="438">
        <f>SUM(Scenarios!BA30)</f>
        <v>3437226.5235792841</v>
      </c>
      <c r="CE29" s="438">
        <f>Scenarios!AY30</f>
        <v>412467.18282951415</v>
      </c>
      <c r="CF29" s="447">
        <f>Scenarios!AV30</f>
        <v>23000000</v>
      </c>
      <c r="CG29" s="446">
        <f t="shared" si="69"/>
        <v>1723527566.4232082</v>
      </c>
      <c r="CH29" s="438">
        <f t="shared" si="44"/>
        <v>89367889.613061383</v>
      </c>
      <c r="CI29" s="438">
        <f t="shared" si="45"/>
        <v>0</v>
      </c>
      <c r="CJ29" s="438">
        <f t="shared" si="46"/>
        <v>1812895456.0362697</v>
      </c>
      <c r="CK29" s="453">
        <f t="shared" si="47"/>
        <v>78.821541566794338</v>
      </c>
      <c r="CL29" s="463">
        <f t="shared" si="48"/>
        <v>24.192840322154904</v>
      </c>
      <c r="CN29" s="446">
        <f t="shared" si="49"/>
        <v>10633656.933050219</v>
      </c>
      <c r="CO29" s="438">
        <f>SUM(Scenarios!BF30)</f>
        <v>10882381.898915809</v>
      </c>
      <c r="CP29" s="438">
        <f>Scenarios!BD30</f>
        <v>1483961.1680339738</v>
      </c>
      <c r="CQ29" s="447">
        <f>Scenarios!AV30</f>
        <v>23000000</v>
      </c>
      <c r="CR29" s="446">
        <f t="shared" si="70"/>
        <v>957029123.97451973</v>
      </c>
      <c r="CS29" s="438">
        <f t="shared" si="51"/>
        <v>282941929.37181103</v>
      </c>
      <c r="CT29" s="438">
        <f t="shared" si="52"/>
        <v>0</v>
      </c>
      <c r="CU29" s="438">
        <f t="shared" si="53"/>
        <v>1239971053.3463306</v>
      </c>
      <c r="CV29" s="453">
        <f t="shared" si="54"/>
        <v>53.911784928101333</v>
      </c>
      <c r="CW29" s="463">
        <f t="shared" si="55"/>
        <v>16.547243029275833</v>
      </c>
      <c r="CY29" s="446">
        <f t="shared" si="56"/>
        <v>10633656.933050217</v>
      </c>
      <c r="CZ29" s="438">
        <v>0</v>
      </c>
      <c r="DA29" s="438">
        <f>Scenarios!BI30</f>
        <v>12366343.066949783</v>
      </c>
      <c r="DB29" s="447">
        <f>Scenarios!AV30</f>
        <v>23000000</v>
      </c>
      <c r="DC29" s="446">
        <f t="shared" si="71"/>
        <v>957029123.97451949</v>
      </c>
      <c r="DD29" s="438">
        <f t="shared" si="58"/>
        <v>0</v>
      </c>
      <c r="DE29" s="438">
        <f t="shared" si="59"/>
        <v>0</v>
      </c>
      <c r="DF29" s="438">
        <f t="shared" si="60"/>
        <v>957029123.97451949</v>
      </c>
      <c r="DG29" s="453">
        <f t="shared" si="61"/>
        <v>41.609961911935628</v>
      </c>
      <c r="DH29" s="463">
        <f t="shared" si="62"/>
        <v>12.771421927765106</v>
      </c>
    </row>
    <row r="30" spans="13:112">
      <c r="M30" s="360">
        <v>2041</v>
      </c>
      <c r="N30" s="429"/>
      <c r="O30" s="446">
        <f t="shared" si="0"/>
        <v>33613066.983965099</v>
      </c>
      <c r="P30" s="438">
        <f>SUM(Scenarios!J31)</f>
        <v>6524567.1460133037</v>
      </c>
      <c r="Q30" s="438">
        <f>Scenarios!H31</f>
        <v>782948.05752159643</v>
      </c>
      <c r="R30" s="447">
        <f>Scenarios!E31</f>
        <v>40920582.1875</v>
      </c>
      <c r="S30" s="446">
        <f t="shared" si="63"/>
        <v>3025176028.556859</v>
      </c>
      <c r="T30" s="438">
        <f t="shared" si="2"/>
        <v>169638745.79634589</v>
      </c>
      <c r="U30" s="438">
        <f t="shared" si="3"/>
        <v>0</v>
      </c>
      <c r="V30" s="438">
        <f t="shared" si="4"/>
        <v>3194814774.3532047</v>
      </c>
      <c r="W30" s="453">
        <f t="shared" si="5"/>
        <v>78.073541566794319</v>
      </c>
      <c r="X30" s="463">
        <f t="shared" si="6"/>
        <v>42.634363408786704</v>
      </c>
      <c r="Z30" s="446">
        <f t="shared" si="7"/>
        <v>15580102.414877508</v>
      </c>
      <c r="AA30" s="438">
        <f>SUM(Scenarios!O31)</f>
        <v>22299622.199907791</v>
      </c>
      <c r="AB30" s="438">
        <f>Scenarios!M31</f>
        <v>3040857.5727146985</v>
      </c>
      <c r="AC30" s="447">
        <f>Scenarios!E31</f>
        <v>40920582.1875</v>
      </c>
      <c r="AD30" s="446">
        <f t="shared" si="64"/>
        <v>1402209217.3389757</v>
      </c>
      <c r="AE30" s="438">
        <f t="shared" si="9"/>
        <v>579790177.19760251</v>
      </c>
      <c r="AF30" s="438">
        <f t="shared" si="10"/>
        <v>0</v>
      </c>
      <c r="AG30" s="438">
        <f t="shared" si="11"/>
        <v>1981999394.5365782</v>
      </c>
      <c r="AH30" s="453">
        <f t="shared" si="12"/>
        <v>48.435268722594543</v>
      </c>
      <c r="AI30" s="463">
        <f t="shared" si="13"/>
        <v>26.449509104882335</v>
      </c>
      <c r="AK30" s="446">
        <f t="shared" si="14"/>
        <v>15580102.414877512</v>
      </c>
      <c r="AL30" s="438">
        <v>0</v>
      </c>
      <c r="AM30" s="438">
        <f>Scenarios!R31</f>
        <v>25340479.772622488</v>
      </c>
      <c r="AN30" s="447">
        <f>Scenarios!E31</f>
        <v>40920582.1875</v>
      </c>
      <c r="AO30" s="446">
        <f t="shared" si="65"/>
        <v>1402209217.3389761</v>
      </c>
      <c r="AP30" s="438">
        <f t="shared" si="16"/>
        <v>0</v>
      </c>
      <c r="AQ30" s="438">
        <f t="shared" si="17"/>
        <v>0</v>
      </c>
      <c r="AR30" s="438">
        <f t="shared" si="18"/>
        <v>1402209217.3389761</v>
      </c>
      <c r="AS30" s="453">
        <f t="shared" si="19"/>
        <v>34.266599896208433</v>
      </c>
      <c r="AT30" s="463">
        <f t="shared" si="20"/>
        <v>18.712288996248088</v>
      </c>
      <c r="AV30" s="446">
        <f t="shared" si="21"/>
        <v>29232846.268210184</v>
      </c>
      <c r="AW30" s="438">
        <f>SUM(Scenarios!AF31)</f>
        <v>5674331.0105266236</v>
      </c>
      <c r="AX30" s="438">
        <f>Scenarios!AD31</f>
        <v>680919.72126319481</v>
      </c>
      <c r="AY30" s="447">
        <f>Scenarios!AA31</f>
        <v>35588097</v>
      </c>
      <c r="AZ30" s="446">
        <f t="shared" si="66"/>
        <v>2630956164.1389165</v>
      </c>
      <c r="BA30" s="438">
        <f t="shared" si="23"/>
        <v>147532606.27369222</v>
      </c>
      <c r="BB30" s="438">
        <f t="shared" si="24"/>
        <v>0</v>
      </c>
      <c r="BC30" s="438">
        <f t="shared" si="25"/>
        <v>2778488770.4126086</v>
      </c>
      <c r="BD30" s="453">
        <f t="shared" si="26"/>
        <v>78.073541566794333</v>
      </c>
      <c r="BE30" s="463">
        <f t="shared" si="27"/>
        <v>37.078550192001764</v>
      </c>
      <c r="BG30" s="446">
        <f t="shared" si="28"/>
        <v>13549812.010738399</v>
      </c>
      <c r="BH30" s="438">
        <f>SUM(Scenarios!AK31)</f>
        <v>19393690.79055021</v>
      </c>
      <c r="BI30" s="438">
        <f>Scenarios!AI31</f>
        <v>2644594.1987113925</v>
      </c>
      <c r="BJ30" s="447">
        <f>Scenarios!AA31</f>
        <v>35588097</v>
      </c>
      <c r="BK30" s="446">
        <f t="shared" si="67"/>
        <v>1219483080.9664559</v>
      </c>
      <c r="BL30" s="438">
        <f t="shared" si="30"/>
        <v>504235960.55430543</v>
      </c>
      <c r="BM30" s="438">
        <f t="shared" si="31"/>
        <v>0</v>
      </c>
      <c r="BN30" s="438">
        <f t="shared" si="32"/>
        <v>1723719041.5207615</v>
      </c>
      <c r="BO30" s="453">
        <f t="shared" si="33"/>
        <v>48.435268722594564</v>
      </c>
      <c r="BP30" s="463">
        <f t="shared" si="34"/>
        <v>23.002793345263573</v>
      </c>
      <c r="BR30" s="446">
        <f t="shared" si="35"/>
        <v>13549812.010738395</v>
      </c>
      <c r="BS30" s="438">
        <v>0</v>
      </c>
      <c r="BT30" s="438">
        <f>Scenarios!AN31</f>
        <v>22038284.989261605</v>
      </c>
      <c r="BU30" s="447">
        <f>Scenarios!AA31</f>
        <v>35588097</v>
      </c>
      <c r="BV30" s="446">
        <f t="shared" si="68"/>
        <v>1219483080.9664555</v>
      </c>
      <c r="BW30" s="438">
        <f t="shared" si="37"/>
        <v>0</v>
      </c>
      <c r="BX30" s="438">
        <f t="shared" si="38"/>
        <v>0</v>
      </c>
      <c r="BY30" s="438">
        <f t="shared" si="39"/>
        <v>1219483080.9664555</v>
      </c>
      <c r="BZ30" s="453">
        <f t="shared" si="40"/>
        <v>34.266599896208426</v>
      </c>
      <c r="CA30" s="463">
        <f t="shared" si="41"/>
        <v>16.27383385796335</v>
      </c>
      <c r="CC30" s="446">
        <f t="shared" si="42"/>
        <v>19073419.136399467</v>
      </c>
      <c r="CD30" s="438">
        <f>SUM(Scenarios!BA31)</f>
        <v>3702304.3425004766</v>
      </c>
      <c r="CE30" s="438">
        <f>Scenarios!AY31</f>
        <v>444276.52110005723</v>
      </c>
      <c r="CF30" s="447">
        <f>Scenarios!AV31</f>
        <v>23220000</v>
      </c>
      <c r="CG30" s="446">
        <f t="shared" si="69"/>
        <v>1716607722.2759521</v>
      </c>
      <c r="CH30" s="438">
        <f t="shared" si="44"/>
        <v>96259912.905012399</v>
      </c>
      <c r="CI30" s="438">
        <f t="shared" si="45"/>
        <v>0</v>
      </c>
      <c r="CJ30" s="438">
        <f t="shared" si="46"/>
        <v>1812867635.1809645</v>
      </c>
      <c r="CK30" s="453">
        <f t="shared" si="47"/>
        <v>78.073541566794333</v>
      </c>
      <c r="CL30" s="463">
        <f t="shared" si="48"/>
        <v>24.192469056670298</v>
      </c>
      <c r="CN30" s="446">
        <f t="shared" si="49"/>
        <v>8840782.7732217759</v>
      </c>
      <c r="CO30" s="438">
        <f>SUM(Scenarios!BF31)</f>
        <v>12653711.159564838</v>
      </c>
      <c r="CP30" s="438">
        <f>Scenarios!BD31</f>
        <v>1725506.0672133868</v>
      </c>
      <c r="CQ30" s="447">
        <f>Scenarios!AV31</f>
        <v>23220000</v>
      </c>
      <c r="CR30" s="446">
        <f t="shared" si="70"/>
        <v>795670449.58995986</v>
      </c>
      <c r="CS30" s="438">
        <f t="shared" si="51"/>
        <v>328996490.14868581</v>
      </c>
      <c r="CT30" s="438">
        <f t="shared" si="52"/>
        <v>0</v>
      </c>
      <c r="CU30" s="438">
        <f t="shared" si="53"/>
        <v>1124666939.7386456</v>
      </c>
      <c r="CV30" s="453">
        <f t="shared" si="54"/>
        <v>48.435268722594557</v>
      </c>
      <c r="CW30" s="463">
        <f t="shared" si="55"/>
        <v>15.008525504384798</v>
      </c>
      <c r="CY30" s="446">
        <f t="shared" si="56"/>
        <v>8840782.7732217759</v>
      </c>
      <c r="CZ30" s="438">
        <v>0</v>
      </c>
      <c r="DA30" s="438">
        <f>Scenarios!BI31</f>
        <v>14379217.226778224</v>
      </c>
      <c r="DB30" s="447">
        <f>Scenarios!AV31</f>
        <v>23220000</v>
      </c>
      <c r="DC30" s="446">
        <f t="shared" si="71"/>
        <v>795670449.58995986</v>
      </c>
      <c r="DD30" s="438">
        <f t="shared" si="58"/>
        <v>0</v>
      </c>
      <c r="DE30" s="438">
        <f t="shared" si="59"/>
        <v>0</v>
      </c>
      <c r="DF30" s="438">
        <f t="shared" si="60"/>
        <v>795670449.58995986</v>
      </c>
      <c r="DG30" s="453">
        <f t="shared" si="61"/>
        <v>34.266599896208433</v>
      </c>
      <c r="DH30" s="463">
        <f t="shared" si="62"/>
        <v>10.618112628554121</v>
      </c>
    </row>
    <row r="31" spans="13:112">
      <c r="M31" s="360">
        <v>2042</v>
      </c>
      <c r="N31" s="429"/>
      <c r="O31" s="446">
        <f t="shared" si="0"/>
        <v>33465691.100204475</v>
      </c>
      <c r="P31" s="438">
        <f>SUM(Scenarios!J32)</f>
        <v>7015800.6917817211</v>
      </c>
      <c r="Q31" s="438">
        <f>Scenarios!H32</f>
        <v>841896.08301380649</v>
      </c>
      <c r="R31" s="447">
        <f>Scenarios!E32</f>
        <v>41323387.875</v>
      </c>
      <c r="S31" s="446">
        <f t="shared" si="63"/>
        <v>3011912199.0184026</v>
      </c>
      <c r="T31" s="438">
        <f t="shared" si="2"/>
        <v>182410817.98632476</v>
      </c>
      <c r="U31" s="438">
        <f t="shared" si="3"/>
        <v>0</v>
      </c>
      <c r="V31" s="438">
        <f t="shared" si="4"/>
        <v>3194323017.0047274</v>
      </c>
      <c r="W31" s="453">
        <f t="shared" si="5"/>
        <v>77.300608233460991</v>
      </c>
      <c r="X31" s="463">
        <f t="shared" si="6"/>
        <v>42.627800974659941</v>
      </c>
      <c r="Z31" s="446">
        <f t="shared" si="7"/>
        <v>12618857.612373836</v>
      </c>
      <c r="AA31" s="438">
        <f>SUM(Scenarios!O32)</f>
        <v>25259986.631111026</v>
      </c>
      <c r="AB31" s="438">
        <f>Scenarios!M32</f>
        <v>3444543.6315151397</v>
      </c>
      <c r="AC31" s="447">
        <f>Scenarios!E32</f>
        <v>41323387.875</v>
      </c>
      <c r="AD31" s="446">
        <f t="shared" si="64"/>
        <v>1135697185.1136453</v>
      </c>
      <c r="AE31" s="438">
        <f t="shared" si="9"/>
        <v>656759652.40888667</v>
      </c>
      <c r="AF31" s="438">
        <f t="shared" si="10"/>
        <v>0</v>
      </c>
      <c r="AG31" s="438">
        <f t="shared" si="11"/>
        <v>1792456837.522532</v>
      </c>
      <c r="AH31" s="453">
        <f t="shared" si="12"/>
        <v>43.376328265837572</v>
      </c>
      <c r="AI31" s="463">
        <f t="shared" si="13"/>
        <v>23.920089771392639</v>
      </c>
      <c r="AK31" s="446">
        <f t="shared" si="14"/>
        <v>12618857.612373836</v>
      </c>
      <c r="AL31" s="438">
        <v>0</v>
      </c>
      <c r="AM31" s="438">
        <f>Scenarios!R32</f>
        <v>28704530.262626164</v>
      </c>
      <c r="AN31" s="447">
        <f>Scenarios!E32</f>
        <v>41323387.875</v>
      </c>
      <c r="AO31" s="446">
        <f t="shared" si="65"/>
        <v>1135697185.1136453</v>
      </c>
      <c r="AP31" s="438">
        <f t="shared" si="16"/>
        <v>0</v>
      </c>
      <c r="AQ31" s="438">
        <f t="shared" si="17"/>
        <v>0</v>
      </c>
      <c r="AR31" s="438">
        <f t="shared" si="18"/>
        <v>1135697185.1136453</v>
      </c>
      <c r="AS31" s="453">
        <f t="shared" si="19"/>
        <v>27.483157686611758</v>
      </c>
      <c r="AT31" s="463">
        <f t="shared" si="20"/>
        <v>15.155722610639895</v>
      </c>
      <c r="AV31" s="446">
        <f t="shared" si="21"/>
        <v>28974444.542774528</v>
      </c>
      <c r="AW31" s="438">
        <f>SUM(Scenarios!AF32)</f>
        <v>6074248.6225227425</v>
      </c>
      <c r="AX31" s="438">
        <f>Scenarios!AD32</f>
        <v>728909.83470272913</v>
      </c>
      <c r="AY31" s="447">
        <f>Scenarios!AA32</f>
        <v>35777603</v>
      </c>
      <c r="AZ31" s="446">
        <f t="shared" si="66"/>
        <v>2607700008.8497076</v>
      </c>
      <c r="BA31" s="438">
        <f t="shared" si="23"/>
        <v>157930464.18559131</v>
      </c>
      <c r="BB31" s="438">
        <f t="shared" si="24"/>
        <v>0</v>
      </c>
      <c r="BC31" s="438">
        <f t="shared" si="25"/>
        <v>2765630473.0352988</v>
      </c>
      <c r="BD31" s="453">
        <f t="shared" si="26"/>
        <v>77.300608233460991</v>
      </c>
      <c r="BE31" s="463">
        <f t="shared" si="27"/>
        <v>36.90695798340073</v>
      </c>
      <c r="BG31" s="446">
        <f t="shared" si="28"/>
        <v>10925350.054422151</v>
      </c>
      <c r="BH31" s="438">
        <f>SUM(Scenarios!AK32)</f>
        <v>21869982.592108507</v>
      </c>
      <c r="BI31" s="438">
        <f>Scenarios!AI32</f>
        <v>2982270.3534693415</v>
      </c>
      <c r="BJ31" s="447">
        <f>Scenarios!AA32</f>
        <v>35777603</v>
      </c>
      <c r="BK31" s="446">
        <f t="shared" si="67"/>
        <v>983281504.89799356</v>
      </c>
      <c r="BL31" s="438">
        <f t="shared" si="30"/>
        <v>568619547.39482117</v>
      </c>
      <c r="BM31" s="438">
        <f t="shared" si="31"/>
        <v>0</v>
      </c>
      <c r="BN31" s="438">
        <f t="shared" si="32"/>
        <v>1551901052.2928147</v>
      </c>
      <c r="BO31" s="453">
        <f t="shared" si="33"/>
        <v>43.376328265837564</v>
      </c>
      <c r="BP31" s="463">
        <f t="shared" si="34"/>
        <v>20.709905929155294</v>
      </c>
      <c r="BR31" s="446">
        <f t="shared" si="35"/>
        <v>10925350.054422155</v>
      </c>
      <c r="BS31" s="438">
        <v>0</v>
      </c>
      <c r="BT31" s="438">
        <f>Scenarios!AN32</f>
        <v>24852252.945577845</v>
      </c>
      <c r="BU31" s="447">
        <f>Scenarios!AA32</f>
        <v>35777603</v>
      </c>
      <c r="BV31" s="446">
        <f t="shared" si="68"/>
        <v>983281504.89799392</v>
      </c>
      <c r="BW31" s="438">
        <f t="shared" si="37"/>
        <v>0</v>
      </c>
      <c r="BX31" s="438">
        <f t="shared" si="38"/>
        <v>0</v>
      </c>
      <c r="BY31" s="438">
        <f t="shared" si="39"/>
        <v>983281504.89799392</v>
      </c>
      <c r="BZ31" s="453">
        <f t="shared" si="40"/>
        <v>27.483157686611758</v>
      </c>
      <c r="CA31" s="463">
        <f t="shared" si="41"/>
        <v>13.121756337641466</v>
      </c>
      <c r="CC31" s="446">
        <f t="shared" si="42"/>
        <v>18982853.045874394</v>
      </c>
      <c r="CD31" s="438">
        <f>SUM(Scenarios!BA32)</f>
        <v>3979595.4947550036</v>
      </c>
      <c r="CE31" s="438">
        <f>Scenarios!AY32</f>
        <v>477551.45937060041</v>
      </c>
      <c r="CF31" s="447">
        <f>Scenarios!AV32</f>
        <v>23440000</v>
      </c>
      <c r="CG31" s="446">
        <f t="shared" si="69"/>
        <v>1708456774.1286955</v>
      </c>
      <c r="CH31" s="438">
        <f t="shared" si="44"/>
        <v>103469482.86363009</v>
      </c>
      <c r="CI31" s="438">
        <f t="shared" si="45"/>
        <v>0</v>
      </c>
      <c r="CJ31" s="438">
        <f t="shared" si="46"/>
        <v>1811926256.9923255</v>
      </c>
      <c r="CK31" s="453">
        <f t="shared" si="47"/>
        <v>77.300608233460991</v>
      </c>
      <c r="CL31" s="463">
        <f t="shared" si="48"/>
        <v>24.179906494320289</v>
      </c>
      <c r="CN31" s="446">
        <f t="shared" si="49"/>
        <v>7157835.7352686618</v>
      </c>
      <c r="CO31" s="438">
        <f>SUM(Scenarios!BF32)</f>
        <v>14328304.552963579</v>
      </c>
      <c r="CP31" s="438">
        <f>Scenarios!BD32</f>
        <v>1953859.7117677606</v>
      </c>
      <c r="CQ31" s="447">
        <f>Scenarios!AV32</f>
        <v>23440000</v>
      </c>
      <c r="CR31" s="446">
        <f t="shared" si="70"/>
        <v>644205216.17417955</v>
      </c>
      <c r="CS31" s="438">
        <f t="shared" si="51"/>
        <v>372535918.37705308</v>
      </c>
      <c r="CT31" s="438">
        <f t="shared" si="52"/>
        <v>0</v>
      </c>
      <c r="CU31" s="438">
        <f t="shared" si="53"/>
        <v>1016741134.5512326</v>
      </c>
      <c r="CV31" s="453">
        <f t="shared" si="54"/>
        <v>43.376328265837564</v>
      </c>
      <c r="CW31" s="463">
        <f t="shared" si="55"/>
        <v>13.568270489764229</v>
      </c>
      <c r="CY31" s="446">
        <f t="shared" si="56"/>
        <v>7157835.7352686618</v>
      </c>
      <c r="CZ31" s="438">
        <v>0</v>
      </c>
      <c r="DA31" s="438">
        <f>Scenarios!BI32</f>
        <v>16282164.264731338</v>
      </c>
      <c r="DB31" s="447">
        <f>Scenarios!AV32</f>
        <v>23440000</v>
      </c>
      <c r="DC31" s="446">
        <f t="shared" si="71"/>
        <v>644205216.17417955</v>
      </c>
      <c r="DD31" s="438">
        <f t="shared" si="58"/>
        <v>0</v>
      </c>
      <c r="DE31" s="438">
        <f t="shared" si="59"/>
        <v>0</v>
      </c>
      <c r="DF31" s="438">
        <f t="shared" si="60"/>
        <v>644205216.17417955</v>
      </c>
      <c r="DG31" s="453">
        <f t="shared" si="61"/>
        <v>27.483157686611754</v>
      </c>
      <c r="DH31" s="463">
        <f t="shared" si="62"/>
        <v>8.5968299372743324</v>
      </c>
    </row>
    <row r="32" spans="13:112">
      <c r="M32" s="360">
        <v>2043</v>
      </c>
      <c r="N32" s="429"/>
      <c r="O32" s="446">
        <f t="shared" si="0"/>
        <v>33293413.828533847</v>
      </c>
      <c r="P32" s="438">
        <f>SUM(Scenarios!J33)</f>
        <v>7529267.6196126388</v>
      </c>
      <c r="Q32" s="438">
        <f>Scenarios!H33</f>
        <v>903512.11435351672</v>
      </c>
      <c r="R32" s="447">
        <f>Scenarios!E33</f>
        <v>41726193.5625</v>
      </c>
      <c r="S32" s="446">
        <f t="shared" si="63"/>
        <v>2996407244.5680461</v>
      </c>
      <c r="T32" s="438">
        <f t="shared" si="2"/>
        <v>195760958.10992861</v>
      </c>
      <c r="U32" s="438">
        <f t="shared" si="3"/>
        <v>0</v>
      </c>
      <c r="V32" s="438">
        <f t="shared" si="4"/>
        <v>3192168202.6779747</v>
      </c>
      <c r="W32" s="453">
        <f t="shared" si="5"/>
        <v>76.502741566794327</v>
      </c>
      <c r="X32" s="463">
        <f t="shared" si="6"/>
        <v>42.59904527407199</v>
      </c>
      <c r="Z32" s="446">
        <f t="shared" si="7"/>
        <v>9979035.5532613248</v>
      </c>
      <c r="AA32" s="438">
        <f>SUM(Scenarios!O33)</f>
        <v>27937499.048130035</v>
      </c>
      <c r="AB32" s="438">
        <f>Scenarios!M33</f>
        <v>3809658.9611086412</v>
      </c>
      <c r="AC32" s="447">
        <f>Scenarios!E33</f>
        <v>41726193.5625</v>
      </c>
      <c r="AD32" s="446">
        <f t="shared" si="64"/>
        <v>898113199.79351926</v>
      </c>
      <c r="AE32" s="438">
        <f t="shared" si="9"/>
        <v>726374975.25138092</v>
      </c>
      <c r="AF32" s="438">
        <f t="shared" si="10"/>
        <v>0</v>
      </c>
      <c r="AG32" s="438">
        <f t="shared" si="11"/>
        <v>1624488175.0449002</v>
      </c>
      <c r="AH32" s="453">
        <f t="shared" si="12"/>
        <v>38.932096037268394</v>
      </c>
      <c r="AI32" s="463">
        <f t="shared" si="13"/>
        <v>21.678571090921093</v>
      </c>
      <c r="AK32" s="446">
        <f t="shared" si="14"/>
        <v>9979035.5532613248</v>
      </c>
      <c r="AL32" s="438">
        <v>0</v>
      </c>
      <c r="AM32" s="438">
        <f>Scenarios!R33</f>
        <v>31747158.009238675</v>
      </c>
      <c r="AN32" s="447">
        <f>Scenarios!E33</f>
        <v>41726193.5625</v>
      </c>
      <c r="AO32" s="446">
        <f t="shared" si="65"/>
        <v>898113199.79351926</v>
      </c>
      <c r="AP32" s="438">
        <f t="shared" si="16"/>
        <v>0</v>
      </c>
      <c r="AQ32" s="438">
        <f t="shared" si="17"/>
        <v>0</v>
      </c>
      <c r="AR32" s="438">
        <f t="shared" si="18"/>
        <v>898113199.79351926</v>
      </c>
      <c r="AS32" s="453">
        <f t="shared" si="19"/>
        <v>21.523966676909346</v>
      </c>
      <c r="AT32" s="463">
        <f t="shared" si="20"/>
        <v>11.985197029138295</v>
      </c>
      <c r="AV32" s="446">
        <f t="shared" si="21"/>
        <v>28698228.664432209</v>
      </c>
      <c r="AW32" s="438">
        <f>SUM(Scenarios!AF33)</f>
        <v>6490071.7281855308</v>
      </c>
      <c r="AX32" s="438">
        <f>Scenarios!AD33</f>
        <v>778808.60738226364</v>
      </c>
      <c r="AY32" s="447">
        <f>Scenarios!AA33</f>
        <v>35967109</v>
      </c>
      <c r="AZ32" s="446">
        <f t="shared" si="66"/>
        <v>2582840579.7988987</v>
      </c>
      <c r="BA32" s="438">
        <f t="shared" si="23"/>
        <v>168741864.93282381</v>
      </c>
      <c r="BB32" s="438">
        <f t="shared" si="24"/>
        <v>0</v>
      </c>
      <c r="BC32" s="438">
        <f t="shared" si="25"/>
        <v>2751582444.7317224</v>
      </c>
      <c r="BD32" s="453">
        <f t="shared" si="26"/>
        <v>76.502741566794327</v>
      </c>
      <c r="BE32" s="463">
        <f t="shared" si="27"/>
        <v>36.71948897935092</v>
      </c>
      <c r="BG32" s="446">
        <f t="shared" si="28"/>
        <v>8601720.6175640672</v>
      </c>
      <c r="BH32" s="438">
        <f>SUM(Scenarios!AK33)</f>
        <v>24081541.776543621</v>
      </c>
      <c r="BI32" s="438">
        <f>Scenarios!AI33</f>
        <v>3283846.6058923118</v>
      </c>
      <c r="BJ32" s="447">
        <f>Scenarios!AA33</f>
        <v>35967109</v>
      </c>
      <c r="BK32" s="446">
        <f t="shared" si="67"/>
        <v>774154855.58076608</v>
      </c>
      <c r="BL32" s="438">
        <f t="shared" si="30"/>
        <v>626120086.19013417</v>
      </c>
      <c r="BM32" s="438">
        <f t="shared" si="31"/>
        <v>0</v>
      </c>
      <c r="BN32" s="438">
        <f t="shared" si="32"/>
        <v>1400274941.7709002</v>
      </c>
      <c r="BO32" s="453">
        <f t="shared" si="33"/>
        <v>38.932096037268387</v>
      </c>
      <c r="BP32" s="463">
        <f t="shared" si="34"/>
        <v>18.686476355038309</v>
      </c>
      <c r="BR32" s="446">
        <f t="shared" si="35"/>
        <v>8601720.6175640672</v>
      </c>
      <c r="BS32" s="438">
        <v>0</v>
      </c>
      <c r="BT32" s="438">
        <f>Scenarios!AN33</f>
        <v>27365388.382435933</v>
      </c>
      <c r="BU32" s="447">
        <f>Scenarios!AA33</f>
        <v>35967109</v>
      </c>
      <c r="BV32" s="446">
        <f t="shared" si="68"/>
        <v>774154855.58076608</v>
      </c>
      <c r="BW32" s="438">
        <f t="shared" si="37"/>
        <v>0</v>
      </c>
      <c r="BX32" s="438">
        <f t="shared" si="38"/>
        <v>0</v>
      </c>
      <c r="BY32" s="438">
        <f t="shared" si="39"/>
        <v>774154855.58076608</v>
      </c>
      <c r="BZ32" s="453">
        <f t="shared" si="40"/>
        <v>21.523966676909343</v>
      </c>
      <c r="CA32" s="463">
        <f t="shared" si="41"/>
        <v>10.330989988046866</v>
      </c>
      <c r="CC32" s="446">
        <f t="shared" si="42"/>
        <v>18878361.62201599</v>
      </c>
      <c r="CD32" s="438">
        <f>SUM(Scenarios!BA33)</f>
        <v>4269319.9803428641</v>
      </c>
      <c r="CE32" s="438">
        <f>Scenarios!AY33</f>
        <v>512318.3976411437</v>
      </c>
      <c r="CF32" s="447">
        <f>Scenarios!AV33</f>
        <v>23660000</v>
      </c>
      <c r="CG32" s="446">
        <f t="shared" si="69"/>
        <v>1699052545.9814391</v>
      </c>
      <c r="CH32" s="438">
        <f t="shared" si="44"/>
        <v>111002319.48891446</v>
      </c>
      <c r="CI32" s="438">
        <f t="shared" si="45"/>
        <v>0</v>
      </c>
      <c r="CJ32" s="438">
        <f t="shared" si="46"/>
        <v>1810054865.4703536</v>
      </c>
      <c r="CK32" s="453">
        <f t="shared" si="47"/>
        <v>76.502741566794313</v>
      </c>
      <c r="CL32" s="463">
        <f t="shared" si="48"/>
        <v>24.154933032049996</v>
      </c>
      <c r="CN32" s="446">
        <f t="shared" si="49"/>
        <v>5658411.6841741651</v>
      </c>
      <c r="CO32" s="438">
        <f>SUM(Scenarios!BF33)</f>
        <v>15841397.717926733</v>
      </c>
      <c r="CP32" s="438">
        <f>Scenarios!BD33</f>
        <v>2160190.5978990998</v>
      </c>
      <c r="CQ32" s="447">
        <f>Scenarios!AV33</f>
        <v>23660000</v>
      </c>
      <c r="CR32" s="446">
        <f t="shared" si="70"/>
        <v>509257051.57567489</v>
      </c>
      <c r="CS32" s="438">
        <f t="shared" si="51"/>
        <v>411876340.66609508</v>
      </c>
      <c r="CT32" s="438">
        <f t="shared" si="52"/>
        <v>0</v>
      </c>
      <c r="CU32" s="438">
        <f t="shared" si="53"/>
        <v>921133392.24177003</v>
      </c>
      <c r="CV32" s="453">
        <f t="shared" si="54"/>
        <v>38.932096037268387</v>
      </c>
      <c r="CW32" s="463">
        <f t="shared" si="55"/>
        <v>12.292398328712109</v>
      </c>
      <c r="CY32" s="446">
        <f t="shared" si="56"/>
        <v>5658411.6841741689</v>
      </c>
      <c r="CZ32" s="438">
        <v>0</v>
      </c>
      <c r="DA32" s="438">
        <f>Scenarios!BI33</f>
        <v>18001588.315825831</v>
      </c>
      <c r="DB32" s="447">
        <f>Scenarios!AV33</f>
        <v>23660000</v>
      </c>
      <c r="DC32" s="446">
        <f t="shared" si="71"/>
        <v>509257051.57567519</v>
      </c>
      <c r="DD32" s="438">
        <f t="shared" si="58"/>
        <v>0</v>
      </c>
      <c r="DE32" s="438">
        <f t="shared" si="59"/>
        <v>0</v>
      </c>
      <c r="DF32" s="438">
        <f t="shared" si="60"/>
        <v>509257051.57567519</v>
      </c>
      <c r="DG32" s="453">
        <f t="shared" si="61"/>
        <v>21.52396667690935</v>
      </c>
      <c r="DH32" s="463">
        <f t="shared" si="62"/>
        <v>6.7959652558449708</v>
      </c>
    </row>
    <row r="33" spans="13:112">
      <c r="M33" s="360">
        <v>2044</v>
      </c>
      <c r="N33" s="429"/>
      <c r="O33" s="446">
        <f t="shared" si="0"/>
        <v>33095784.026583217</v>
      </c>
      <c r="P33" s="438">
        <f>SUM(Scenarios!J34)</f>
        <v>8065370.7351935562</v>
      </c>
      <c r="Q33" s="438">
        <f>Scenarios!H34</f>
        <v>967844.48822322662</v>
      </c>
      <c r="R33" s="447">
        <f>Scenarios!E34</f>
        <v>42128999.25</v>
      </c>
      <c r="S33" s="446">
        <f t="shared" si="63"/>
        <v>2978620562.3924894</v>
      </c>
      <c r="T33" s="438">
        <f t="shared" si="2"/>
        <v>209699639.11503246</v>
      </c>
      <c r="U33" s="438">
        <f t="shared" si="3"/>
        <v>0</v>
      </c>
      <c r="V33" s="438">
        <f t="shared" si="4"/>
        <v>3188320201.5075221</v>
      </c>
      <c r="W33" s="453">
        <f t="shared" si="5"/>
        <v>75.679941566794326</v>
      </c>
      <c r="X33" s="463">
        <f t="shared" si="6"/>
        <v>42.547694228116058</v>
      </c>
      <c r="Z33" s="446">
        <f t="shared" si="7"/>
        <v>7730932.3636664562</v>
      </c>
      <c r="AA33" s="438">
        <f>SUM(Scenarios!O34)</f>
        <v>30270298.859973516</v>
      </c>
      <c r="AB33" s="438">
        <f>Scenarios!M34</f>
        <v>4127768.0263600247</v>
      </c>
      <c r="AC33" s="447">
        <f>Scenarios!E34</f>
        <v>42128999.25</v>
      </c>
      <c r="AD33" s="446">
        <f t="shared" si="64"/>
        <v>695783912.72998106</v>
      </c>
      <c r="AE33" s="438">
        <f t="shared" si="9"/>
        <v>787027770.35931146</v>
      </c>
      <c r="AF33" s="438">
        <f t="shared" si="10"/>
        <v>0</v>
      </c>
      <c r="AG33" s="438">
        <f t="shared" si="11"/>
        <v>1482811683.0892925</v>
      </c>
      <c r="AH33" s="453">
        <f t="shared" si="12"/>
        <v>35.196935827743225</v>
      </c>
      <c r="AI33" s="463">
        <f t="shared" si="13"/>
        <v>19.787917807041659</v>
      </c>
      <c r="AK33" s="446">
        <f t="shared" si="14"/>
        <v>7730932.3636664599</v>
      </c>
      <c r="AL33" s="438">
        <v>0</v>
      </c>
      <c r="AM33" s="438">
        <f>Scenarios!R34</f>
        <v>34398066.88633354</v>
      </c>
      <c r="AN33" s="447">
        <f>Scenarios!E34</f>
        <v>42128999.25</v>
      </c>
      <c r="AO33" s="446">
        <f t="shared" si="65"/>
        <v>695783912.72998142</v>
      </c>
      <c r="AP33" s="438">
        <f t="shared" si="16"/>
        <v>0</v>
      </c>
      <c r="AQ33" s="438">
        <f t="shared" si="17"/>
        <v>0</v>
      </c>
      <c r="AR33" s="438">
        <f t="shared" si="18"/>
        <v>695783912.72998142</v>
      </c>
      <c r="AS33" s="453">
        <f t="shared" si="19"/>
        <v>16.515557575936995</v>
      </c>
      <c r="AT33" s="463">
        <f t="shared" si="20"/>
        <v>9.2851405431863085</v>
      </c>
      <c r="AV33" s="446">
        <f t="shared" si="21"/>
        <v>28403986.386463214</v>
      </c>
      <c r="AW33" s="438">
        <f>SUM(Scenarios!AF34)</f>
        <v>6921989.8335149838</v>
      </c>
      <c r="AX33" s="438">
        <f>Scenarios!AD34</f>
        <v>830638.78002179798</v>
      </c>
      <c r="AY33" s="447">
        <f>Scenarios!AA34</f>
        <v>36156615</v>
      </c>
      <c r="AZ33" s="446">
        <f t="shared" si="66"/>
        <v>2556358774.7816892</v>
      </c>
      <c r="BA33" s="438">
        <f t="shared" si="23"/>
        <v>179971735.67138958</v>
      </c>
      <c r="BB33" s="438">
        <f t="shared" si="24"/>
        <v>0</v>
      </c>
      <c r="BC33" s="438">
        <f t="shared" si="25"/>
        <v>2736330510.4530787</v>
      </c>
      <c r="BD33" s="453">
        <f t="shared" si="26"/>
        <v>75.679941566794312</v>
      </c>
      <c r="BE33" s="463">
        <f t="shared" si="27"/>
        <v>36.515954015777247</v>
      </c>
      <c r="BG33" s="446">
        <f t="shared" si="28"/>
        <v>6634962.8531498574</v>
      </c>
      <c r="BH33" s="438">
        <f>SUM(Scenarios!AK34)</f>
        <v>25979053.889228124</v>
      </c>
      <c r="BI33" s="438">
        <f>Scenarios!AI34</f>
        <v>3542598.2576220171</v>
      </c>
      <c r="BJ33" s="447">
        <f>Scenarios!AA34</f>
        <v>36156615</v>
      </c>
      <c r="BK33" s="446">
        <f t="shared" si="67"/>
        <v>597146656.7834872</v>
      </c>
      <c r="BL33" s="438">
        <f t="shared" si="30"/>
        <v>675455401.11993122</v>
      </c>
      <c r="BM33" s="438">
        <f t="shared" si="31"/>
        <v>0</v>
      </c>
      <c r="BN33" s="438">
        <f t="shared" si="32"/>
        <v>1272602057.9034185</v>
      </c>
      <c r="BO33" s="453">
        <f t="shared" si="33"/>
        <v>35.196935827743239</v>
      </c>
      <c r="BP33" s="463">
        <f t="shared" si="34"/>
        <v>16.982699293547775</v>
      </c>
      <c r="BR33" s="446">
        <f t="shared" si="35"/>
        <v>6634962.8531498574</v>
      </c>
      <c r="BS33" s="438">
        <v>0</v>
      </c>
      <c r="BT33" s="438">
        <f>Scenarios!AN34</f>
        <v>29521652.146850143</v>
      </c>
      <c r="BU33" s="447">
        <f>Scenarios!AA34</f>
        <v>36156615</v>
      </c>
      <c r="BV33" s="446">
        <f t="shared" si="68"/>
        <v>597146656.7834872</v>
      </c>
      <c r="BW33" s="438">
        <f t="shared" si="37"/>
        <v>0</v>
      </c>
      <c r="BX33" s="438">
        <f t="shared" si="38"/>
        <v>0</v>
      </c>
      <c r="BY33" s="438">
        <f t="shared" si="39"/>
        <v>597146656.7834872</v>
      </c>
      <c r="BZ33" s="453">
        <f t="shared" si="40"/>
        <v>16.515557575936995</v>
      </c>
      <c r="CA33" s="463">
        <f t="shared" si="41"/>
        <v>7.9688399396498442</v>
      </c>
      <c r="CC33" s="446">
        <f t="shared" si="42"/>
        <v>18759698.464824256</v>
      </c>
      <c r="CD33" s="438">
        <f>SUM(Scenarios!BA34)</f>
        <v>4571697.7992640575</v>
      </c>
      <c r="CE33" s="438">
        <f>Scenarios!AY34</f>
        <v>548603.73591168679</v>
      </c>
      <c r="CF33" s="447">
        <f>Scenarios!AV34</f>
        <v>23880000</v>
      </c>
      <c r="CG33" s="446">
        <f t="shared" si="69"/>
        <v>1688372861.834183</v>
      </c>
      <c r="CH33" s="438">
        <f t="shared" si="44"/>
        <v>118864142.78086549</v>
      </c>
      <c r="CI33" s="438">
        <f t="shared" si="45"/>
        <v>0</v>
      </c>
      <c r="CJ33" s="438">
        <f t="shared" si="46"/>
        <v>1807237004.6150484</v>
      </c>
      <c r="CK33" s="453">
        <f t="shared" si="47"/>
        <v>75.679941566794326</v>
      </c>
      <c r="CL33" s="463">
        <f t="shared" si="48"/>
        <v>24.11732906680453</v>
      </c>
      <c r="CN33" s="446">
        <f t="shared" si="49"/>
        <v>4382127.9434819482</v>
      </c>
      <c r="CO33" s="438">
        <f>SUM(Scenarios!BF34)</f>
        <v>17158127.409735885</v>
      </c>
      <c r="CP33" s="438">
        <f>Scenarios!BD34</f>
        <v>2339744.6467821659</v>
      </c>
      <c r="CQ33" s="447">
        <f>Scenarios!AV34</f>
        <v>23880000</v>
      </c>
      <c r="CR33" s="446">
        <f t="shared" si="70"/>
        <v>394391514.91337532</v>
      </c>
      <c r="CS33" s="438">
        <f t="shared" si="51"/>
        <v>446111312.65313298</v>
      </c>
      <c r="CT33" s="438">
        <f t="shared" si="52"/>
        <v>0</v>
      </c>
      <c r="CU33" s="438">
        <f t="shared" si="53"/>
        <v>840502827.56650829</v>
      </c>
      <c r="CV33" s="453">
        <f t="shared" si="54"/>
        <v>35.196935827743225</v>
      </c>
      <c r="CW33" s="463">
        <f t="shared" si="55"/>
        <v>11.216394541632859</v>
      </c>
      <c r="CY33" s="446">
        <f t="shared" si="56"/>
        <v>4382127.9434819482</v>
      </c>
      <c r="CZ33" s="438">
        <v>0</v>
      </c>
      <c r="DA33" s="438">
        <f>Scenarios!BI34</f>
        <v>19497872.056518052</v>
      </c>
      <c r="DB33" s="447">
        <f>Scenarios!AV34</f>
        <v>23880000</v>
      </c>
      <c r="DC33" s="446">
        <f t="shared" si="71"/>
        <v>394391514.91337532</v>
      </c>
      <c r="DD33" s="438">
        <f t="shared" si="58"/>
        <v>0</v>
      </c>
      <c r="DE33" s="438">
        <f t="shared" si="59"/>
        <v>0</v>
      </c>
      <c r="DF33" s="438">
        <f t="shared" si="60"/>
        <v>394391514.91337532</v>
      </c>
      <c r="DG33" s="453">
        <f t="shared" si="61"/>
        <v>16.515557575936988</v>
      </c>
      <c r="DH33" s="463">
        <f t="shared" si="62"/>
        <v>5.263100479921536</v>
      </c>
    </row>
    <row r="34" spans="13:112">
      <c r="M34" s="360">
        <v>2045</v>
      </c>
      <c r="N34" s="429"/>
      <c r="O34" s="446">
        <f t="shared" si="0"/>
        <v>32872350.551982589</v>
      </c>
      <c r="P34" s="438">
        <f>SUM(Scenarios!J35)</f>
        <v>8624512.8442119732</v>
      </c>
      <c r="Q34" s="438">
        <f>Scenarios!H35</f>
        <v>1034941.5413054369</v>
      </c>
      <c r="R34" s="447">
        <f>Scenarios!E35</f>
        <v>42531804.9375</v>
      </c>
      <c r="S34" s="446">
        <f t="shared" si="63"/>
        <v>2958511549.6784329</v>
      </c>
      <c r="T34" s="438">
        <f t="shared" si="2"/>
        <v>224237333.94951129</v>
      </c>
      <c r="U34" s="438">
        <f t="shared" si="3"/>
        <v>0</v>
      </c>
      <c r="V34" s="438">
        <f t="shared" si="4"/>
        <v>3182748883.627944</v>
      </c>
      <c r="W34" s="453">
        <f t="shared" si="5"/>
        <v>74.832208233460989</v>
      </c>
      <c r="X34" s="463">
        <f t="shared" si="6"/>
        <v>42.473345757885298</v>
      </c>
      <c r="Z34" s="446">
        <f t="shared" si="7"/>
        <v>5888522.3715101033</v>
      </c>
      <c r="AA34" s="438">
        <f>SUM(Scenarios!O35)</f>
        <v>32246088.658071108</v>
      </c>
      <c r="AB34" s="438">
        <f>Scenarios!M35</f>
        <v>4397193.9079187876</v>
      </c>
      <c r="AC34" s="447">
        <f>Scenarios!E35</f>
        <v>42531804.9375</v>
      </c>
      <c r="AD34" s="446">
        <f t="shared" si="64"/>
        <v>529967013.43590927</v>
      </c>
      <c r="AE34" s="438">
        <f t="shared" si="9"/>
        <v>838398305.10984886</v>
      </c>
      <c r="AF34" s="438">
        <f t="shared" si="10"/>
        <v>0</v>
      </c>
      <c r="AG34" s="438">
        <f t="shared" si="11"/>
        <v>1368365318.5457582</v>
      </c>
      <c r="AH34" s="453">
        <f t="shared" si="12"/>
        <v>32.172754496465771</v>
      </c>
      <c r="AI34" s="463">
        <f t="shared" si="13"/>
        <v>18.260646825345589</v>
      </c>
      <c r="AK34" s="446">
        <f t="shared" si="14"/>
        <v>5888522.3715101033</v>
      </c>
      <c r="AL34" s="438">
        <v>0</v>
      </c>
      <c r="AM34" s="438">
        <f>Scenarios!R35</f>
        <v>36643282.565989897</v>
      </c>
      <c r="AN34" s="447">
        <f>Scenarios!E35</f>
        <v>42531804.9375</v>
      </c>
      <c r="AO34" s="446">
        <f t="shared" si="65"/>
        <v>529967013.43590927</v>
      </c>
      <c r="AP34" s="438">
        <f t="shared" si="16"/>
        <v>0</v>
      </c>
      <c r="AQ34" s="438">
        <f t="shared" si="17"/>
        <v>0</v>
      </c>
      <c r="AR34" s="438">
        <f t="shared" si="18"/>
        <v>529967013.43590927</v>
      </c>
      <c r="AS34" s="453">
        <f t="shared" si="19"/>
        <v>12.46048725688199</v>
      </c>
      <c r="AT34" s="463">
        <f t="shared" si="20"/>
        <v>7.0723368462167757</v>
      </c>
      <c r="AV34" s="446">
        <f t="shared" si="21"/>
        <v>28091505.46214756</v>
      </c>
      <c r="AW34" s="438">
        <f>SUM(Scenarios!AF35)</f>
        <v>7370192.4445111034</v>
      </c>
      <c r="AX34" s="438">
        <f>Scenarios!AD35</f>
        <v>884423.09334133239</v>
      </c>
      <c r="AY34" s="447">
        <f>Scenarios!AA35</f>
        <v>36346121</v>
      </c>
      <c r="AZ34" s="446">
        <f t="shared" si="66"/>
        <v>2528235491.5932803</v>
      </c>
      <c r="BA34" s="438">
        <f t="shared" si="23"/>
        <v>191625003.55728868</v>
      </c>
      <c r="BB34" s="438">
        <f t="shared" si="24"/>
        <v>0</v>
      </c>
      <c r="BC34" s="438">
        <f t="shared" si="25"/>
        <v>2719860495.150569</v>
      </c>
      <c r="BD34" s="453">
        <f t="shared" si="26"/>
        <v>74.832208233460975</v>
      </c>
      <c r="BE34" s="463">
        <f t="shared" si="27"/>
        <v>36.296163928604628</v>
      </c>
      <c r="BG34" s="446">
        <f t="shared" si="28"/>
        <v>5032115.3061954565</v>
      </c>
      <c r="BH34" s="438">
        <f>SUM(Scenarios!AK35)</f>
        <v>27556325.010547999</v>
      </c>
      <c r="BI34" s="438">
        <f>Scenarios!AI35</f>
        <v>3757680.6832565456</v>
      </c>
      <c r="BJ34" s="447">
        <f>Scenarios!AA35</f>
        <v>36346121</v>
      </c>
      <c r="BK34" s="446">
        <f t="shared" si="67"/>
        <v>452890377.55759108</v>
      </c>
      <c r="BL34" s="438">
        <f t="shared" si="30"/>
        <v>716464450.274248</v>
      </c>
      <c r="BM34" s="438">
        <f t="shared" si="31"/>
        <v>0</v>
      </c>
      <c r="BN34" s="438">
        <f t="shared" si="32"/>
        <v>1169354827.8318391</v>
      </c>
      <c r="BO34" s="453">
        <f t="shared" si="33"/>
        <v>32.172754496465771</v>
      </c>
      <c r="BP34" s="463">
        <f t="shared" si="34"/>
        <v>15.604879219858686</v>
      </c>
      <c r="BR34" s="446">
        <f t="shared" si="35"/>
        <v>5032115.3061954528</v>
      </c>
      <c r="BS34" s="438">
        <v>0</v>
      </c>
      <c r="BT34" s="438">
        <f>Scenarios!AN35</f>
        <v>31314005.693804547</v>
      </c>
      <c r="BU34" s="447">
        <f>Scenarios!AA35</f>
        <v>36346121</v>
      </c>
      <c r="BV34" s="446">
        <f t="shared" si="68"/>
        <v>452890377.55759072</v>
      </c>
      <c r="BW34" s="438">
        <f t="shared" si="37"/>
        <v>0</v>
      </c>
      <c r="BX34" s="438">
        <f t="shared" si="38"/>
        <v>0</v>
      </c>
      <c r="BY34" s="438">
        <f t="shared" si="39"/>
        <v>452890377.55759072</v>
      </c>
      <c r="BZ34" s="453">
        <f t="shared" si="40"/>
        <v>12.460487256881985</v>
      </c>
      <c r="CA34" s="463">
        <f t="shared" si="41"/>
        <v>6.0437597497470001</v>
      </c>
      <c r="CC34" s="446">
        <f t="shared" si="42"/>
        <v>18626617.174299184</v>
      </c>
      <c r="CD34" s="438">
        <f>SUM(Scenarios!BA35)</f>
        <v>4886948.951518584</v>
      </c>
      <c r="CE34" s="438">
        <f>Scenarios!AY35</f>
        <v>586433.87418223009</v>
      </c>
      <c r="CF34" s="447">
        <f>Scenarios!AV35</f>
        <v>24100000</v>
      </c>
      <c r="CG34" s="446">
        <f t="shared" si="69"/>
        <v>1676395545.6869266</v>
      </c>
      <c r="CH34" s="438">
        <f t="shared" si="44"/>
        <v>127060672.73948318</v>
      </c>
      <c r="CI34" s="438">
        <f t="shared" si="45"/>
        <v>0</v>
      </c>
      <c r="CJ34" s="438">
        <f t="shared" si="46"/>
        <v>1803456218.4264097</v>
      </c>
      <c r="CK34" s="453">
        <f t="shared" si="47"/>
        <v>74.832208233460989</v>
      </c>
      <c r="CL34" s="463">
        <f t="shared" si="48"/>
        <v>24.066874995528998</v>
      </c>
      <c r="CN34" s="446">
        <f t="shared" si="49"/>
        <v>3336641.5876761787</v>
      </c>
      <c r="CO34" s="438">
        <f>SUM(Scenarios!BF35)</f>
        <v>18271755.402844962</v>
      </c>
      <c r="CP34" s="438">
        <f>Scenarios!BD35</f>
        <v>2491603.0094788587</v>
      </c>
      <c r="CQ34" s="447">
        <f>Scenarios!AV35</f>
        <v>24100000</v>
      </c>
      <c r="CR34" s="446">
        <f t="shared" si="70"/>
        <v>300297742.89085609</v>
      </c>
      <c r="CS34" s="438">
        <f t="shared" si="51"/>
        <v>475065640.47396898</v>
      </c>
      <c r="CT34" s="438">
        <f t="shared" si="52"/>
        <v>0</v>
      </c>
      <c r="CU34" s="438">
        <f t="shared" si="53"/>
        <v>775363383.36482501</v>
      </c>
      <c r="CV34" s="453">
        <f t="shared" si="54"/>
        <v>32.172754496465771</v>
      </c>
      <c r="CW34" s="463">
        <f t="shared" si="55"/>
        <v>10.347117624975557</v>
      </c>
      <c r="CY34" s="446">
        <f t="shared" si="56"/>
        <v>3336641.5876761749</v>
      </c>
      <c r="CZ34" s="438">
        <v>0</v>
      </c>
      <c r="DA34" s="438">
        <f>Scenarios!BI35</f>
        <v>20763358.412323825</v>
      </c>
      <c r="DB34" s="447">
        <f>Scenarios!AV35</f>
        <v>24100000</v>
      </c>
      <c r="DC34" s="446">
        <f t="shared" si="71"/>
        <v>300297742.89085573</v>
      </c>
      <c r="DD34" s="438">
        <f t="shared" si="58"/>
        <v>0</v>
      </c>
      <c r="DE34" s="438">
        <f t="shared" si="59"/>
        <v>0</v>
      </c>
      <c r="DF34" s="438">
        <f t="shared" si="60"/>
        <v>300297742.89085573</v>
      </c>
      <c r="DG34" s="453">
        <f t="shared" si="61"/>
        <v>12.460487256881981</v>
      </c>
      <c r="DH34" s="463">
        <f t="shared" si="62"/>
        <v>4.0074320439560145</v>
      </c>
    </row>
    <row r="35" spans="13:112">
      <c r="M35" s="360">
        <v>2046</v>
      </c>
      <c r="N35" s="429"/>
      <c r="O35" s="446">
        <f t="shared" si="0"/>
        <v>32622662.262361966</v>
      </c>
      <c r="P35" s="438">
        <f>SUM(Scenarios!J36)</f>
        <v>9207096.7523553912</v>
      </c>
      <c r="Q35" s="438">
        <f>Scenarios!H36</f>
        <v>1104851.6102826467</v>
      </c>
      <c r="R35" s="447">
        <f>Scenarios!E36</f>
        <v>42934610.625</v>
      </c>
      <c r="S35" s="446">
        <f t="shared" si="63"/>
        <v>2936039603.612577</v>
      </c>
      <c r="T35" s="438">
        <f t="shared" si="2"/>
        <v>239384515.56124017</v>
      </c>
      <c r="U35" s="438">
        <f t="shared" si="3"/>
        <v>0</v>
      </c>
      <c r="V35" s="438">
        <f t="shared" si="4"/>
        <v>3175424119.1738172</v>
      </c>
      <c r="W35" s="453">
        <f t="shared" si="5"/>
        <v>73.959541566794329</v>
      </c>
      <c r="X35" s="463">
        <f t="shared" si="6"/>
        <v>42.375597784472902</v>
      </c>
      <c r="Z35" s="446">
        <f t="shared" si="7"/>
        <v>4424834.8723243102</v>
      </c>
      <c r="AA35" s="438">
        <f>SUM(Scenarios!O36)</f>
        <v>33888602.662354611</v>
      </c>
      <c r="AB35" s="438">
        <f>Scenarios!M36</f>
        <v>4621173.0903210826</v>
      </c>
      <c r="AC35" s="447">
        <f>Scenarios!E36</f>
        <v>42934610.625</v>
      </c>
      <c r="AD35" s="446">
        <f t="shared" si="64"/>
        <v>398235138.50918794</v>
      </c>
      <c r="AE35" s="438">
        <f t="shared" si="9"/>
        <v>881103669.2212199</v>
      </c>
      <c r="AF35" s="438">
        <f t="shared" si="10"/>
        <v>0</v>
      </c>
      <c r="AG35" s="438">
        <f t="shared" si="11"/>
        <v>1279338807.7304077</v>
      </c>
      <c r="AH35" s="453">
        <f t="shared" si="12"/>
        <v>29.797377665874844</v>
      </c>
      <c r="AI35" s="463">
        <f t="shared" si="13"/>
        <v>17.072600292699153</v>
      </c>
      <c r="AK35" s="446">
        <f t="shared" si="14"/>
        <v>4424834.8723243102</v>
      </c>
      <c r="AL35" s="438">
        <v>0</v>
      </c>
      <c r="AM35" s="438">
        <f>Scenarios!R36</f>
        <v>38509775.75267569</v>
      </c>
      <c r="AN35" s="447">
        <f>Scenarios!E36</f>
        <v>42934610.625</v>
      </c>
      <c r="AO35" s="446">
        <f t="shared" si="65"/>
        <v>398235138.50918794</v>
      </c>
      <c r="AP35" s="438">
        <f t="shared" si="16"/>
        <v>0</v>
      </c>
      <c r="AQ35" s="438">
        <f t="shared" si="17"/>
        <v>0</v>
      </c>
      <c r="AR35" s="438">
        <f t="shared" si="18"/>
        <v>398235138.50918794</v>
      </c>
      <c r="AS35" s="453">
        <f t="shared" si="19"/>
        <v>9.2753872158631676</v>
      </c>
      <c r="AT35" s="463">
        <f t="shared" si="20"/>
        <v>5.3143931077464579</v>
      </c>
      <c r="AV35" s="446">
        <f t="shared" si="21"/>
        <v>27760573.644765243</v>
      </c>
      <c r="AW35" s="438">
        <f>SUM(Scenarios!AF36)</f>
        <v>7834869.0671738908</v>
      </c>
      <c r="AX35" s="438">
        <f>Scenarios!AD36</f>
        <v>940184.28806086665</v>
      </c>
      <c r="AY35" s="447">
        <f>Scenarios!AA36</f>
        <v>36535627</v>
      </c>
      <c r="AZ35" s="446">
        <f t="shared" si="66"/>
        <v>2498451628.028872</v>
      </c>
      <c r="BA35" s="438">
        <f t="shared" si="23"/>
        <v>203706595.74652117</v>
      </c>
      <c r="BB35" s="438">
        <f t="shared" si="24"/>
        <v>0</v>
      </c>
      <c r="BC35" s="438">
        <f t="shared" si="25"/>
        <v>2702158223.775393</v>
      </c>
      <c r="BD35" s="453">
        <f t="shared" si="26"/>
        <v>73.959541566794329</v>
      </c>
      <c r="BE35" s="463">
        <f t="shared" si="27"/>
        <v>36.059929553757961</v>
      </c>
      <c r="BG35" s="446">
        <f t="shared" si="28"/>
        <v>3765356.5288816094</v>
      </c>
      <c r="BH35" s="438">
        <f>SUM(Scenarios!AK36)</f>
        <v>28837838.014584184</v>
      </c>
      <c r="BI35" s="438">
        <f>Scenarios!AI36</f>
        <v>3932432.4565342064</v>
      </c>
      <c r="BJ35" s="447">
        <f>Scenarios!AA36</f>
        <v>36535627</v>
      </c>
      <c r="BK35" s="446">
        <f t="shared" si="67"/>
        <v>338882087.59934485</v>
      </c>
      <c r="BL35" s="438">
        <f t="shared" si="30"/>
        <v>749783788.37918878</v>
      </c>
      <c r="BM35" s="438">
        <f t="shared" si="31"/>
        <v>0</v>
      </c>
      <c r="BN35" s="438">
        <f t="shared" si="32"/>
        <v>1088665875.9785337</v>
      </c>
      <c r="BO35" s="453">
        <f t="shared" si="33"/>
        <v>29.797377665874841</v>
      </c>
      <c r="BP35" s="463">
        <f t="shared" si="34"/>
        <v>14.52809626392523</v>
      </c>
      <c r="BR35" s="446">
        <f t="shared" si="35"/>
        <v>3765356.5288816132</v>
      </c>
      <c r="BS35" s="438">
        <v>0</v>
      </c>
      <c r="BT35" s="438">
        <f>Scenarios!AN36</f>
        <v>32770270.471118387</v>
      </c>
      <c r="BU35" s="447">
        <f>Scenarios!AA36</f>
        <v>36535627</v>
      </c>
      <c r="BV35" s="446">
        <f t="shared" si="68"/>
        <v>338882087.59934521</v>
      </c>
      <c r="BW35" s="438">
        <f t="shared" si="37"/>
        <v>0</v>
      </c>
      <c r="BX35" s="438">
        <f t="shared" si="38"/>
        <v>0</v>
      </c>
      <c r="BY35" s="438">
        <f t="shared" si="39"/>
        <v>338882087.59934521</v>
      </c>
      <c r="BZ35" s="453">
        <f t="shared" si="40"/>
        <v>9.2753872158631676</v>
      </c>
      <c r="CA35" s="463">
        <f t="shared" si="41"/>
        <v>4.5223348130921925</v>
      </c>
      <c r="CC35" s="446">
        <f t="shared" si="42"/>
        <v>18478871.350440782</v>
      </c>
      <c r="CD35" s="438">
        <f>SUM(Scenarios!BA36)</f>
        <v>5215293.4371064445</v>
      </c>
      <c r="CE35" s="438">
        <f>Scenarios!AY36</f>
        <v>625835.21245277324</v>
      </c>
      <c r="CF35" s="447">
        <f>Scenarios!AV36</f>
        <v>24320000</v>
      </c>
      <c r="CG35" s="446">
        <f t="shared" si="69"/>
        <v>1663098421.5396702</v>
      </c>
      <c r="CH35" s="438">
        <f t="shared" si="44"/>
        <v>135597629.36476755</v>
      </c>
      <c r="CI35" s="438">
        <f t="shared" si="45"/>
        <v>0</v>
      </c>
      <c r="CJ35" s="438">
        <f t="shared" si="46"/>
        <v>1798696050.9044378</v>
      </c>
      <c r="CK35" s="453">
        <f t="shared" si="47"/>
        <v>73.959541566794314</v>
      </c>
      <c r="CL35" s="463">
        <f t="shared" si="48"/>
        <v>24.003351215168511</v>
      </c>
      <c r="CN35" s="446">
        <f t="shared" si="49"/>
        <v>2506415.7454421334</v>
      </c>
      <c r="CO35" s="438">
        <f>SUM(Scenarios!BF36)</f>
        <v>19195954.144010924</v>
      </c>
      <c r="CP35" s="438">
        <f>Scenarios!BD36</f>
        <v>2617630.1105469437</v>
      </c>
      <c r="CQ35" s="447">
        <f>Scenarios!AV36</f>
        <v>24320000</v>
      </c>
      <c r="CR35" s="446">
        <f t="shared" si="70"/>
        <v>225577417.08979201</v>
      </c>
      <c r="CS35" s="438">
        <f t="shared" si="51"/>
        <v>499094807.74428403</v>
      </c>
      <c r="CT35" s="438">
        <f t="shared" si="52"/>
        <v>0</v>
      </c>
      <c r="CU35" s="438">
        <f t="shared" si="53"/>
        <v>724672224.83407605</v>
      </c>
      <c r="CV35" s="453">
        <f t="shared" si="54"/>
        <v>29.797377665874837</v>
      </c>
      <c r="CW35" s="463">
        <f t="shared" si="55"/>
        <v>9.6706510918414388</v>
      </c>
      <c r="CY35" s="446">
        <f t="shared" si="56"/>
        <v>2506415.7454421334</v>
      </c>
      <c r="CZ35" s="438">
        <v>0</v>
      </c>
      <c r="DA35" s="438">
        <f>Scenarios!BI36</f>
        <v>21813584.254557867</v>
      </c>
      <c r="DB35" s="447">
        <f>Scenarios!AV36</f>
        <v>24320000</v>
      </c>
      <c r="DC35" s="446">
        <f t="shared" si="71"/>
        <v>225577417.08979201</v>
      </c>
      <c r="DD35" s="438">
        <f t="shared" si="58"/>
        <v>0</v>
      </c>
      <c r="DE35" s="438">
        <f t="shared" si="59"/>
        <v>0</v>
      </c>
      <c r="DF35" s="438">
        <f t="shared" si="60"/>
        <v>225577417.08979201</v>
      </c>
      <c r="DG35" s="453">
        <f t="shared" si="61"/>
        <v>9.2753872158631587</v>
      </c>
      <c r="DH35" s="463">
        <f t="shared" si="62"/>
        <v>3.0102995811294546</v>
      </c>
    </row>
    <row r="36" spans="13:112">
      <c r="M36" s="360">
        <v>2047</v>
      </c>
      <c r="N36" s="429"/>
      <c r="O36" s="446">
        <f t="shared" si="0"/>
        <v>32346268.015351333</v>
      </c>
      <c r="P36" s="438">
        <f>SUM(Scenarios!J37)</f>
        <v>9813525.2653113082</v>
      </c>
      <c r="Q36" s="438">
        <f>Scenarios!H37</f>
        <v>1177623.031837357</v>
      </c>
      <c r="R36" s="447">
        <f>Scenarios!E37</f>
        <v>43337416.3125</v>
      </c>
      <c r="S36" s="446">
        <f t="shared" si="63"/>
        <v>2911164121.3816199</v>
      </c>
      <c r="T36" s="438">
        <f t="shared" si="2"/>
        <v>255151656.898094</v>
      </c>
      <c r="U36" s="438">
        <f t="shared" si="3"/>
        <v>0</v>
      </c>
      <c r="V36" s="438">
        <f t="shared" si="4"/>
        <v>3166315778.2797141</v>
      </c>
      <c r="W36" s="453">
        <f t="shared" si="5"/>
        <v>73.061941566794317</v>
      </c>
      <c r="X36" s="463">
        <f t="shared" si="6"/>
        <v>42.25404822897201</v>
      </c>
      <c r="Z36" s="446">
        <f t="shared" si="7"/>
        <v>3290131.6362159178</v>
      </c>
      <c r="AA36" s="438">
        <f>SUM(Scenarios!O37)</f>
        <v>35241610.515129991</v>
      </c>
      <c r="AB36" s="438">
        <f>Scenarios!M37</f>
        <v>4805674.1611540895</v>
      </c>
      <c r="AC36" s="447">
        <f>Scenarios!E37</f>
        <v>43337416.3125</v>
      </c>
      <c r="AD36" s="446">
        <f t="shared" si="64"/>
        <v>296111847.25943261</v>
      </c>
      <c r="AE36" s="438">
        <f t="shared" si="9"/>
        <v>916281873.39337981</v>
      </c>
      <c r="AF36" s="438">
        <f t="shared" si="10"/>
        <v>0</v>
      </c>
      <c r="AG36" s="438">
        <f t="shared" si="11"/>
        <v>1212393720.6528125</v>
      </c>
      <c r="AH36" s="453">
        <f t="shared" si="12"/>
        <v>27.975680689185811</v>
      </c>
      <c r="AI36" s="463">
        <f t="shared" si="13"/>
        <v>16.179227320403164</v>
      </c>
      <c r="AK36" s="446">
        <f t="shared" si="14"/>
        <v>3290131.6362159178</v>
      </c>
      <c r="AL36" s="438">
        <v>0</v>
      </c>
      <c r="AM36" s="438">
        <f>Scenarios!R37</f>
        <v>40047284.676284082</v>
      </c>
      <c r="AN36" s="447">
        <f>Scenarios!E37</f>
        <v>43337416.3125</v>
      </c>
      <c r="AO36" s="446">
        <f t="shared" si="65"/>
        <v>296111847.25943261</v>
      </c>
      <c r="AP36" s="438">
        <f t="shared" si="16"/>
        <v>0</v>
      </c>
      <c r="AQ36" s="438">
        <f t="shared" si="17"/>
        <v>0</v>
      </c>
      <c r="AR36" s="438">
        <f t="shared" si="18"/>
        <v>296111847.25943261</v>
      </c>
      <c r="AS36" s="453">
        <f t="shared" si="19"/>
        <v>6.8327065260238822</v>
      </c>
      <c r="AT36" s="463">
        <f t="shared" si="20"/>
        <v>3.9515718429284057</v>
      </c>
      <c r="AV36" s="446">
        <f t="shared" si="21"/>
        <v>27410978.687596254</v>
      </c>
      <c r="AW36" s="438">
        <f>SUM(Scenarios!AF37)</f>
        <v>8316209.207503343</v>
      </c>
      <c r="AX36" s="438">
        <f>Scenarios!AD37</f>
        <v>997945.1049004012</v>
      </c>
      <c r="AY36" s="447">
        <f>Scenarios!AA37</f>
        <v>36725133</v>
      </c>
      <c r="AZ36" s="446">
        <f t="shared" si="66"/>
        <v>2466988081.8836627</v>
      </c>
      <c r="BA36" s="438">
        <f t="shared" si="23"/>
        <v>216221439.39508691</v>
      </c>
      <c r="BB36" s="438">
        <f t="shared" si="24"/>
        <v>0</v>
      </c>
      <c r="BC36" s="438">
        <f t="shared" si="25"/>
        <v>2683209521.2787495</v>
      </c>
      <c r="BD36" s="453">
        <f t="shared" si="26"/>
        <v>73.061941566794317</v>
      </c>
      <c r="BE36" s="463">
        <f t="shared" si="27"/>
        <v>35.80706172716215</v>
      </c>
      <c r="BG36" s="446">
        <f t="shared" si="28"/>
        <v>2788133.9546466134</v>
      </c>
      <c r="BH36" s="438">
        <f>SUM(Scenarios!AK37)</f>
        <v>29864559.159910981</v>
      </c>
      <c r="BI36" s="438">
        <f>Scenarios!AI37</f>
        <v>4072439.8854424059</v>
      </c>
      <c r="BJ36" s="447">
        <f>Scenarios!AA37</f>
        <v>36725133</v>
      </c>
      <c r="BK36" s="446">
        <f t="shared" si="67"/>
        <v>250932055.91819522</v>
      </c>
      <c r="BL36" s="438">
        <f t="shared" si="30"/>
        <v>776478538.15768552</v>
      </c>
      <c r="BM36" s="438">
        <f t="shared" si="31"/>
        <v>0</v>
      </c>
      <c r="BN36" s="438">
        <f t="shared" si="32"/>
        <v>1027410594.0758808</v>
      </c>
      <c r="BO36" s="453">
        <f t="shared" si="33"/>
        <v>27.975680689185815</v>
      </c>
      <c r="BP36" s="463">
        <f t="shared" si="34"/>
        <v>13.710652958507282</v>
      </c>
      <c r="BR36" s="446">
        <f t="shared" si="35"/>
        <v>2788133.9546466172</v>
      </c>
      <c r="BS36" s="438">
        <v>0</v>
      </c>
      <c r="BT36" s="438">
        <f>Scenarios!AN37</f>
        <v>33936999.045353383</v>
      </c>
      <c r="BU36" s="447">
        <f>Scenarios!AA37</f>
        <v>36725133</v>
      </c>
      <c r="BV36" s="446">
        <f t="shared" si="68"/>
        <v>250932055.91819555</v>
      </c>
      <c r="BW36" s="438">
        <f t="shared" si="37"/>
        <v>0</v>
      </c>
      <c r="BX36" s="438">
        <f t="shared" si="38"/>
        <v>0</v>
      </c>
      <c r="BY36" s="438">
        <f t="shared" si="39"/>
        <v>250932055.91819555</v>
      </c>
      <c r="BZ36" s="453">
        <f t="shared" si="40"/>
        <v>6.8327065260238964</v>
      </c>
      <c r="CA36" s="463">
        <f t="shared" si="41"/>
        <v>3.348653746318119</v>
      </c>
      <c r="CC36" s="446">
        <f t="shared" si="42"/>
        <v>18316214.593249049</v>
      </c>
      <c r="CD36" s="438">
        <f>SUM(Scenarios!BA37)</f>
        <v>5556951.2560276361</v>
      </c>
      <c r="CE36" s="438">
        <f>Scenarios!AY37</f>
        <v>666834.15072331647</v>
      </c>
      <c r="CF36" s="447">
        <f>Scenarios!AV37</f>
        <v>24540000</v>
      </c>
      <c r="CG36" s="446">
        <f t="shared" si="69"/>
        <v>1648459313.3924143</v>
      </c>
      <c r="CH36" s="438">
        <f t="shared" si="44"/>
        <v>144480732.65671855</v>
      </c>
      <c r="CI36" s="438">
        <f t="shared" si="45"/>
        <v>0</v>
      </c>
      <c r="CJ36" s="438">
        <f t="shared" si="46"/>
        <v>1792940046.0491328</v>
      </c>
      <c r="CK36" s="453">
        <f t="shared" si="47"/>
        <v>73.061941566794331</v>
      </c>
      <c r="CL36" s="463">
        <f t="shared" si="48"/>
        <v>23.926538122668184</v>
      </c>
      <c r="CN36" s="446">
        <f t="shared" si="49"/>
        <v>1863051.3127625138</v>
      </c>
      <c r="CO36" s="438">
        <f>SUM(Scenarios!BF37)</f>
        <v>19955714.844768986</v>
      </c>
      <c r="CP36" s="438">
        <f>Scenarios!BD37</f>
        <v>2721233.8424684983</v>
      </c>
      <c r="CQ36" s="447">
        <f>Scenarios!AV37</f>
        <v>24540000</v>
      </c>
      <c r="CR36" s="446">
        <f t="shared" si="70"/>
        <v>167674618.14862624</v>
      </c>
      <c r="CS36" s="438">
        <f t="shared" si="51"/>
        <v>518848585.96399367</v>
      </c>
      <c r="CT36" s="438">
        <f t="shared" si="52"/>
        <v>0</v>
      </c>
      <c r="CU36" s="438">
        <f t="shared" si="53"/>
        <v>686523204.11261988</v>
      </c>
      <c r="CV36" s="453">
        <f t="shared" si="54"/>
        <v>27.975680689185815</v>
      </c>
      <c r="CW36" s="463">
        <f t="shared" si="55"/>
        <v>9.1615576613914147</v>
      </c>
      <c r="CY36" s="446">
        <f t="shared" si="56"/>
        <v>1863051.3127625138</v>
      </c>
      <c r="CZ36" s="438">
        <v>0</v>
      </c>
      <c r="DA36" s="438">
        <f>Scenarios!BI37</f>
        <v>22676948.687237486</v>
      </c>
      <c r="DB36" s="447">
        <f>Scenarios!AV37</f>
        <v>24540000</v>
      </c>
      <c r="DC36" s="446">
        <f t="shared" si="71"/>
        <v>167674618.14862624</v>
      </c>
      <c r="DD36" s="438">
        <f t="shared" si="58"/>
        <v>0</v>
      </c>
      <c r="DE36" s="438">
        <f t="shared" si="59"/>
        <v>0</v>
      </c>
      <c r="DF36" s="438">
        <f t="shared" si="60"/>
        <v>167674618.14862624</v>
      </c>
      <c r="DG36" s="453">
        <f t="shared" si="61"/>
        <v>6.8327065260238893</v>
      </c>
      <c r="DH36" s="463">
        <f t="shared" si="62"/>
        <v>2.2375946993751268</v>
      </c>
    </row>
    <row r="37" spans="13:112">
      <c r="M37" s="360">
        <v>2048</v>
      </c>
      <c r="N37" s="429"/>
      <c r="O37" s="446">
        <f t="shared" si="0"/>
        <v>32042716.668580711</v>
      </c>
      <c r="P37" s="438">
        <f>SUM(Scenarios!J38)</f>
        <v>10444201.188767226</v>
      </c>
      <c r="Q37" s="438">
        <f>Scenarios!H38</f>
        <v>1253304.1426520671</v>
      </c>
      <c r="R37" s="447">
        <f>Scenarios!E38</f>
        <v>43740222</v>
      </c>
      <c r="S37" s="446">
        <f t="shared" si="63"/>
        <v>2883844500.1722641</v>
      </c>
      <c r="T37" s="438">
        <f t="shared" si="2"/>
        <v>271549230.9079479</v>
      </c>
      <c r="U37" s="438">
        <f t="shared" si="3"/>
        <v>0</v>
      </c>
      <c r="V37" s="438">
        <f t="shared" si="4"/>
        <v>3155393731.0802121</v>
      </c>
      <c r="W37" s="453">
        <f t="shared" si="5"/>
        <v>72.139408233460998</v>
      </c>
      <c r="X37" s="463">
        <f t="shared" si="6"/>
        <v>42.108295012475828</v>
      </c>
      <c r="Z37" s="446">
        <f t="shared" si="7"/>
        <v>2426860.7110947743</v>
      </c>
      <c r="AA37" s="438">
        <f>SUM(Scenarios!O38)</f>
        <v>36355757.934236601</v>
      </c>
      <c r="AB37" s="438">
        <f>Scenarios!M38</f>
        <v>4957603.3546686275</v>
      </c>
      <c r="AC37" s="447">
        <f>Scenarios!E38</f>
        <v>43740222</v>
      </c>
      <c r="AD37" s="446">
        <f t="shared" si="64"/>
        <v>218417463.99852967</v>
      </c>
      <c r="AE37" s="438">
        <f t="shared" si="9"/>
        <v>945249706.2901516</v>
      </c>
      <c r="AF37" s="438">
        <f t="shared" si="10"/>
        <v>0</v>
      </c>
      <c r="AG37" s="438">
        <f t="shared" si="11"/>
        <v>1163667170.2886813</v>
      </c>
      <c r="AH37" s="453">
        <f t="shared" si="12"/>
        <v>26.604052679217798</v>
      </c>
      <c r="AI37" s="463">
        <f t="shared" si="13"/>
        <v>15.528978212831193</v>
      </c>
      <c r="AK37" s="446">
        <f t="shared" si="14"/>
        <v>2426860.7110947743</v>
      </c>
      <c r="AL37" s="438">
        <v>0</v>
      </c>
      <c r="AM37" s="438">
        <f>Scenarios!R38</f>
        <v>41313361.288905226</v>
      </c>
      <c r="AN37" s="447">
        <f>Scenarios!E38</f>
        <v>43740222</v>
      </c>
      <c r="AO37" s="446">
        <f t="shared" si="65"/>
        <v>218417463.99852967</v>
      </c>
      <c r="AP37" s="438">
        <f t="shared" si="16"/>
        <v>0</v>
      </c>
      <c r="AQ37" s="438">
        <f t="shared" si="17"/>
        <v>0</v>
      </c>
      <c r="AR37" s="438">
        <f t="shared" si="18"/>
        <v>218417463.99852967</v>
      </c>
      <c r="AS37" s="453">
        <f t="shared" si="19"/>
        <v>4.9935152134922784</v>
      </c>
      <c r="AT37" s="463">
        <f t="shared" si="20"/>
        <v>2.9147509926687842</v>
      </c>
      <c r="AV37" s="446">
        <f t="shared" si="21"/>
        <v>27042508.343920603</v>
      </c>
      <c r="AW37" s="438">
        <f>SUM(Scenarios!AF38)</f>
        <v>8814402.3714994639</v>
      </c>
      <c r="AX37" s="438">
        <f>Scenarios!AD38</f>
        <v>1057728.2845799355</v>
      </c>
      <c r="AY37" s="447">
        <f>Scenarios!AA38</f>
        <v>36914639</v>
      </c>
      <c r="AZ37" s="446">
        <f t="shared" si="66"/>
        <v>2433825750.9528542</v>
      </c>
      <c r="BA37" s="438">
        <f t="shared" si="23"/>
        <v>229174461.65898606</v>
      </c>
      <c r="BB37" s="438">
        <f t="shared" si="24"/>
        <v>0</v>
      </c>
      <c r="BC37" s="438">
        <f t="shared" si="25"/>
        <v>2663000212.6118402</v>
      </c>
      <c r="BD37" s="453">
        <f t="shared" si="26"/>
        <v>72.139408233460998</v>
      </c>
      <c r="BE37" s="463">
        <f t="shared" si="27"/>
        <v>35.537371284742122</v>
      </c>
      <c r="BG37" s="446">
        <f t="shared" si="28"/>
        <v>2048153.4605230577</v>
      </c>
      <c r="BH37" s="438">
        <f>SUM(Scenarios!AK38)</f>
        <v>30682507.274739709</v>
      </c>
      <c r="BI37" s="438">
        <f>Scenarios!AI38</f>
        <v>4183978.2647372331</v>
      </c>
      <c r="BJ37" s="447">
        <f>Scenarios!AA38</f>
        <v>36914639</v>
      </c>
      <c r="BK37" s="446">
        <f t="shared" si="67"/>
        <v>184333811.44707519</v>
      </c>
      <c r="BL37" s="438">
        <f t="shared" si="30"/>
        <v>797745189.14323246</v>
      </c>
      <c r="BM37" s="438">
        <f t="shared" si="31"/>
        <v>0</v>
      </c>
      <c r="BN37" s="438">
        <f t="shared" si="32"/>
        <v>982079000.59030771</v>
      </c>
      <c r="BO37" s="453">
        <f t="shared" si="33"/>
        <v>26.604052679217794</v>
      </c>
      <c r="BP37" s="463">
        <f t="shared" si="34"/>
        <v>13.10570908317586</v>
      </c>
      <c r="BR37" s="446">
        <f t="shared" si="35"/>
        <v>2048153.4605230615</v>
      </c>
      <c r="BS37" s="438">
        <v>0</v>
      </c>
      <c r="BT37" s="438">
        <f>Scenarios!AN38</f>
        <v>34866485.539476939</v>
      </c>
      <c r="BU37" s="447">
        <f>Scenarios!AA38</f>
        <v>36914639</v>
      </c>
      <c r="BV37" s="446">
        <f t="shared" si="68"/>
        <v>184333811.44707555</v>
      </c>
      <c r="BW37" s="438">
        <f t="shared" si="37"/>
        <v>0</v>
      </c>
      <c r="BX37" s="438">
        <f t="shared" si="38"/>
        <v>0</v>
      </c>
      <c r="BY37" s="438">
        <f t="shared" si="39"/>
        <v>184333811.44707555</v>
      </c>
      <c r="BZ37" s="453">
        <f t="shared" si="40"/>
        <v>4.9935152134922829</v>
      </c>
      <c r="CA37" s="463">
        <f t="shared" si="41"/>
        <v>2.4599093408638821</v>
      </c>
      <c r="CC37" s="446">
        <f t="shared" si="42"/>
        <v>18138400.502723977</v>
      </c>
      <c r="CD37" s="438">
        <f>SUM(Scenarios!BA38)</f>
        <v>5912142.4082821645</v>
      </c>
      <c r="CE37" s="438">
        <f>Scenarios!AY38</f>
        <v>709457.08899385971</v>
      </c>
      <c r="CF37" s="447">
        <f>Scenarios!AV38</f>
        <v>24760000</v>
      </c>
      <c r="CG37" s="446">
        <f t="shared" si="69"/>
        <v>1632456045.245158</v>
      </c>
      <c r="CH37" s="438">
        <f t="shared" si="44"/>
        <v>153715702.61533627</v>
      </c>
      <c r="CI37" s="438">
        <f t="shared" si="45"/>
        <v>0</v>
      </c>
      <c r="CJ37" s="438">
        <f t="shared" si="46"/>
        <v>1786171747.8604941</v>
      </c>
      <c r="CK37" s="453">
        <f t="shared" si="47"/>
        <v>72.139408233460998</v>
      </c>
      <c r="CL37" s="463">
        <f t="shared" si="48"/>
        <v>23.836216114973112</v>
      </c>
      <c r="CN37" s="446">
        <f t="shared" si="49"/>
        <v>1373771.5187340975</v>
      </c>
      <c r="CO37" s="438">
        <f>SUM(Scenarios!BF38)</f>
        <v>20579881.063513994</v>
      </c>
      <c r="CP37" s="438">
        <f>Scenarios!BD38</f>
        <v>2806347.4177519088</v>
      </c>
      <c r="CQ37" s="447">
        <f>Scenarios!AV38</f>
        <v>24760000</v>
      </c>
      <c r="CR37" s="446">
        <f t="shared" si="70"/>
        <v>123639436.68606877</v>
      </c>
      <c r="CS37" s="438">
        <f t="shared" si="51"/>
        <v>535076907.65136385</v>
      </c>
      <c r="CT37" s="438">
        <f t="shared" si="52"/>
        <v>0</v>
      </c>
      <c r="CU37" s="438">
        <f t="shared" si="53"/>
        <v>658716344.33743262</v>
      </c>
      <c r="CV37" s="453">
        <f t="shared" si="54"/>
        <v>26.604052679217794</v>
      </c>
      <c r="CW37" s="463">
        <f t="shared" si="55"/>
        <v>8.7904789452074645</v>
      </c>
      <c r="CY37" s="446">
        <f t="shared" si="56"/>
        <v>1373771.5187340975</v>
      </c>
      <c r="CZ37" s="438">
        <v>0</v>
      </c>
      <c r="DA37" s="438">
        <f>Scenarios!BI38</f>
        <v>23386228.481265903</v>
      </c>
      <c r="DB37" s="447">
        <f>Scenarios!AV38</f>
        <v>24760000</v>
      </c>
      <c r="DC37" s="446">
        <f t="shared" si="71"/>
        <v>123639436.68606877</v>
      </c>
      <c r="DD37" s="438">
        <f t="shared" si="58"/>
        <v>0</v>
      </c>
      <c r="DE37" s="438">
        <f t="shared" si="59"/>
        <v>0</v>
      </c>
      <c r="DF37" s="438">
        <f t="shared" si="60"/>
        <v>123639436.68606877</v>
      </c>
      <c r="DG37" s="453">
        <f t="shared" si="61"/>
        <v>4.9935152134922767</v>
      </c>
      <c r="DH37" s="463">
        <f t="shared" si="62"/>
        <v>1.6499512640443175</v>
      </c>
    </row>
    <row r="38" spans="13:112">
      <c r="M38" s="360">
        <v>2049</v>
      </c>
      <c r="N38" s="429"/>
      <c r="O38" s="446">
        <f t="shared" si="0"/>
        <v>31711557.079680081</v>
      </c>
      <c r="P38" s="438">
        <f>SUM(Scenarios!J39)</f>
        <v>11099527.328410644</v>
      </c>
      <c r="Q38" s="438">
        <f>Scenarios!H39</f>
        <v>1331943.2794092773</v>
      </c>
      <c r="R38" s="447">
        <f>Scenarios!E39</f>
        <v>44143027.6875</v>
      </c>
      <c r="S38" s="446">
        <f t="shared" si="63"/>
        <v>2854040137.1712074</v>
      </c>
      <c r="T38" s="438">
        <f t="shared" si="2"/>
        <v>288587710.53867674</v>
      </c>
      <c r="U38" s="438">
        <f t="shared" si="3"/>
        <v>0</v>
      </c>
      <c r="V38" s="438">
        <f t="shared" si="4"/>
        <v>3142627847.7098842</v>
      </c>
      <c r="W38" s="453">
        <f t="shared" si="5"/>
        <v>71.191941566794327</v>
      </c>
      <c r="X38" s="463">
        <f t="shared" si="6"/>
        <v>41.937936056077511</v>
      </c>
      <c r="Z38" s="446">
        <f t="shared" si="7"/>
        <v>1779352.8038110435</v>
      </c>
      <c r="AA38" s="438">
        <f>SUM(Scenarios!O39)</f>
        <v>37280033.897646286</v>
      </c>
      <c r="AB38" s="438">
        <f>Scenarios!M39</f>
        <v>5083640.9860426737</v>
      </c>
      <c r="AC38" s="447">
        <f>Scenarios!E39</f>
        <v>44143027.6875</v>
      </c>
      <c r="AD38" s="446">
        <f t="shared" si="64"/>
        <v>160141752.34299392</v>
      </c>
      <c r="AE38" s="438">
        <f t="shared" si="9"/>
        <v>969280881.33880341</v>
      </c>
      <c r="AF38" s="438">
        <f t="shared" si="10"/>
        <v>0</v>
      </c>
      <c r="AG38" s="438">
        <f t="shared" si="11"/>
        <v>1129422633.6817973</v>
      </c>
      <c r="AH38" s="453">
        <f t="shared" si="12"/>
        <v>25.585527156797546</v>
      </c>
      <c r="AI38" s="463">
        <f t="shared" si="13"/>
        <v>15.071989585451702</v>
      </c>
      <c r="AK38" s="446">
        <f t="shared" si="14"/>
        <v>1779352.8038110435</v>
      </c>
      <c r="AL38" s="438">
        <v>0</v>
      </c>
      <c r="AM38" s="438">
        <f>Scenarios!R39</f>
        <v>42363674.883688956</v>
      </c>
      <c r="AN38" s="447">
        <f>Scenarios!E39</f>
        <v>44143027.6875</v>
      </c>
      <c r="AO38" s="446">
        <f t="shared" si="65"/>
        <v>160141752.34299392</v>
      </c>
      <c r="AP38" s="438">
        <f t="shared" si="16"/>
        <v>0</v>
      </c>
      <c r="AQ38" s="438">
        <f t="shared" si="17"/>
        <v>0</v>
      </c>
      <c r="AR38" s="438">
        <f t="shared" si="18"/>
        <v>160141752.34299392</v>
      </c>
      <c r="AS38" s="453">
        <f t="shared" si="19"/>
        <v>3.6277926715104165</v>
      </c>
      <c r="AT38" s="463">
        <f t="shared" si="20"/>
        <v>2.1370696420713058</v>
      </c>
      <c r="AV38" s="446">
        <f t="shared" si="21"/>
        <v>26654950.367018282</v>
      </c>
      <c r="AW38" s="438">
        <f>SUM(Scenarios!AF39)</f>
        <v>9329638.0651622508</v>
      </c>
      <c r="AX38" s="438">
        <f>Scenarios!AD39</f>
        <v>1119556.5678194701</v>
      </c>
      <c r="AY38" s="447">
        <f>Scenarios!AA39</f>
        <v>37104145</v>
      </c>
      <c r="AZ38" s="446">
        <f t="shared" si="66"/>
        <v>2398945533.0316453</v>
      </c>
      <c r="BA38" s="438">
        <f t="shared" si="23"/>
        <v>242570589.69421852</v>
      </c>
      <c r="BB38" s="438">
        <f t="shared" si="24"/>
        <v>0</v>
      </c>
      <c r="BC38" s="438">
        <f t="shared" si="25"/>
        <v>2641516122.7258639</v>
      </c>
      <c r="BD38" s="453">
        <f t="shared" si="26"/>
        <v>71.191941566794327</v>
      </c>
      <c r="BE38" s="463">
        <f t="shared" si="27"/>
        <v>35.250669062422773</v>
      </c>
      <c r="BG38" s="446">
        <f t="shared" si="28"/>
        <v>1495623.8368184417</v>
      </c>
      <c r="BH38" s="438">
        <f>SUM(Scenarios!AK39)</f>
        <v>31335498.623599771</v>
      </c>
      <c r="BI38" s="438">
        <f>Scenarios!AI39</f>
        <v>4273022.5395817859</v>
      </c>
      <c r="BJ38" s="447">
        <f>Scenarios!AA39</f>
        <v>37104145</v>
      </c>
      <c r="BK38" s="446">
        <f t="shared" si="67"/>
        <v>134606145.31365976</v>
      </c>
      <c r="BL38" s="438">
        <f t="shared" si="30"/>
        <v>814722964.21359408</v>
      </c>
      <c r="BM38" s="438">
        <f t="shared" si="31"/>
        <v>0</v>
      </c>
      <c r="BN38" s="438">
        <f t="shared" si="32"/>
        <v>949329109.52725387</v>
      </c>
      <c r="BO38" s="453">
        <f t="shared" si="33"/>
        <v>25.585527156797546</v>
      </c>
      <c r="BP38" s="463">
        <f t="shared" si="34"/>
        <v>12.668666294846107</v>
      </c>
      <c r="BR38" s="446">
        <f t="shared" si="35"/>
        <v>1495623.8368184417</v>
      </c>
      <c r="BS38" s="438">
        <v>0</v>
      </c>
      <c r="BT38" s="438">
        <f>Scenarios!AN39</f>
        <v>35608521.163181558</v>
      </c>
      <c r="BU38" s="447">
        <f>Scenarios!AA39</f>
        <v>37104145</v>
      </c>
      <c r="BV38" s="446">
        <f t="shared" si="68"/>
        <v>134606145.31365976</v>
      </c>
      <c r="BW38" s="438">
        <f t="shared" si="37"/>
        <v>0</v>
      </c>
      <c r="BX38" s="438">
        <f t="shared" si="38"/>
        <v>0</v>
      </c>
      <c r="BY38" s="438">
        <f t="shared" si="39"/>
        <v>134606145.31365976</v>
      </c>
      <c r="BZ38" s="453">
        <f t="shared" si="40"/>
        <v>3.6277926715104138</v>
      </c>
      <c r="CA38" s="463">
        <f t="shared" si="41"/>
        <v>1.7963004811508549</v>
      </c>
      <c r="CC38" s="446">
        <f t="shared" si="42"/>
        <v>17945182.678865571</v>
      </c>
      <c r="CD38" s="438">
        <f>SUM(Scenarios!BA39)</f>
        <v>6281086.8938700249</v>
      </c>
      <c r="CE38" s="438">
        <f>Scenarios!AY39</f>
        <v>753730.42726440297</v>
      </c>
      <c r="CF38" s="447">
        <f>Scenarios!AV39</f>
        <v>24980000</v>
      </c>
      <c r="CG38" s="446">
        <f t="shared" si="69"/>
        <v>1615066441.0979013</v>
      </c>
      <c r="CH38" s="438">
        <f t="shared" si="44"/>
        <v>163308259.24062064</v>
      </c>
      <c r="CI38" s="438">
        <f t="shared" si="45"/>
        <v>0</v>
      </c>
      <c r="CJ38" s="438">
        <f t="shared" si="46"/>
        <v>1778374700.338522</v>
      </c>
      <c r="CK38" s="453">
        <f t="shared" si="47"/>
        <v>71.191941566794313</v>
      </c>
      <c r="CL38" s="463">
        <f t="shared" si="48"/>
        <v>23.732165589028416</v>
      </c>
      <c r="CN38" s="446">
        <f t="shared" si="49"/>
        <v>1006914.0103814453</v>
      </c>
      <c r="CO38" s="438">
        <f>SUM(Scenarios!BF39)</f>
        <v>21096315.670864329</v>
      </c>
      <c r="CP38" s="438">
        <f>Scenarios!BD39</f>
        <v>2876770.318754226</v>
      </c>
      <c r="CQ38" s="447">
        <f>Scenarios!AV39</f>
        <v>24980000</v>
      </c>
      <c r="CR38" s="446">
        <f t="shared" si="70"/>
        <v>90622260.934330076</v>
      </c>
      <c r="CS38" s="438">
        <f t="shared" si="51"/>
        <v>548504207.44247258</v>
      </c>
      <c r="CT38" s="438">
        <f t="shared" si="52"/>
        <v>0</v>
      </c>
      <c r="CU38" s="438">
        <f t="shared" si="53"/>
        <v>639126468.37680268</v>
      </c>
      <c r="CV38" s="453">
        <f t="shared" si="54"/>
        <v>25.585527156797546</v>
      </c>
      <c r="CW38" s="463">
        <f t="shared" si="55"/>
        <v>8.5290547469900133</v>
      </c>
      <c r="CY38" s="446">
        <f t="shared" si="56"/>
        <v>1006914.010381449</v>
      </c>
      <c r="CZ38" s="438">
        <v>0</v>
      </c>
      <c r="DA38" s="438">
        <f>Scenarios!BI39</f>
        <v>23973085.989618551</v>
      </c>
      <c r="DB38" s="447">
        <f>Scenarios!AV39</f>
        <v>24980000</v>
      </c>
      <c r="DC38" s="446">
        <f t="shared" si="71"/>
        <v>90622260.934330404</v>
      </c>
      <c r="DD38" s="438">
        <f t="shared" si="58"/>
        <v>0</v>
      </c>
      <c r="DE38" s="438">
        <f t="shared" si="59"/>
        <v>0</v>
      </c>
      <c r="DF38" s="438">
        <f t="shared" si="60"/>
        <v>90622260.934330404</v>
      </c>
      <c r="DG38" s="453">
        <f t="shared" si="61"/>
        <v>3.6277926715104245</v>
      </c>
      <c r="DH38" s="463">
        <f t="shared" si="62"/>
        <v>1.2093415983348623</v>
      </c>
    </row>
    <row r="39" spans="13:112" ht="16.2" thickBot="1">
      <c r="M39" s="360">
        <v>2050</v>
      </c>
      <c r="N39" s="429"/>
      <c r="O39" s="450">
        <f t="shared" si="0"/>
        <v>31352338.106279451</v>
      </c>
      <c r="P39" s="451">
        <f>SUM(Scenarios!J40)</f>
        <v>11779906.489929061</v>
      </c>
      <c r="Q39" s="451">
        <f>Scenarios!H40</f>
        <v>1413588.7787914872</v>
      </c>
      <c r="R39" s="452">
        <f>Scenarios!E40</f>
        <v>44545833.375</v>
      </c>
      <c r="S39" s="450">
        <f t="shared" si="63"/>
        <v>2821710429.5651507</v>
      </c>
      <c r="T39" s="451">
        <f t="shared" si="2"/>
        <v>306277568.7381556</v>
      </c>
      <c r="U39" s="451">
        <f t="shared" si="3"/>
        <v>0</v>
      </c>
      <c r="V39" s="451">
        <f t="shared" si="4"/>
        <v>3127987998.3033066</v>
      </c>
      <c r="W39" s="455">
        <f t="shared" si="5"/>
        <v>70.219541566794334</v>
      </c>
      <c r="X39" s="464">
        <f t="shared" si="6"/>
        <v>41.742569280870235</v>
      </c>
      <c r="Z39" s="450">
        <f t="shared" si="7"/>
        <v>1298790.1364920214</v>
      </c>
      <c r="AA39" s="451">
        <f>SUM(Scenarios!O40)</f>
        <v>38057398.049887024</v>
      </c>
      <c r="AB39" s="451">
        <f>Scenarios!M40</f>
        <v>5189645.1886209575</v>
      </c>
      <c r="AC39" s="452">
        <f>Scenarios!E40</f>
        <v>44545833.375</v>
      </c>
      <c r="AD39" s="450">
        <f t="shared" si="64"/>
        <v>116891112.28428192</v>
      </c>
      <c r="AE39" s="451">
        <f t="shared" si="9"/>
        <v>989492349.29706264</v>
      </c>
      <c r="AF39" s="451">
        <f t="shared" si="10"/>
        <v>0</v>
      </c>
      <c r="AG39" s="451">
        <f t="shared" si="11"/>
        <v>1106383461.5813446</v>
      </c>
      <c r="AH39" s="455">
        <f t="shared" si="12"/>
        <v>24.836968527841456</v>
      </c>
      <c r="AI39" s="464">
        <f t="shared" si="13"/>
        <v>14.764535005031732</v>
      </c>
      <c r="AK39" s="450">
        <f t="shared" si="14"/>
        <v>1298790.1364920214</v>
      </c>
      <c r="AL39" s="451">
        <v>0</v>
      </c>
      <c r="AM39" s="451">
        <f>Scenarios!R40</f>
        <v>43247043.238507979</v>
      </c>
      <c r="AN39" s="452">
        <f>Scenarios!E40</f>
        <v>44545833.375</v>
      </c>
      <c r="AO39" s="450">
        <f t="shared" si="65"/>
        <v>116891112.28428192</v>
      </c>
      <c r="AP39" s="451">
        <f t="shared" si="16"/>
        <v>0</v>
      </c>
      <c r="AQ39" s="451">
        <f t="shared" si="17"/>
        <v>0</v>
      </c>
      <c r="AR39" s="451">
        <f t="shared" si="18"/>
        <v>116891112.28428192</v>
      </c>
      <c r="AS39" s="455">
        <f t="shared" si="19"/>
        <v>2.6240638782141077</v>
      </c>
      <c r="AT39" s="464">
        <f t="shared" si="20"/>
        <v>1.5598958037854638</v>
      </c>
      <c r="AV39" s="450">
        <f t="shared" si="21"/>
        <v>26248092.510169297</v>
      </c>
      <c r="AW39" s="451">
        <f>SUM(Scenarios!AF40)</f>
        <v>9862105.7944917027</v>
      </c>
      <c r="AX39" s="451">
        <f>Scenarios!AD40</f>
        <v>1183452.6953390043</v>
      </c>
      <c r="AY39" s="452">
        <f>Scenarios!AA40</f>
        <v>37293651</v>
      </c>
      <c r="AZ39" s="450">
        <f t="shared" si="66"/>
        <v>2362328325.9152369</v>
      </c>
      <c r="BA39" s="451">
        <f t="shared" si="23"/>
        <v>256414750.65678427</v>
      </c>
      <c r="BB39" s="451">
        <f t="shared" si="24"/>
        <v>0</v>
      </c>
      <c r="BC39" s="451">
        <f t="shared" si="25"/>
        <v>2618743076.572021</v>
      </c>
      <c r="BD39" s="455">
        <f t="shared" si="26"/>
        <v>70.219541566794334</v>
      </c>
      <c r="BE39" s="464">
        <f t="shared" si="27"/>
        <v>34.946765896129016</v>
      </c>
      <c r="BG39" s="450">
        <f t="shared" si="28"/>
        <v>1087343.5830647014</v>
      </c>
      <c r="BH39" s="451">
        <f>SUM(Scenarios!AK40)</f>
        <v>31861550.526903063</v>
      </c>
      <c r="BI39" s="451">
        <f>Scenarios!AI40</f>
        <v>4344756.8900322355</v>
      </c>
      <c r="BJ39" s="452">
        <f>Scenarios!AA40</f>
        <v>37293651</v>
      </c>
      <c r="BK39" s="450">
        <f t="shared" si="67"/>
        <v>97860922.475823134</v>
      </c>
      <c r="BL39" s="451">
        <f t="shared" si="30"/>
        <v>828400313.69947958</v>
      </c>
      <c r="BM39" s="451">
        <f t="shared" si="31"/>
        <v>0</v>
      </c>
      <c r="BN39" s="451">
        <f t="shared" si="32"/>
        <v>926261236.17530274</v>
      </c>
      <c r="BO39" s="455">
        <f t="shared" si="33"/>
        <v>24.836968527841449</v>
      </c>
      <c r="BP39" s="464">
        <f t="shared" si="34"/>
        <v>12.360828700175519</v>
      </c>
      <c r="BR39" s="450">
        <f t="shared" si="35"/>
        <v>1087343.5830647051</v>
      </c>
      <c r="BS39" s="451">
        <v>0</v>
      </c>
      <c r="BT39" s="451">
        <f>Scenarios!AN40</f>
        <v>36206307.416935295</v>
      </c>
      <c r="BU39" s="452">
        <f>Scenarios!AA40</f>
        <v>37293651</v>
      </c>
      <c r="BV39" s="450">
        <f t="shared" si="68"/>
        <v>97860922.475823462</v>
      </c>
      <c r="BW39" s="451">
        <f t="shared" si="37"/>
        <v>0</v>
      </c>
      <c r="BX39" s="451">
        <f t="shared" si="38"/>
        <v>0</v>
      </c>
      <c r="BY39" s="451">
        <f t="shared" si="39"/>
        <v>97860922.475823462</v>
      </c>
      <c r="BZ39" s="455">
        <f t="shared" si="40"/>
        <v>2.6240638782141086</v>
      </c>
      <c r="CA39" s="464">
        <f t="shared" si="41"/>
        <v>1.3059405402299218</v>
      </c>
      <c r="CC39" s="450">
        <f t="shared" si="42"/>
        <v>17736314.721673835</v>
      </c>
      <c r="CD39" s="451">
        <f>SUM(Scenarios!BA40)</f>
        <v>6664004.7127912184</v>
      </c>
      <c r="CE39" s="451">
        <f>Scenarios!AY40</f>
        <v>799680.56553494604</v>
      </c>
      <c r="CF39" s="452">
        <f>Scenarios!AV40</f>
        <v>25200000</v>
      </c>
      <c r="CG39" s="450">
        <f t="shared" si="69"/>
        <v>1596268324.9506452</v>
      </c>
      <c r="CH39" s="451">
        <f t="shared" si="44"/>
        <v>173264122.53257167</v>
      </c>
      <c r="CI39" s="451">
        <f t="shared" si="45"/>
        <v>0</v>
      </c>
      <c r="CJ39" s="451">
        <f t="shared" si="46"/>
        <v>1769532447.4832168</v>
      </c>
      <c r="CK39" s="455">
        <f t="shared" si="47"/>
        <v>70.219541566794319</v>
      </c>
      <c r="CL39" s="464">
        <f t="shared" si="48"/>
        <v>23.614166941779207</v>
      </c>
      <c r="CN39" s="450">
        <f t="shared" si="49"/>
        <v>734737.88589995354</v>
      </c>
      <c r="CO39" s="451">
        <f>SUM(Scenarios!BF40)</f>
        <v>21529430.660408042</v>
      </c>
      <c r="CP39" s="451">
        <f>Scenarios!BD40</f>
        <v>2935831.4536920059</v>
      </c>
      <c r="CQ39" s="452">
        <f>Scenarios!AV40</f>
        <v>25200000</v>
      </c>
      <c r="CR39" s="450">
        <f t="shared" si="70"/>
        <v>66126409.730995819</v>
      </c>
      <c r="CS39" s="451">
        <f t="shared" si="51"/>
        <v>559765197.17060912</v>
      </c>
      <c r="CT39" s="451">
        <f t="shared" si="52"/>
        <v>0</v>
      </c>
      <c r="CU39" s="451">
        <f t="shared" si="53"/>
        <v>625891606.90160489</v>
      </c>
      <c r="CV39" s="455">
        <f t="shared" si="54"/>
        <v>24.836968527841464</v>
      </c>
      <c r="CW39" s="464">
        <f t="shared" si="55"/>
        <v>8.3524373423353833</v>
      </c>
      <c r="CY39" s="450">
        <f t="shared" si="56"/>
        <v>734737.88589994982</v>
      </c>
      <c r="CZ39" s="451">
        <v>0</v>
      </c>
      <c r="DA39" s="451">
        <f>Scenarios!BI40</f>
        <v>24465262.11410005</v>
      </c>
      <c r="DB39" s="452">
        <f>Scenarios!AV40</f>
        <v>25200000</v>
      </c>
      <c r="DC39" s="450">
        <f t="shared" si="71"/>
        <v>66126409.730995484</v>
      </c>
      <c r="DD39" s="451">
        <f t="shared" si="58"/>
        <v>0</v>
      </c>
      <c r="DE39" s="451">
        <f t="shared" si="59"/>
        <v>0</v>
      </c>
      <c r="DF39" s="451">
        <f t="shared" si="60"/>
        <v>66126409.730995484</v>
      </c>
      <c r="DG39" s="455">
        <f t="shared" si="61"/>
        <v>2.6240638782141064</v>
      </c>
      <c r="DH39" s="464">
        <f t="shared" si="62"/>
        <v>0.88244783579365849</v>
      </c>
    </row>
  </sheetData>
  <mergeCells count="42">
    <mergeCell ref="CC2:DG2"/>
    <mergeCell ref="AV2:BZ2"/>
    <mergeCell ref="CY4:DB4"/>
    <mergeCell ref="DC4:DG4"/>
    <mergeCell ref="AZ4:BD4"/>
    <mergeCell ref="BG4:BJ4"/>
    <mergeCell ref="BK4:BO4"/>
    <mergeCell ref="AV3:BE3"/>
    <mergeCell ref="BE4:BE5"/>
    <mergeCell ref="BG3:BP3"/>
    <mergeCell ref="CY3:DH3"/>
    <mergeCell ref="DH4:DH5"/>
    <mergeCell ref="CN4:CQ4"/>
    <mergeCell ref="CR4:CV4"/>
    <mergeCell ref="AV4:AY4"/>
    <mergeCell ref="BP4:BP5"/>
    <mergeCell ref="B8:C8"/>
    <mergeCell ref="CC3:CL3"/>
    <mergeCell ref="CL4:CL5"/>
    <mergeCell ref="CN3:CW3"/>
    <mergeCell ref="CW4:CW5"/>
    <mergeCell ref="CA4:CA5"/>
    <mergeCell ref="O3:X3"/>
    <mergeCell ref="X4:X5"/>
    <mergeCell ref="Z3:AI3"/>
    <mergeCell ref="AI4:AI5"/>
    <mergeCell ref="AK3:AT3"/>
    <mergeCell ref="AT4:AT5"/>
    <mergeCell ref="BR4:BU4"/>
    <mergeCell ref="BV4:BZ4"/>
    <mergeCell ref="CC4:CF4"/>
    <mergeCell ref="CG4:CK4"/>
    <mergeCell ref="BR3:CA3"/>
    <mergeCell ref="B1:AD1"/>
    <mergeCell ref="AK4:AN4"/>
    <mergeCell ref="AO4:AS4"/>
    <mergeCell ref="M2:AS2"/>
    <mergeCell ref="O4:R4"/>
    <mergeCell ref="S4:W4"/>
    <mergeCell ref="Z4:AC4"/>
    <mergeCell ref="AD4:AH4"/>
    <mergeCell ref="D2:G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6"/>
  <cols>
    <col min="1" max="1" width="13.09765625" bestFit="1" customWidth="1"/>
    <col min="2" max="2" width="10.3984375" bestFit="1" customWidth="1"/>
    <col min="3" max="3" width="17" bestFit="1" customWidth="1"/>
    <col min="4" max="4" width="17.59765625" bestFit="1" customWidth="1"/>
    <col min="5" max="5" width="11.5" bestFit="1" customWidth="1"/>
    <col min="6" max="6" width="10.59765625" bestFit="1" customWidth="1"/>
    <col min="7" max="7" width="21" bestFit="1" customWidth="1"/>
    <col min="8" max="8" width="20.3984375" bestFit="1" customWidth="1"/>
    <col min="9" max="9" width="19.19921875" bestFit="1" customWidth="1"/>
    <col min="10" max="11" width="12" bestFit="1" customWidth="1"/>
    <col min="12" max="12" width="10.59765625" bestFit="1" customWidth="1"/>
    <col min="13" max="13" width="12.3984375" customWidth="1"/>
    <col min="14" max="14" width="13.5" bestFit="1" customWidth="1"/>
    <col min="15" max="15" width="12.59765625" bestFit="1" customWidth="1"/>
    <col min="16" max="16" width="29.5" bestFit="1" customWidth="1"/>
    <col min="18" max="18" width="38.09765625" bestFit="1" customWidth="1"/>
    <col min="19" max="19" width="28.09765625" bestFit="1" customWidth="1"/>
    <col min="20" max="20" width="20.69921875" bestFit="1" customWidth="1"/>
    <col min="21" max="21" width="22.09765625" bestFit="1" customWidth="1"/>
    <col min="22" max="22" width="15.69921875" bestFit="1" customWidth="1"/>
  </cols>
  <sheetData>
    <row r="1" spans="1:5">
      <c r="A1" s="496" t="s">
        <v>34</v>
      </c>
      <c r="B1" s="497"/>
      <c r="C1" s="498" t="s">
        <v>35</v>
      </c>
      <c r="D1" s="499"/>
      <c r="E1" s="296" t="s">
        <v>36</v>
      </c>
    </row>
    <row r="2" spans="1:5" ht="16.2" thickBot="1">
      <c r="A2" s="290" t="s">
        <v>37</v>
      </c>
      <c r="B2" s="291">
        <v>100</v>
      </c>
      <c r="C2" s="292" t="s">
        <v>38</v>
      </c>
      <c r="D2" s="500">
        <v>1</v>
      </c>
      <c r="E2" s="297">
        <v>10</v>
      </c>
    </row>
    <row r="3" spans="1:5">
      <c r="A3" s="290" t="s">
        <v>39</v>
      </c>
      <c r="B3" s="291">
        <v>2033</v>
      </c>
      <c r="C3" s="292" t="s">
        <v>40</v>
      </c>
      <c r="D3" s="500"/>
    </row>
    <row r="4" spans="1:5" ht="16.2" thickBot="1">
      <c r="A4" s="293" t="s">
        <v>41</v>
      </c>
      <c r="B4" s="294">
        <v>13.1</v>
      </c>
      <c r="C4" s="295" t="s">
        <v>42</v>
      </c>
      <c r="D4" s="501"/>
    </row>
    <row r="34" spans="1:22" ht="16.2" thickBot="1"/>
    <row r="35" spans="1:22" ht="16.2" thickBot="1">
      <c r="A35" s="351" t="s">
        <v>43</v>
      </c>
      <c r="B35" s="351" t="s">
        <v>44</v>
      </c>
      <c r="C35" s="351" t="s">
        <v>45</v>
      </c>
      <c r="D35" s="351" t="s">
        <v>46</v>
      </c>
      <c r="E35" s="351" t="s">
        <v>47</v>
      </c>
      <c r="F35" s="351" t="s">
        <v>48</v>
      </c>
      <c r="G35" s="351" t="s">
        <v>49</v>
      </c>
      <c r="H35" s="351" t="s">
        <v>50</v>
      </c>
      <c r="I35" s="351" t="s">
        <v>51</v>
      </c>
      <c r="J35" s="351" t="s">
        <v>52</v>
      </c>
      <c r="K35" s="351" t="s">
        <v>53</v>
      </c>
      <c r="L35" s="351" t="s">
        <v>54</v>
      </c>
      <c r="M35" s="351" t="s">
        <v>55</v>
      </c>
      <c r="N35" s="351" t="s">
        <v>56</v>
      </c>
      <c r="O35" s="351" t="s">
        <v>57</v>
      </c>
      <c r="P35" s="351" t="s">
        <v>58</v>
      </c>
      <c r="Q35" s="492" t="s">
        <v>59</v>
      </c>
      <c r="R35" s="308" t="s">
        <v>60</v>
      </c>
      <c r="S35" s="309" t="s">
        <v>61</v>
      </c>
      <c r="T35" s="309" t="s">
        <v>62</v>
      </c>
      <c r="U35" s="309" t="s">
        <v>63</v>
      </c>
      <c r="V35" s="310" t="s">
        <v>64</v>
      </c>
    </row>
    <row r="36" spans="1:22">
      <c r="A36" s="286">
        <v>2001</v>
      </c>
      <c r="B36" s="287">
        <f t="shared" ref="B36:B51" si="0">SUM(K36/F36)*100</f>
        <v>1.0836394780857617E-3</v>
      </c>
      <c r="C36" s="287">
        <v>0</v>
      </c>
      <c r="D36" s="287">
        <v>0</v>
      </c>
      <c r="E36" s="287">
        <f t="shared" ref="E36:E51" si="1">(SUM(I36/G36))*100</f>
        <v>1.9742220790803693E-3</v>
      </c>
      <c r="F36" s="288">
        <f>SUM('PRs Analysis'!B10)*1000</f>
        <v>25100599.000000004</v>
      </c>
      <c r="G36" s="288">
        <v>2583296</v>
      </c>
      <c r="H36" s="288">
        <v>2583219</v>
      </c>
      <c r="I36" s="288">
        <f>(SUM('PRs Analysis'!I10))*1000</f>
        <v>51.000000000000014</v>
      </c>
      <c r="J36" s="288"/>
      <c r="K36" s="288">
        <f>(SUM('PRs Analysis'!H10))*1000</f>
        <v>272</v>
      </c>
      <c r="L36" s="288">
        <f t="shared" ref="L36:L67" si="2">SUM(F36-K36)</f>
        <v>25100327.000000004</v>
      </c>
      <c r="M36" s="288"/>
      <c r="N36" s="288"/>
      <c r="O36" s="288">
        <v>0</v>
      </c>
      <c r="P36" s="289">
        <f t="shared" ref="P36:P51" si="3">SUM(G36/F36)</f>
        <v>0.10291770327871456</v>
      </c>
      <c r="Q36" s="493"/>
      <c r="R36" s="316">
        <f>SUM(K36*'Demand '!$B$4/1000)</f>
        <v>5.7868276351918946E-4</v>
      </c>
      <c r="S36" s="314">
        <v>0.13878088173715381</v>
      </c>
      <c r="T36" s="315">
        <f>SUM(S36*K36)</f>
        <v>37.748399832505832</v>
      </c>
      <c r="U36" s="315">
        <f>SUM(732.516*K36)</f>
        <v>199244.35199999998</v>
      </c>
      <c r="V36" s="317">
        <f>SUM(4*(SUM(I36+K36)))</f>
        <v>1292</v>
      </c>
    </row>
    <row r="37" spans="1:22">
      <c r="A37" s="286">
        <v>2002</v>
      </c>
      <c r="B37" s="287">
        <f t="shared" si="0"/>
        <v>1.2659286147514003E-3</v>
      </c>
      <c r="C37" s="287">
        <f t="shared" ref="C37:C51" si="4">SUM((B37-B36)/(A37-A36))</f>
        <v>1.8228913666563863E-4</v>
      </c>
      <c r="D37" s="287">
        <f t="shared" ref="D37:D85" si="5">SUM(C37-C36)</f>
        <v>1.8228913666563863E-4</v>
      </c>
      <c r="E37" s="287">
        <f t="shared" si="1"/>
        <v>2.015415690682957E-3</v>
      </c>
      <c r="F37" s="288">
        <f>SUM('PRs Analysis'!B11)*1000</f>
        <v>25751846.999999996</v>
      </c>
      <c r="G37" s="288">
        <v>2679348</v>
      </c>
      <c r="H37" s="288">
        <v>2679286</v>
      </c>
      <c r="I37" s="288">
        <f>(SUM('PRs Analysis'!I11))*1000</f>
        <v>53.999999999999993</v>
      </c>
      <c r="J37" s="288">
        <f t="shared" ref="J37:J68" si="6">SUM(F37-F36)</f>
        <v>651247.99999999255</v>
      </c>
      <c r="K37" s="288">
        <f>(SUM('PRs Analysis'!H11))*1000</f>
        <v>326</v>
      </c>
      <c r="L37" s="288">
        <f t="shared" si="2"/>
        <v>25751520.999999996</v>
      </c>
      <c r="M37" s="288"/>
      <c r="N37" s="288"/>
      <c r="O37" s="288">
        <v>0</v>
      </c>
      <c r="P37" s="289">
        <f t="shared" si="3"/>
        <v>0.10404488656677714</v>
      </c>
      <c r="Q37" s="493"/>
      <c r="R37" s="318">
        <f>SUM(K37*'Demand '!$B$4/1000)</f>
        <v>6.9356831215902843E-4</v>
      </c>
      <c r="S37" s="311">
        <v>0.13878088173715381</v>
      </c>
      <c r="T37" s="312">
        <f t="shared" ref="T37:T85" si="7">SUM(S37*K37)</f>
        <v>45.242567446312144</v>
      </c>
      <c r="U37" s="312">
        <f t="shared" ref="U37:U85" si="8">SUM(732.516*K37)</f>
        <v>238800.21599999999</v>
      </c>
      <c r="V37" s="319">
        <f>SUM(4*I37)</f>
        <v>215.99999999999997</v>
      </c>
    </row>
    <row r="38" spans="1:22">
      <c r="A38" s="286">
        <v>2003</v>
      </c>
      <c r="B38" s="287">
        <f t="shared" si="0"/>
        <v>1.3318029429257947E-3</v>
      </c>
      <c r="C38" s="287">
        <f t="shared" si="4"/>
        <v>6.5874328174394398E-5</v>
      </c>
      <c r="D38" s="287">
        <f t="shared" si="5"/>
        <v>-1.1641480849124424E-4</v>
      </c>
      <c r="E38" s="287">
        <f t="shared" si="1"/>
        <v>8.7040600655831867E-4</v>
      </c>
      <c r="F38" s="288">
        <f>SUM('PRs Analysis'!B12)*1000</f>
        <v>26205078</v>
      </c>
      <c r="G38" s="288">
        <v>2642445</v>
      </c>
      <c r="H38" s="288">
        <v>2642406</v>
      </c>
      <c r="I38" s="288">
        <f>(SUM('PRs Analysis'!I12))*1000</f>
        <v>22.999999999999964</v>
      </c>
      <c r="J38" s="288">
        <f t="shared" si="6"/>
        <v>453231.00000000373</v>
      </c>
      <c r="K38" s="288">
        <f>(SUM('PRs Analysis'!H12))*1000</f>
        <v>349</v>
      </c>
      <c r="L38" s="288">
        <f t="shared" si="2"/>
        <v>26204729</v>
      </c>
      <c r="M38" s="288"/>
      <c r="N38" s="288"/>
      <c r="O38" s="288">
        <v>0</v>
      </c>
      <c r="P38" s="289">
        <f t="shared" si="3"/>
        <v>0.10083713545901295</v>
      </c>
      <c r="Q38" s="493"/>
      <c r="R38" s="318">
        <f>SUM(K38*'Demand '!$B$4/1000)</f>
        <v>7.4250104583895992E-4</v>
      </c>
      <c r="S38" s="311">
        <v>0.13878088173715381</v>
      </c>
      <c r="T38" s="312">
        <f t="shared" si="7"/>
        <v>48.43452772626668</v>
      </c>
      <c r="U38" s="312">
        <f t="shared" si="8"/>
        <v>255648.08399999997</v>
      </c>
      <c r="V38" s="319">
        <f t="shared" ref="V38:V85" si="9">SUM(4*I38)</f>
        <v>91.999999999999858</v>
      </c>
    </row>
    <row r="39" spans="1:22">
      <c r="A39" s="286">
        <v>2004</v>
      </c>
      <c r="B39" s="287">
        <f t="shared" si="0"/>
        <v>1.4784792888210773E-3</v>
      </c>
      <c r="C39" s="287">
        <f t="shared" si="4"/>
        <v>1.4667634589528257E-4</v>
      </c>
      <c r="D39" s="287">
        <f t="shared" si="5"/>
        <v>8.0802017720888169E-5</v>
      </c>
      <c r="E39" s="287">
        <f t="shared" si="1"/>
        <v>1.9262827020198631E-3</v>
      </c>
      <c r="F39" s="288">
        <f>SUM('PRs Analysis'!B13)*1000</f>
        <v>26987189</v>
      </c>
      <c r="G39" s="288">
        <v>2595673</v>
      </c>
      <c r="H39" s="288">
        <v>2595583</v>
      </c>
      <c r="I39" s="288">
        <f>(SUM('PRs Analysis'!I13))*1000</f>
        <v>50.000000000000043</v>
      </c>
      <c r="J39" s="288">
        <f t="shared" si="6"/>
        <v>782111</v>
      </c>
      <c r="K39" s="288">
        <f>(SUM('PRs Analysis'!H13))*1000</f>
        <v>399</v>
      </c>
      <c r="L39" s="288">
        <f t="shared" si="2"/>
        <v>26986790</v>
      </c>
      <c r="M39" s="288"/>
      <c r="N39" s="288"/>
      <c r="O39" s="288">
        <v>0</v>
      </c>
      <c r="P39" s="289">
        <f t="shared" si="3"/>
        <v>9.6181673459951683E-2</v>
      </c>
      <c r="Q39" s="493"/>
      <c r="R39" s="318">
        <f>SUM(K39*'Demand '!$B$4/1000)</f>
        <v>8.48876553838811E-4</v>
      </c>
      <c r="S39" s="311">
        <v>0.13878088173715381</v>
      </c>
      <c r="T39" s="312">
        <f t="shared" si="7"/>
        <v>55.373571813124371</v>
      </c>
      <c r="U39" s="312">
        <f t="shared" si="8"/>
        <v>292273.88399999996</v>
      </c>
      <c r="V39" s="319">
        <f t="shared" si="9"/>
        <v>200.00000000000017</v>
      </c>
    </row>
    <row r="40" spans="1:22">
      <c r="A40" s="286">
        <v>2005</v>
      </c>
      <c r="B40" s="287">
        <f t="shared" si="0"/>
        <v>2.0529919445546572E-3</v>
      </c>
      <c r="C40" s="287">
        <f t="shared" si="4"/>
        <v>5.7451265573357996E-4</v>
      </c>
      <c r="D40" s="287">
        <f t="shared" si="5"/>
        <v>4.2783630983829739E-4</v>
      </c>
      <c r="E40" s="287">
        <f t="shared" si="1"/>
        <v>6.7691335714153813E-3</v>
      </c>
      <c r="F40" s="288">
        <f>SUM('PRs Analysis'!B14)*1000</f>
        <v>27472100</v>
      </c>
      <c r="G40" s="288">
        <v>2437535</v>
      </c>
      <c r="H40" s="288">
        <v>2437312</v>
      </c>
      <c r="I40" s="288">
        <f>(SUM('PRs Analysis'!I14))*1000</f>
        <v>164.99999999999991</v>
      </c>
      <c r="J40" s="288">
        <f t="shared" si="6"/>
        <v>484911</v>
      </c>
      <c r="K40" s="288">
        <f>(SUM('PRs Analysis'!H14))*1000</f>
        <v>564</v>
      </c>
      <c r="L40" s="288">
        <f t="shared" si="2"/>
        <v>27471536</v>
      </c>
      <c r="M40" s="288"/>
      <c r="N40" s="288"/>
      <c r="O40" s="288">
        <v>0</v>
      </c>
      <c r="P40" s="289">
        <f t="shared" si="3"/>
        <v>8.8727654602305611E-2</v>
      </c>
      <c r="Q40" s="493"/>
      <c r="R40" s="318">
        <f>SUM(K40*'Demand '!$B$4/1000)</f>
        <v>1.1999157302383192E-3</v>
      </c>
      <c r="S40" s="311">
        <v>0.13878088173715381</v>
      </c>
      <c r="T40" s="312">
        <f t="shared" si="7"/>
        <v>78.27241729975475</v>
      </c>
      <c r="U40" s="312">
        <f t="shared" si="8"/>
        <v>413139.02399999998</v>
      </c>
      <c r="V40" s="319">
        <f t="shared" si="9"/>
        <v>659.99999999999966</v>
      </c>
    </row>
    <row r="41" spans="1:22">
      <c r="A41" s="286">
        <v>2006</v>
      </c>
      <c r="B41" s="287">
        <f t="shared" si="0"/>
        <v>2.9293115736664689E-3</v>
      </c>
      <c r="C41" s="287">
        <f t="shared" si="4"/>
        <v>8.7631962911181166E-4</v>
      </c>
      <c r="D41" s="287">
        <f t="shared" si="5"/>
        <v>3.018069733782317E-4</v>
      </c>
      <c r="E41" s="287">
        <f t="shared" si="1"/>
        <v>1.0424415267521388E-2</v>
      </c>
      <c r="F41" s="288">
        <f>SUM('PRs Analysis'!B15)*1000</f>
        <v>27549135</v>
      </c>
      <c r="G41" s="288">
        <v>2331066</v>
      </c>
      <c r="H41" s="288">
        <v>2330745</v>
      </c>
      <c r="I41" s="288">
        <f>(SUM('PRs Analysis'!I15))*1000</f>
        <v>243.00000000000011</v>
      </c>
      <c r="J41" s="288">
        <f t="shared" si="6"/>
        <v>77035</v>
      </c>
      <c r="K41" s="288">
        <f>(SUM('PRs Analysis'!H15))*1000</f>
        <v>807</v>
      </c>
      <c r="L41" s="288">
        <f t="shared" si="2"/>
        <v>27548328</v>
      </c>
      <c r="M41" s="288"/>
      <c r="N41" s="288"/>
      <c r="O41" s="288">
        <v>0</v>
      </c>
      <c r="P41" s="289">
        <f t="shared" si="3"/>
        <v>8.4614852698641899E-2</v>
      </c>
      <c r="Q41" s="493"/>
      <c r="R41" s="318">
        <f>SUM(K41*'Demand '!$B$4/1000)</f>
        <v>1.7169006991175949E-3</v>
      </c>
      <c r="S41" s="311">
        <v>0.13878088173715381</v>
      </c>
      <c r="T41" s="312">
        <f t="shared" si="7"/>
        <v>111.99617156188312</v>
      </c>
      <c r="U41" s="312">
        <f t="shared" si="8"/>
        <v>591140.41200000001</v>
      </c>
      <c r="V41" s="319">
        <f t="shared" si="9"/>
        <v>972.00000000000045</v>
      </c>
    </row>
    <row r="42" spans="1:22">
      <c r="A42" s="286">
        <v>2007</v>
      </c>
      <c r="B42" s="287">
        <f t="shared" si="0"/>
        <v>4.2690613139991663E-3</v>
      </c>
      <c r="C42" s="287">
        <f t="shared" si="4"/>
        <v>1.3397497403326974E-3</v>
      </c>
      <c r="D42" s="287">
        <f t="shared" si="5"/>
        <v>4.6343011122088572E-4</v>
      </c>
      <c r="E42" s="287">
        <f t="shared" si="1"/>
        <v>1.6217682581619167E-2</v>
      </c>
      <c r="F42" s="288">
        <f>SUM('PRs Analysis'!B16)*1000</f>
        <v>27921828.999999996</v>
      </c>
      <c r="G42" s="288">
        <v>2373952</v>
      </c>
      <c r="H42" s="288">
        <v>2373502</v>
      </c>
      <c r="I42" s="288">
        <f>(SUM('PRs Analysis'!I16))*1000</f>
        <v>384.99999999999989</v>
      </c>
      <c r="J42" s="288">
        <f t="shared" si="6"/>
        <v>372693.99999999627</v>
      </c>
      <c r="K42" s="288">
        <f>(SUM('PRs Analysis'!H16))*1000</f>
        <v>1192</v>
      </c>
      <c r="L42" s="288">
        <f t="shared" si="2"/>
        <v>27920636.999999996</v>
      </c>
      <c r="M42" s="288"/>
      <c r="N42" s="288"/>
      <c r="O42" s="288">
        <v>0</v>
      </c>
      <c r="P42" s="289">
        <f t="shared" si="3"/>
        <v>8.5021364467205943E-2</v>
      </c>
      <c r="Q42" s="493"/>
      <c r="R42" s="318">
        <f>SUM(K42*'Demand '!$B$4/1000)</f>
        <v>2.5359921107164477E-3</v>
      </c>
      <c r="S42" s="311">
        <v>0.13878088173715381</v>
      </c>
      <c r="T42" s="312">
        <f t="shared" si="7"/>
        <v>165.42681103068733</v>
      </c>
      <c r="U42" s="312">
        <f t="shared" si="8"/>
        <v>873159.07199999993</v>
      </c>
      <c r="V42" s="319">
        <f t="shared" si="9"/>
        <v>1539.9999999999995</v>
      </c>
    </row>
    <row r="43" spans="1:22">
      <c r="A43" s="286">
        <v>2008</v>
      </c>
      <c r="B43" s="287">
        <f t="shared" si="0"/>
        <v>4.7215795033988782E-3</v>
      </c>
      <c r="C43" s="287">
        <f t="shared" si="4"/>
        <v>4.525181893997119E-4</v>
      </c>
      <c r="D43" s="287">
        <f t="shared" si="5"/>
        <v>-8.8723155093298547E-4</v>
      </c>
      <c r="E43" s="287">
        <f t="shared" si="1"/>
        <v>6.3438550700995978E-3</v>
      </c>
      <c r="F43" s="288">
        <f>SUM('PRs Analysis'!B17)*1000</f>
        <v>28062643</v>
      </c>
      <c r="G43" s="288">
        <v>2096517</v>
      </c>
      <c r="H43" s="288">
        <v>2096297</v>
      </c>
      <c r="I43" s="288">
        <f>(SUM('PRs Analysis'!I17))*1000</f>
        <v>133</v>
      </c>
      <c r="J43" s="288">
        <f t="shared" si="6"/>
        <v>140814.00000000373</v>
      </c>
      <c r="K43" s="288">
        <f>(SUM('PRs Analysis'!H17))*1000</f>
        <v>1325</v>
      </c>
      <c r="L43" s="288">
        <f t="shared" si="2"/>
        <v>28061318</v>
      </c>
      <c r="M43" s="288"/>
      <c r="N43" s="288"/>
      <c r="O43" s="288">
        <v>0</v>
      </c>
      <c r="P43" s="289">
        <f t="shared" si="3"/>
        <v>7.4708465628130605E-2</v>
      </c>
      <c r="Q43" s="493"/>
      <c r="R43" s="318">
        <f>SUM(K43*'Demand '!$B$4/1000)</f>
        <v>2.8189509619960511E-3</v>
      </c>
      <c r="S43" s="311">
        <v>0.13878088173715381</v>
      </c>
      <c r="T43" s="312">
        <f t="shared" si="7"/>
        <v>183.88466830172879</v>
      </c>
      <c r="U43" s="312">
        <f t="shared" si="8"/>
        <v>970583.7</v>
      </c>
      <c r="V43" s="319">
        <f t="shared" si="9"/>
        <v>532</v>
      </c>
    </row>
    <row r="44" spans="1:22">
      <c r="A44" s="286">
        <v>2009</v>
      </c>
      <c r="B44" s="287">
        <f t="shared" si="0"/>
        <v>5.1648227159495734E-3</v>
      </c>
      <c r="C44" s="287">
        <f t="shared" si="4"/>
        <v>4.4324321255069521E-4</v>
      </c>
      <c r="D44" s="287">
        <f t="shared" si="5"/>
        <v>-9.2749768490166945E-6</v>
      </c>
      <c r="E44" s="287">
        <f t="shared" si="1"/>
        <v>6.5522547434741134E-3</v>
      </c>
      <c r="F44" s="288">
        <f>SUM('PRs Analysis'!B18)*1000</f>
        <v>28132621</v>
      </c>
      <c r="G44" s="288">
        <v>1953526</v>
      </c>
      <c r="H44" s="288">
        <v>1953344</v>
      </c>
      <c r="I44" s="288">
        <f>(SUM('PRs Analysis'!I18))*1000</f>
        <v>128.00000000000011</v>
      </c>
      <c r="J44" s="288">
        <f t="shared" si="6"/>
        <v>69978</v>
      </c>
      <c r="K44" s="288">
        <f>(SUM('PRs Analysis'!H18))*1000</f>
        <v>1453</v>
      </c>
      <c r="L44" s="288">
        <f t="shared" si="2"/>
        <v>28131168</v>
      </c>
      <c r="M44" s="288"/>
      <c r="N44" s="288"/>
      <c r="O44" s="288">
        <v>0</v>
      </c>
      <c r="P44" s="289">
        <f t="shared" si="3"/>
        <v>6.9439886173421242E-2</v>
      </c>
      <c r="Q44" s="493"/>
      <c r="R44" s="318">
        <f>SUM(K44*'Demand '!$B$4/1000)</f>
        <v>3.09127226247567E-3</v>
      </c>
      <c r="S44" s="311">
        <v>0.13878088173715381</v>
      </c>
      <c r="T44" s="312">
        <f t="shared" si="7"/>
        <v>201.64862116408449</v>
      </c>
      <c r="U44" s="312">
        <f t="shared" si="8"/>
        <v>1064345.7479999999</v>
      </c>
      <c r="V44" s="319">
        <f t="shared" si="9"/>
        <v>512.00000000000045</v>
      </c>
    </row>
    <row r="45" spans="1:22">
      <c r="A45" s="286">
        <v>2010</v>
      </c>
      <c r="B45" s="287">
        <f t="shared" si="0"/>
        <v>5.455032817519855E-3</v>
      </c>
      <c r="C45" s="287">
        <f t="shared" si="4"/>
        <v>2.9021010157028165E-4</v>
      </c>
      <c r="D45" s="287">
        <f t="shared" si="5"/>
        <v>-1.5303311098041356E-4</v>
      </c>
      <c r="E45" s="287">
        <f t="shared" si="1"/>
        <v>4.5586331394394629E-3</v>
      </c>
      <c r="F45" s="288">
        <f>SUM('PRs Analysis'!B19)*1000</f>
        <v>28285805.999999996</v>
      </c>
      <c r="G45" s="288">
        <v>1974276</v>
      </c>
      <c r="H45" s="288">
        <v>1974020</v>
      </c>
      <c r="I45" s="288">
        <f>(SUM('PRs Analysis'!I19))*1000</f>
        <v>89.999999999999858</v>
      </c>
      <c r="J45" s="288">
        <f t="shared" si="6"/>
        <v>153184.99999999627</v>
      </c>
      <c r="K45" s="288">
        <f>(SUM('PRs Analysis'!H19))*1000</f>
        <v>1543</v>
      </c>
      <c r="L45" s="288">
        <f t="shared" si="2"/>
        <v>28284262.999999996</v>
      </c>
      <c r="M45" s="288"/>
      <c r="N45" s="288"/>
      <c r="O45" s="288">
        <v>0</v>
      </c>
      <c r="P45" s="289">
        <f t="shared" si="3"/>
        <v>6.9797410050821962E-2</v>
      </c>
      <c r="Q45" s="493"/>
      <c r="R45" s="318">
        <f>SUM(K45*'Demand '!$B$4/1000)</f>
        <v>3.2827481768754017E-3</v>
      </c>
      <c r="S45" s="311">
        <v>0.13878088173715381</v>
      </c>
      <c r="T45" s="312">
        <f t="shared" si="7"/>
        <v>214.13890052042831</v>
      </c>
      <c r="U45" s="312">
        <f t="shared" si="8"/>
        <v>1130272.1879999998</v>
      </c>
      <c r="V45" s="319">
        <f t="shared" si="9"/>
        <v>359.99999999999943</v>
      </c>
    </row>
    <row r="46" spans="1:22">
      <c r="A46" s="286">
        <v>2011</v>
      </c>
      <c r="B46" s="287">
        <f t="shared" si="0"/>
        <v>9.2187136637866592E-3</v>
      </c>
      <c r="C46" s="287">
        <f t="shared" si="4"/>
        <v>3.7636808462668042E-3</v>
      </c>
      <c r="D46" s="287">
        <f t="shared" si="5"/>
        <v>3.4734707446965225E-3</v>
      </c>
      <c r="E46" s="287">
        <f t="shared" si="1"/>
        <v>5.6627215135122512E-2</v>
      </c>
      <c r="F46" s="288">
        <f>SUM('PRs Analysis'!B20)*1000</f>
        <v>28311976.000000004</v>
      </c>
      <c r="G46" s="288">
        <v>1884253</v>
      </c>
      <c r="H46" s="288">
        <v>1883045</v>
      </c>
      <c r="I46" s="288">
        <f>(SUM('PRs Analysis'!I20))*1000</f>
        <v>1067</v>
      </c>
      <c r="J46" s="288">
        <f t="shared" si="6"/>
        <v>26170.000000007451</v>
      </c>
      <c r="K46" s="288">
        <f>(SUM('PRs Analysis'!H20))*1000</f>
        <v>2610</v>
      </c>
      <c r="L46" s="288">
        <f t="shared" si="2"/>
        <v>28309366.000000004</v>
      </c>
      <c r="M46" s="288">
        <f t="shared" ref="M46:M85" ca="1" si="10">SUM(N46+O46)</f>
        <v>2584286</v>
      </c>
      <c r="N46" s="288">
        <f ca="1">OFFSET(H46,-$E$2,0,1,1)</f>
        <v>2583219</v>
      </c>
      <c r="O46" s="288">
        <f ca="1">OFFSET(I46,-$AE$4,0,1,1)</f>
        <v>1067</v>
      </c>
      <c r="P46" s="289">
        <f t="shared" si="3"/>
        <v>6.6553214088624538E-2</v>
      </c>
      <c r="Q46" s="493"/>
      <c r="R46" s="318">
        <f>SUM(K46*'Demand '!$B$4/1000)</f>
        <v>5.5528015175922221E-3</v>
      </c>
      <c r="S46" s="311">
        <v>0.13878088173715381</v>
      </c>
      <c r="T46" s="312">
        <f t="shared" si="7"/>
        <v>362.21810133397145</v>
      </c>
      <c r="U46" s="312">
        <f t="shared" si="8"/>
        <v>1911866.76</v>
      </c>
      <c r="V46" s="319">
        <f t="shared" si="9"/>
        <v>4268</v>
      </c>
    </row>
    <row r="47" spans="1:22">
      <c r="A47" s="286">
        <v>2012</v>
      </c>
      <c r="B47" s="287">
        <f t="shared" si="0"/>
        <v>1.4475926782500006E-2</v>
      </c>
      <c r="C47" s="287">
        <f t="shared" si="4"/>
        <v>5.2572131187133466E-3</v>
      </c>
      <c r="D47" s="287">
        <f t="shared" si="5"/>
        <v>1.4935322724465424E-3</v>
      </c>
      <c r="E47" s="287">
        <f t="shared" si="1"/>
        <v>7.6645524520776623E-2</v>
      </c>
      <c r="F47" s="288">
        <f>SUM('PRs Analysis'!B21)*1000</f>
        <v>28543941</v>
      </c>
      <c r="G47" s="288">
        <v>1985765</v>
      </c>
      <c r="H47" s="288">
        <v>1983638</v>
      </c>
      <c r="I47" s="288">
        <f>(SUM('PRs Analysis'!I21))*1000</f>
        <v>1521.9999999999998</v>
      </c>
      <c r="J47" s="288">
        <f t="shared" si="6"/>
        <v>231964.99999999627</v>
      </c>
      <c r="K47" s="288">
        <f>(SUM('PRs Analysis'!H21))*1000</f>
        <v>4132</v>
      </c>
      <c r="L47" s="288">
        <f t="shared" si="2"/>
        <v>28539809</v>
      </c>
      <c r="M47" s="288">
        <f t="shared" ca="1" si="10"/>
        <v>2680808</v>
      </c>
      <c r="N47" s="288">
        <f t="shared" ref="N47:N51" ca="1" si="11">OFFSET(H47,-$E$2,0,1,1)</f>
        <v>2679286</v>
      </c>
      <c r="O47" s="288">
        <f t="shared" ref="O47:O51" ca="1" si="12">OFFSET(I47,-$AE$4,0,1,1)</f>
        <v>1521.9999999999998</v>
      </c>
      <c r="P47" s="289">
        <f t="shared" si="3"/>
        <v>6.9568704615806207E-2</v>
      </c>
      <c r="Q47" s="493"/>
      <c r="R47" s="318">
        <f>SUM(K47*'Demand '!$B$4/1000)</f>
        <v>8.7908719811076869E-3</v>
      </c>
      <c r="S47" s="311">
        <v>0.13878088173715381</v>
      </c>
      <c r="T47" s="312">
        <f t="shared" si="7"/>
        <v>573.44260333791954</v>
      </c>
      <c r="U47" s="312">
        <f t="shared" si="8"/>
        <v>3026756.1119999997</v>
      </c>
      <c r="V47" s="319">
        <f t="shared" si="9"/>
        <v>6087.9999999999991</v>
      </c>
    </row>
    <row r="48" spans="1:22">
      <c r="A48" s="286">
        <v>2013</v>
      </c>
      <c r="B48" s="287">
        <f t="shared" si="0"/>
        <v>2.1617860645360358E-2</v>
      </c>
      <c r="C48" s="287">
        <f t="shared" si="4"/>
        <v>7.1419338628603522E-3</v>
      </c>
      <c r="D48" s="287">
        <f t="shared" si="5"/>
        <v>1.8847207441470056E-3</v>
      </c>
      <c r="E48" s="287">
        <f t="shared" si="1"/>
        <v>9.6689159155001411E-2</v>
      </c>
      <c r="F48" s="288">
        <f>SUM('PRs Analysis'!B22)*1000</f>
        <v>28934408.000000004</v>
      </c>
      <c r="G48" s="288">
        <v>2195696</v>
      </c>
      <c r="H48" s="288">
        <v>2192831</v>
      </c>
      <c r="I48" s="288">
        <f>(SUM('PRs Analysis'!I22))*1000</f>
        <v>2123</v>
      </c>
      <c r="J48" s="288">
        <f t="shared" si="6"/>
        <v>390467.00000000373</v>
      </c>
      <c r="K48" s="288">
        <f>(SUM('PRs Analysis'!H22))*1000</f>
        <v>6255</v>
      </c>
      <c r="L48" s="288">
        <f t="shared" si="2"/>
        <v>28928153.000000004</v>
      </c>
      <c r="M48" s="288">
        <f t="shared" ca="1" si="10"/>
        <v>2644529</v>
      </c>
      <c r="N48" s="288">
        <f t="shared" ca="1" si="11"/>
        <v>2642406</v>
      </c>
      <c r="O48" s="288">
        <f t="shared" ca="1" si="12"/>
        <v>2123</v>
      </c>
      <c r="P48" s="289">
        <f t="shared" si="3"/>
        <v>7.5885292002518243E-2</v>
      </c>
      <c r="Q48" s="493"/>
      <c r="R48" s="318">
        <f>SUM(K48*'Demand '!$B$4/1000)</f>
        <v>1.330757605078136E-2</v>
      </c>
      <c r="S48" s="311">
        <v>0.13878088173715381</v>
      </c>
      <c r="T48" s="312">
        <f t="shared" si="7"/>
        <v>868.07441526589707</v>
      </c>
      <c r="U48" s="312">
        <f t="shared" si="8"/>
        <v>4581887.58</v>
      </c>
      <c r="V48" s="319">
        <f t="shared" si="9"/>
        <v>8492</v>
      </c>
    </row>
    <row r="49" spans="1:22">
      <c r="A49" s="286">
        <v>2014</v>
      </c>
      <c r="B49" s="287">
        <f t="shared" si="0"/>
        <v>5.5197773916824566E-2</v>
      </c>
      <c r="C49" s="287">
        <f t="shared" si="4"/>
        <v>3.3579913271464208E-2</v>
      </c>
      <c r="D49" s="287">
        <f t="shared" si="5"/>
        <v>2.6437979408603856E-2</v>
      </c>
      <c r="E49" s="287">
        <f t="shared" si="1"/>
        <v>0.41564682923651364</v>
      </c>
      <c r="F49" s="288">
        <f>SUM('PRs Analysis'!B23)*1000</f>
        <v>29363503</v>
      </c>
      <c r="G49" s="288">
        <v>2394581</v>
      </c>
      <c r="H49" s="288">
        <v>2387410</v>
      </c>
      <c r="I49" s="288">
        <f>(SUM('PRs Analysis'!I23))*1000</f>
        <v>9953</v>
      </c>
      <c r="J49" s="288">
        <f t="shared" si="6"/>
        <v>429094.99999999627</v>
      </c>
      <c r="K49" s="288">
        <f>(SUM('PRs Analysis'!H23))*1000</f>
        <v>16207.999999999998</v>
      </c>
      <c r="L49" s="288">
        <f t="shared" si="2"/>
        <v>29347295</v>
      </c>
      <c r="M49" s="288">
        <f t="shared" ca="1" si="10"/>
        <v>2605536</v>
      </c>
      <c r="N49" s="288">
        <f t="shared" ca="1" si="11"/>
        <v>2595583</v>
      </c>
      <c r="O49" s="288">
        <f t="shared" ca="1" si="12"/>
        <v>9953</v>
      </c>
      <c r="P49" s="289">
        <f t="shared" si="3"/>
        <v>8.1549568523891711E-2</v>
      </c>
      <c r="Q49" s="493"/>
      <c r="R49" s="318">
        <f>SUM(K49*'Demand '!$B$4/1000)</f>
        <v>3.4482684673231692E-2</v>
      </c>
      <c r="S49" s="311">
        <v>0.13878088173715381</v>
      </c>
      <c r="T49" s="312">
        <f t="shared" si="7"/>
        <v>2249.3605311957886</v>
      </c>
      <c r="U49" s="312">
        <f t="shared" si="8"/>
        <v>11872619.327999998</v>
      </c>
      <c r="V49" s="319">
        <f t="shared" si="9"/>
        <v>39812</v>
      </c>
    </row>
    <row r="50" spans="1:22">
      <c r="A50" s="286">
        <v>2015</v>
      </c>
      <c r="B50" s="287">
        <f t="shared" si="0"/>
        <v>8.2172891322468522E-2</v>
      </c>
      <c r="C50" s="287">
        <f t="shared" si="4"/>
        <v>2.6975117405643956E-2</v>
      </c>
      <c r="D50" s="287">
        <f t="shared" si="5"/>
        <v>-6.6047958658202524E-3</v>
      </c>
      <c r="E50" s="287">
        <f t="shared" si="1"/>
        <v>0.33058209225583407</v>
      </c>
      <c r="F50" s="288">
        <f>SUM('PRs Analysis'!B24)*1000</f>
        <v>29940531.000000004</v>
      </c>
      <c r="G50" s="288">
        <v>2539460</v>
      </c>
      <c r="H50" s="288">
        <v>2529449</v>
      </c>
      <c r="I50" s="288">
        <f>(SUM('PRs Analysis'!I24))*1000</f>
        <v>8395.0000000000036</v>
      </c>
      <c r="J50" s="288">
        <f t="shared" si="6"/>
        <v>577028.00000000373</v>
      </c>
      <c r="K50" s="288">
        <f>(SUM('PRs Analysis'!H24))*1000</f>
        <v>24603</v>
      </c>
      <c r="L50" s="288">
        <f t="shared" si="2"/>
        <v>29915928.000000004</v>
      </c>
      <c r="M50" s="288">
        <f t="shared" ca="1" si="10"/>
        <v>2445707</v>
      </c>
      <c r="N50" s="288">
        <f t="shared" ca="1" si="11"/>
        <v>2437312</v>
      </c>
      <c r="O50" s="288">
        <f t="shared" ca="1" si="12"/>
        <v>8395.0000000000036</v>
      </c>
      <c r="P50" s="289">
        <f t="shared" si="3"/>
        <v>8.4816799007338906E-2</v>
      </c>
      <c r="Q50" s="493"/>
      <c r="R50" s="318">
        <f>SUM(K50*'Demand '!$B$4/1000)</f>
        <v>5.2343132466406678E-2</v>
      </c>
      <c r="S50" s="311">
        <v>0.13878088173715381</v>
      </c>
      <c r="T50" s="312">
        <f t="shared" si="7"/>
        <v>3414.4260333791949</v>
      </c>
      <c r="U50" s="312">
        <f t="shared" si="8"/>
        <v>18022091.147999998</v>
      </c>
      <c r="V50" s="319">
        <f t="shared" si="9"/>
        <v>33580.000000000015</v>
      </c>
    </row>
    <row r="51" spans="1:22">
      <c r="A51" s="286">
        <v>2016</v>
      </c>
      <c r="B51" s="287">
        <f t="shared" si="0"/>
        <v>0.10975423442104723</v>
      </c>
      <c r="C51" s="287">
        <f t="shared" si="4"/>
        <v>2.7581343098578709E-2</v>
      </c>
      <c r="D51" s="287">
        <f t="shared" si="5"/>
        <v>6.0622569293475315E-4</v>
      </c>
      <c r="E51" s="287">
        <f t="shared" si="1"/>
        <v>0.34142267826006256</v>
      </c>
      <c r="F51" s="288">
        <f>SUM('PRs Analysis'!B25)*1000</f>
        <v>30462606</v>
      </c>
      <c r="G51" s="288">
        <v>2586530</v>
      </c>
      <c r="H51" s="288">
        <v>2575532</v>
      </c>
      <c r="I51" s="288">
        <f>(SUM('PRs Analysis'!I25))*1000</f>
        <v>8830.9999999999964</v>
      </c>
      <c r="J51" s="288">
        <f t="shared" si="6"/>
        <v>522074.99999999627</v>
      </c>
      <c r="K51" s="288">
        <f>(SUM('PRs Analysis'!H25))*1000</f>
        <v>33434</v>
      </c>
      <c r="L51" s="288">
        <f t="shared" si="2"/>
        <v>30429172</v>
      </c>
      <c r="M51" s="288">
        <f t="shared" ca="1" si="10"/>
        <v>2339576</v>
      </c>
      <c r="N51" s="288">
        <f t="shared" ca="1" si="11"/>
        <v>2330745</v>
      </c>
      <c r="O51" s="288">
        <f t="shared" ca="1" si="12"/>
        <v>8830.9999999999964</v>
      </c>
      <c r="P51" s="289">
        <f t="shared" si="3"/>
        <v>8.4908362731671738E-2</v>
      </c>
      <c r="Q51" s="493"/>
      <c r="R51" s="318">
        <f>SUM(K51*'Demand '!$B$4/1000)</f>
        <v>7.1131174689340368E-2</v>
      </c>
      <c r="S51" s="311">
        <v>0.13878088173715381</v>
      </c>
      <c r="T51" s="312">
        <f t="shared" si="7"/>
        <v>4640</v>
      </c>
      <c r="U51" s="312">
        <f t="shared" si="8"/>
        <v>24490939.943999998</v>
      </c>
      <c r="V51" s="319">
        <f t="shared" si="9"/>
        <v>35323.999999999985</v>
      </c>
    </row>
    <row r="52" spans="1:22">
      <c r="A52" s="301">
        <v>2017</v>
      </c>
      <c r="B52" s="302">
        <f>IF($B$2/(1+POWER(81,($B$3+$B$4/2-$A52)/$B$4))-B51&lt;C51,B51+C51,($B$2/(1+POWER(81,($B$3+$B$4/2-$A52)/$B$4))))</f>
        <v>0.13733557751962594</v>
      </c>
      <c r="C52" s="302">
        <f t="shared" ref="C52:C68" si="13">SUM((B52-B51)/(A52-A51))</f>
        <v>2.7581343098578709E-2</v>
      </c>
      <c r="D52" s="302">
        <f t="shared" si="5"/>
        <v>0</v>
      </c>
      <c r="E52" s="302">
        <f t="shared" ref="E52:E67" si="14">(SUM(I52/G52))*100</f>
        <v>0.3294344528854305</v>
      </c>
      <c r="F52" s="303">
        <f>IF($D$2=1,'Nº Cars Projection'!B5, IF($D$2=2,'Nº Cars Projection'!D5, IF($D$2=3,'Nº Cars Projection'!F5)))</f>
        <v>31253245.6875</v>
      </c>
      <c r="G52" s="303">
        <f>SUM($P$53*F52)</f>
        <v>2616625.2032870967</v>
      </c>
      <c r="H52" s="303">
        <f t="shared" ref="H52:H85" si="15">SUM(G52-I52)</f>
        <v>2608005.1383645856</v>
      </c>
      <c r="I52" s="303">
        <f t="shared" ref="I52:I78" si="16">SUM(IF((C52-C51&lt;-2),(G52*$B$2)/100,(C52*F52)/100))</f>
        <v>8620.0649225111301</v>
      </c>
      <c r="J52" s="303">
        <f t="shared" si="6"/>
        <v>790639.6875</v>
      </c>
      <c r="K52" s="303">
        <f t="shared" ref="K52:K85" si="17">SUM(F52*B52)/100</f>
        <v>42921.825458555715</v>
      </c>
      <c r="L52" s="303">
        <f t="shared" si="2"/>
        <v>31210323.862041444</v>
      </c>
      <c r="M52" s="303">
        <f t="shared" ca="1" si="10"/>
        <v>2373887</v>
      </c>
      <c r="N52" s="303">
        <f ca="1">OFFSET(H52,-$E$2,0,1,1)</f>
        <v>2373502</v>
      </c>
      <c r="O52" s="303">
        <f ca="1">OFFSET(I52,-$E$2,0,1,1)</f>
        <v>384.99999999999989</v>
      </c>
      <c r="P52" s="305" t="s">
        <v>65</v>
      </c>
      <c r="Q52" s="493"/>
      <c r="R52" s="318">
        <f>SUM(K52*'Demand '!$B$4/1000)</f>
        <v>9.1316619748696037E-2</v>
      </c>
      <c r="S52" s="311">
        <v>0.14156356893091954</v>
      </c>
      <c r="T52" s="312">
        <f t="shared" si="7"/>
        <v>6076.1667969431492</v>
      </c>
      <c r="U52" s="312">
        <f t="shared" si="8"/>
        <v>31440923.897599395</v>
      </c>
      <c r="V52" s="319">
        <f t="shared" si="9"/>
        <v>34480.259690044521</v>
      </c>
    </row>
    <row r="53" spans="1:22">
      <c r="A53" s="301">
        <v>2018</v>
      </c>
      <c r="B53" s="302">
        <f t="shared" ref="B53:B68" si="18">IF($B$2/(1+POWER(81,($B$3+$B$4/2-$A53)/$B$4))-B52&lt;C52,B52+C52,($B$2/(1+POWER(81,($B$3+$B$4/2-$A53)/$B$4))))</f>
        <v>0.16491692061820465</v>
      </c>
      <c r="C53" s="302">
        <f t="shared" si="13"/>
        <v>2.7581343098578709E-2</v>
      </c>
      <c r="D53" s="302">
        <f t="shared" si="5"/>
        <v>0</v>
      </c>
      <c r="E53" s="302">
        <f t="shared" si="14"/>
        <v>0.32943445288543044</v>
      </c>
      <c r="F53" s="303">
        <f>IF($D$2=1,'Nº Cars Projection'!B6, IF($D$2=2,'Nº Cars Projection'!D6, IF($D$2=3,'Nº Cars Projection'!F6)))</f>
        <v>31656051.375</v>
      </c>
      <c r="G53" s="303">
        <f t="shared" ref="G53:G85" si="19">SUM($P$53*F53)</f>
        <v>2650349.429067635</v>
      </c>
      <c r="H53" s="303">
        <f t="shared" si="15"/>
        <v>2641618.264926434</v>
      </c>
      <c r="I53" s="303">
        <f t="shared" si="16"/>
        <v>8731.1641412010922</v>
      </c>
      <c r="J53" s="303">
        <f t="shared" si="6"/>
        <v>402805.6875</v>
      </c>
      <c r="K53" s="303">
        <f t="shared" si="17"/>
        <v>52206.18511696683</v>
      </c>
      <c r="L53" s="303">
        <f t="shared" si="2"/>
        <v>31603845.189883035</v>
      </c>
      <c r="M53" s="303">
        <f t="shared" ca="1" si="10"/>
        <v>2096430</v>
      </c>
      <c r="N53" s="303">
        <f t="shared" ref="N53:N85" ca="1" si="20">OFFSET(H53,-$E$2,0,1,1)</f>
        <v>2096297</v>
      </c>
      <c r="O53" s="303">
        <f t="shared" ref="O53:O85" ca="1" si="21">OFFSET(I53,-$E$2,0,1,1)</f>
        <v>133</v>
      </c>
      <c r="P53" s="306">
        <f>AVERAGE(P36:P51)</f>
        <v>8.3723310834677184E-2</v>
      </c>
      <c r="Q53" s="493"/>
      <c r="R53" s="318">
        <f>SUM(K53*'Demand '!$B$4/1000)</f>
        <v>0.11106918925103214</v>
      </c>
      <c r="S53" s="311">
        <v>0.14421977034315048</v>
      </c>
      <c r="T53" s="312">
        <f t="shared" si="7"/>
        <v>7529.1640280609563</v>
      </c>
      <c r="U53" s="312">
        <f t="shared" si="8"/>
        <v>38241865.897140071</v>
      </c>
      <c r="V53" s="319">
        <f t="shared" si="9"/>
        <v>34924.656564804369</v>
      </c>
    </row>
    <row r="54" spans="1:22">
      <c r="A54" s="301">
        <v>2019</v>
      </c>
      <c r="B54" s="302">
        <f t="shared" si="18"/>
        <v>0.19249826371678336</v>
      </c>
      <c r="C54" s="302">
        <f t="shared" si="13"/>
        <v>2.7581343098578709E-2</v>
      </c>
      <c r="D54" s="302">
        <f t="shared" si="5"/>
        <v>0</v>
      </c>
      <c r="E54" s="302">
        <f t="shared" si="14"/>
        <v>0.32943445288543044</v>
      </c>
      <c r="F54" s="303">
        <f>IF($D$2=1,'Nº Cars Projection'!B7, IF($D$2=2,'Nº Cars Projection'!D7, IF($D$2=3,'Nº Cars Projection'!F7)))</f>
        <v>32058857.0625</v>
      </c>
      <c r="G54" s="303">
        <f t="shared" si="19"/>
        <v>2684073.6548481733</v>
      </c>
      <c r="H54" s="303">
        <f t="shared" si="15"/>
        <v>2675231.391488282</v>
      </c>
      <c r="I54" s="303">
        <f t="shared" si="16"/>
        <v>8842.2633598910561</v>
      </c>
      <c r="J54" s="303">
        <f t="shared" si="6"/>
        <v>402805.6875</v>
      </c>
      <c r="K54" s="303">
        <f t="shared" si="17"/>
        <v>61712.743212757872</v>
      </c>
      <c r="L54" s="303">
        <f t="shared" si="2"/>
        <v>31997144.319287241</v>
      </c>
      <c r="M54" s="303">
        <f t="shared" ca="1" si="10"/>
        <v>1953472</v>
      </c>
      <c r="N54" s="303">
        <f t="shared" ca="1" si="20"/>
        <v>1953344</v>
      </c>
      <c r="O54" s="303">
        <f t="shared" ca="1" si="21"/>
        <v>128.00000000000011</v>
      </c>
      <c r="P54" s="313"/>
      <c r="Q54" s="493"/>
      <c r="R54" s="318">
        <f>SUM(K54*'Demand '!$B$4/1000)</f>
        <v>0.1312944881864295</v>
      </c>
      <c r="S54" s="311">
        <v>0.14675523532755272</v>
      </c>
      <c r="T54" s="312">
        <f t="shared" si="7"/>
        <v>9056.668152897113</v>
      </c>
      <c r="U54" s="312">
        <f t="shared" si="8"/>
        <v>45205571.807236545</v>
      </c>
      <c r="V54" s="319">
        <f t="shared" si="9"/>
        <v>35369.053439564224</v>
      </c>
    </row>
    <row r="55" spans="1:22">
      <c r="A55" s="301">
        <v>2020</v>
      </c>
      <c r="B55" s="302">
        <f t="shared" si="18"/>
        <v>0.22007960681536207</v>
      </c>
      <c r="C55" s="302">
        <f t="shared" si="13"/>
        <v>2.7581343098578709E-2</v>
      </c>
      <c r="D55" s="302">
        <f t="shared" si="5"/>
        <v>0</v>
      </c>
      <c r="E55" s="302">
        <f t="shared" si="14"/>
        <v>0.3294344528854305</v>
      </c>
      <c r="F55" s="303">
        <f>IF($D$2=1,'Nº Cars Projection'!B8, IF($D$2=2,'Nº Cars Projection'!D8, IF($D$2=3,'Nº Cars Projection'!F8)))</f>
        <v>32461662.75</v>
      </c>
      <c r="G55" s="303">
        <f t="shared" si="19"/>
        <v>2717797.8806287115</v>
      </c>
      <c r="H55" s="303">
        <f t="shared" si="15"/>
        <v>2708844.5180501305</v>
      </c>
      <c r="I55" s="303">
        <f t="shared" si="16"/>
        <v>8953.3625785810218</v>
      </c>
      <c r="J55" s="303">
        <f t="shared" si="6"/>
        <v>402805.6875</v>
      </c>
      <c r="K55" s="303">
        <f t="shared" si="17"/>
        <v>71441.499745928857</v>
      </c>
      <c r="L55" s="303">
        <f t="shared" si="2"/>
        <v>32390221.250254072</v>
      </c>
      <c r="M55" s="303">
        <f t="shared" ca="1" si="10"/>
        <v>1974110</v>
      </c>
      <c r="N55" s="303">
        <f t="shared" ca="1" si="20"/>
        <v>1974020</v>
      </c>
      <c r="O55" s="303">
        <f t="shared" ca="1" si="21"/>
        <v>89.999999999999858</v>
      </c>
      <c r="P55" s="305" t="s">
        <v>66</v>
      </c>
      <c r="Q55" s="493"/>
      <c r="R55" s="318">
        <f>SUM(K55*'Demand '!$B$4/1000)</f>
        <v>0.15199251655488816</v>
      </c>
      <c r="S55" s="311">
        <v>0.14917545190357306</v>
      </c>
      <c r="T55" s="312">
        <f t="shared" si="7"/>
        <v>10657.318009267938</v>
      </c>
      <c r="U55" s="312">
        <f t="shared" si="8"/>
        <v>52332041.627888821</v>
      </c>
      <c r="V55" s="319">
        <f t="shared" si="9"/>
        <v>35813.450314324087</v>
      </c>
    </row>
    <row r="56" spans="1:22">
      <c r="A56" s="301">
        <v>2021</v>
      </c>
      <c r="B56" s="302">
        <f t="shared" si="18"/>
        <v>0.24766094991394078</v>
      </c>
      <c r="C56" s="302">
        <f t="shared" si="13"/>
        <v>2.7581343098578709E-2</v>
      </c>
      <c r="D56" s="302">
        <f t="shared" si="5"/>
        <v>0</v>
      </c>
      <c r="E56" s="302">
        <f t="shared" si="14"/>
        <v>0.32943445288543038</v>
      </c>
      <c r="F56" s="303">
        <f>IF($D$2=1,'Nº Cars Projection'!B9, IF($D$2=2,'Nº Cars Projection'!D9, IF($D$2=3,'Nº Cars Projection'!F9)))</f>
        <v>32864468.4375</v>
      </c>
      <c r="G56" s="303">
        <f t="shared" si="19"/>
        <v>2751522.1064092503</v>
      </c>
      <c r="H56" s="303">
        <f t="shared" si="15"/>
        <v>2742457.6446119794</v>
      </c>
      <c r="I56" s="303">
        <f t="shared" si="16"/>
        <v>9064.4617972709839</v>
      </c>
      <c r="J56" s="303">
        <f t="shared" si="6"/>
        <v>402805.6875</v>
      </c>
      <c r="K56" s="303">
        <f t="shared" si="17"/>
        <v>81392.454716479755</v>
      </c>
      <c r="L56" s="303">
        <f t="shared" si="2"/>
        <v>32783075.982783519</v>
      </c>
      <c r="M56" s="303">
        <f t="shared" ca="1" si="10"/>
        <v>1884112</v>
      </c>
      <c r="N56" s="303">
        <f t="shared" ca="1" si="20"/>
        <v>1883045</v>
      </c>
      <c r="O56" s="303">
        <f t="shared" ca="1" si="21"/>
        <v>1067</v>
      </c>
      <c r="P56" s="306">
        <f>SUM($B$2*P53)/100</f>
        <v>8.3723310834677184E-2</v>
      </c>
      <c r="Q56" s="493"/>
      <c r="R56" s="318">
        <f>SUM(K56*'Demand '!$B$4/1000)</f>
        <v>0.17316327435640805</v>
      </c>
      <c r="S56" s="311">
        <v>0.15148565863522884</v>
      </c>
      <c r="T56" s="312">
        <f t="shared" si="7"/>
        <v>12329.789610663973</v>
      </c>
      <c r="U56" s="312">
        <f t="shared" si="8"/>
        <v>59621275.359096885</v>
      </c>
      <c r="V56" s="319">
        <f t="shared" si="9"/>
        <v>36257.847189083936</v>
      </c>
    </row>
    <row r="57" spans="1:22">
      <c r="A57" s="301">
        <v>2022</v>
      </c>
      <c r="B57" s="302">
        <f t="shared" si="18"/>
        <v>0.27670019101045618</v>
      </c>
      <c r="C57" s="302">
        <f t="shared" si="13"/>
        <v>2.90392410965154E-2</v>
      </c>
      <c r="D57" s="302">
        <f t="shared" si="5"/>
        <v>1.4578979979366913E-3</v>
      </c>
      <c r="E57" s="302">
        <f t="shared" si="14"/>
        <v>0.34684773938117719</v>
      </c>
      <c r="F57" s="303">
        <f>IF($D$2=1,'Nº Cars Projection'!B10, IF($D$2=2,'Nº Cars Projection'!D10, IF($D$2=3,'Nº Cars Projection'!F10)))</f>
        <v>33267274.125</v>
      </c>
      <c r="G57" s="303">
        <f t="shared" si="19"/>
        <v>2785246.3321897886</v>
      </c>
      <c r="H57" s="303">
        <f t="shared" si="15"/>
        <v>2775585.7682503914</v>
      </c>
      <c r="I57" s="303">
        <f t="shared" si="16"/>
        <v>9660.5639393974343</v>
      </c>
      <c r="J57" s="303">
        <f t="shared" si="6"/>
        <v>402805.6875</v>
      </c>
      <c r="K57" s="303">
        <f t="shared" si="17"/>
        <v>92050.611047847065</v>
      </c>
      <c r="L57" s="303">
        <f t="shared" si="2"/>
        <v>33175223.513952155</v>
      </c>
      <c r="M57" s="303">
        <f t="shared" ca="1" si="10"/>
        <v>1985160</v>
      </c>
      <c r="N57" s="303">
        <f t="shared" ca="1" si="20"/>
        <v>1983638</v>
      </c>
      <c r="O57" s="303">
        <f t="shared" ca="1" si="21"/>
        <v>1521.9999999999998</v>
      </c>
      <c r="P57" s="298"/>
      <c r="Q57" s="493"/>
      <c r="R57" s="318">
        <f>SUM(K57*'Demand '!$B$4/1000)</f>
        <v>0.19583861023822857</v>
      </c>
      <c r="S57" s="311">
        <v>0.15369085596999116</v>
      </c>
      <c r="T57" s="312">
        <f t="shared" si="7"/>
        <v>14147.33720450434</v>
      </c>
      <c r="U57" s="312">
        <f t="shared" si="8"/>
        <v>67428545.402324736</v>
      </c>
      <c r="V57" s="319">
        <f t="shared" si="9"/>
        <v>38642.255757589737</v>
      </c>
    </row>
    <row r="58" spans="1:22">
      <c r="A58" s="301">
        <v>2023</v>
      </c>
      <c r="B58" s="302">
        <f t="shared" si="18"/>
        <v>0.3865597543824334</v>
      </c>
      <c r="C58" s="302">
        <f t="shared" si="13"/>
        <v>0.10985956337197722</v>
      </c>
      <c r="D58" s="302">
        <f t="shared" si="5"/>
        <v>8.082032227546182E-2</v>
      </c>
      <c r="E58" s="302">
        <f t="shared" si="14"/>
        <v>1.3121741397555282</v>
      </c>
      <c r="F58" s="303">
        <f>IF($D$2=1,'Nº Cars Projection'!B11, IF($D$2=2,'Nº Cars Projection'!D11, IF($D$2=3,'Nº Cars Projection'!F11)))</f>
        <v>33670079.8125</v>
      </c>
      <c r="G58" s="303">
        <f t="shared" si="19"/>
        <v>2818970.5579703269</v>
      </c>
      <c r="H58" s="303">
        <f t="shared" si="15"/>
        <v>2781980.7553013181</v>
      </c>
      <c r="I58" s="303">
        <f t="shared" si="16"/>
        <v>36989.80266900875</v>
      </c>
      <c r="J58" s="303">
        <f t="shared" si="6"/>
        <v>402805.6875</v>
      </c>
      <c r="K58" s="303">
        <f t="shared" si="17"/>
        <v>130154.97782356929</v>
      </c>
      <c r="L58" s="303">
        <f t="shared" si="2"/>
        <v>33539924.83467643</v>
      </c>
      <c r="M58" s="303">
        <f t="shared" ca="1" si="10"/>
        <v>2194954</v>
      </c>
      <c r="N58" s="303">
        <f t="shared" ca="1" si="20"/>
        <v>2192831</v>
      </c>
      <c r="O58" s="303">
        <f t="shared" ca="1" si="21"/>
        <v>2123</v>
      </c>
      <c r="P58" s="298"/>
      <c r="Q58" s="493"/>
      <c r="R58" s="318">
        <f>SUM(K58*'Demand '!$B$4/1000)</f>
        <v>0.27690603769383049</v>
      </c>
      <c r="S58" s="311">
        <v>0.15579581706226428</v>
      </c>
      <c r="T58" s="312">
        <f t="shared" si="7"/>
        <v>20277.601114743866</v>
      </c>
      <c r="U58" s="312">
        <f t="shared" si="8"/>
        <v>95340603.735409677</v>
      </c>
      <c r="V58" s="319">
        <f t="shared" si="9"/>
        <v>147959.210676035</v>
      </c>
    </row>
    <row r="59" spans="1:22">
      <c r="A59" s="301">
        <v>2024</v>
      </c>
      <c r="B59" s="302">
        <f t="shared" si="18"/>
        <v>0.53980126689448049</v>
      </c>
      <c r="C59" s="302">
        <f t="shared" si="13"/>
        <v>0.1532415125120471</v>
      </c>
      <c r="D59" s="302">
        <f t="shared" si="5"/>
        <v>4.3381949140069875E-2</v>
      </c>
      <c r="E59" s="302">
        <f t="shared" si="14"/>
        <v>1.8303326873281784</v>
      </c>
      <c r="F59" s="303">
        <f>IF($D$2=1,'Nº Cars Projection'!B12, IF($D$2=2,'Nº Cars Projection'!D12, IF($D$2=3,'Nº Cars Projection'!F12)))</f>
        <v>34072885.5</v>
      </c>
      <c r="G59" s="303">
        <f t="shared" si="19"/>
        <v>2852694.7837508651</v>
      </c>
      <c r="H59" s="303">
        <f t="shared" si="15"/>
        <v>2800480.9786541671</v>
      </c>
      <c r="I59" s="303">
        <f t="shared" si="16"/>
        <v>52213.805096697986</v>
      </c>
      <c r="J59" s="303">
        <f t="shared" si="6"/>
        <v>402805.6875</v>
      </c>
      <c r="K59" s="303">
        <f t="shared" si="17"/>
        <v>183925.86759650573</v>
      </c>
      <c r="L59" s="303">
        <f t="shared" si="2"/>
        <v>33888959.632403493</v>
      </c>
      <c r="M59" s="303">
        <f t="shared" ca="1" si="10"/>
        <v>2397363</v>
      </c>
      <c r="N59" s="303">
        <f t="shared" ca="1" si="20"/>
        <v>2387410</v>
      </c>
      <c r="O59" s="303">
        <f t="shared" ca="1" si="21"/>
        <v>9953</v>
      </c>
      <c r="P59" s="298"/>
      <c r="Q59" s="493"/>
      <c r="R59" s="318">
        <f>SUM(K59*'Demand '!$B$4/1000)</f>
        <v>0.39130415199783258</v>
      </c>
      <c r="S59" s="311">
        <v>0.15780509810488863</v>
      </c>
      <c r="T59" s="312">
        <f t="shared" si="7"/>
        <v>29024.439580093345</v>
      </c>
      <c r="U59" s="312">
        <f t="shared" si="8"/>
        <v>134728640.82832199</v>
      </c>
      <c r="V59" s="319">
        <f t="shared" si="9"/>
        <v>208855.22038679195</v>
      </c>
    </row>
    <row r="60" spans="1:22">
      <c r="A60" s="301">
        <v>2025</v>
      </c>
      <c r="B60" s="302">
        <f t="shared" si="18"/>
        <v>0.75333195784742957</v>
      </c>
      <c r="C60" s="302">
        <f t="shared" si="13"/>
        <v>0.21353069095294908</v>
      </c>
      <c r="D60" s="302">
        <f t="shared" si="5"/>
        <v>6.028917844090198E-2</v>
      </c>
      <c r="E60" s="302">
        <f t="shared" si="14"/>
        <v>2.5504329537874324</v>
      </c>
      <c r="F60" s="303">
        <f>IF($D$2=1,'Nº Cars Projection'!B13, IF($D$2=2,'Nº Cars Projection'!D13, IF($D$2=3,'Nº Cars Projection'!F13)))</f>
        <v>34475691.1875</v>
      </c>
      <c r="G60" s="303">
        <f t="shared" si="19"/>
        <v>2886419.0095314034</v>
      </c>
      <c r="H60" s="303">
        <f t="shared" si="15"/>
        <v>2812802.8279279298</v>
      </c>
      <c r="I60" s="303">
        <f t="shared" si="16"/>
        <v>73616.181603473728</v>
      </c>
      <c r="J60" s="303">
        <f t="shared" si="6"/>
        <v>402805.6875</v>
      </c>
      <c r="K60" s="303">
        <f t="shared" si="17"/>
        <v>259716.39940422747</v>
      </c>
      <c r="L60" s="303">
        <f t="shared" si="2"/>
        <v>34215974.788095772</v>
      </c>
      <c r="M60" s="303">
        <f t="shared" ca="1" si="10"/>
        <v>2537844</v>
      </c>
      <c r="N60" s="303">
        <f t="shared" ca="1" si="20"/>
        <v>2529449</v>
      </c>
      <c r="O60" s="303">
        <f t="shared" ca="1" si="21"/>
        <v>8395.0000000000036</v>
      </c>
      <c r="P60" s="298"/>
      <c r="Q60" s="493"/>
      <c r="R60" s="318">
        <f>SUM(K60*'Demand '!$B$4/1000)</f>
        <v>0.55254927845033797</v>
      </c>
      <c r="S60" s="311">
        <v>0.15972304819103006</v>
      </c>
      <c r="T60" s="312">
        <f t="shared" si="7"/>
        <v>41482.694978042236</v>
      </c>
      <c r="U60" s="312">
        <f t="shared" si="8"/>
        <v>190246418.02598709</v>
      </c>
      <c r="V60" s="319">
        <f t="shared" si="9"/>
        <v>294464.72641389491</v>
      </c>
    </row>
    <row r="61" spans="1:22">
      <c r="A61" s="301">
        <v>2026</v>
      </c>
      <c r="B61" s="302">
        <f t="shared" si="18"/>
        <v>1.0504374912812346</v>
      </c>
      <c r="C61" s="302">
        <f t="shared" si="13"/>
        <v>0.29710553343380508</v>
      </c>
      <c r="D61" s="302">
        <f t="shared" si="5"/>
        <v>8.3574842480856004E-2</v>
      </c>
      <c r="E61" s="302">
        <f t="shared" si="14"/>
        <v>3.5486596322078028</v>
      </c>
      <c r="F61" s="303">
        <f>IF($D$2=1,'Nº Cars Projection'!B14, IF($D$2=2,'Nº Cars Projection'!D14, IF($D$2=3,'Nº Cars Projection'!F14)))</f>
        <v>34878496.875</v>
      </c>
      <c r="G61" s="303">
        <f t="shared" si="19"/>
        <v>2920143.2353119417</v>
      </c>
      <c r="H61" s="303">
        <f t="shared" si="15"/>
        <v>2816517.2911177799</v>
      </c>
      <c r="I61" s="303">
        <f t="shared" si="16"/>
        <v>103625.94419416178</v>
      </c>
      <c r="J61" s="303">
        <f t="shared" si="6"/>
        <v>402805.6875</v>
      </c>
      <c r="K61" s="303">
        <f t="shared" si="17"/>
        <v>366376.80757035385</v>
      </c>
      <c r="L61" s="303">
        <f t="shared" si="2"/>
        <v>34512120.067429647</v>
      </c>
      <c r="M61" s="303">
        <f t="shared" ca="1" si="10"/>
        <v>2584363</v>
      </c>
      <c r="N61" s="303">
        <f t="shared" ca="1" si="20"/>
        <v>2575532</v>
      </c>
      <c r="O61" s="303">
        <f t="shared" ca="1" si="21"/>
        <v>8830.9999999999964</v>
      </c>
      <c r="P61" s="298"/>
      <c r="Q61" s="493"/>
      <c r="R61" s="318">
        <f>SUM(K61*'Demand '!$B$4/1000)</f>
        <v>0.77947038049320083</v>
      </c>
      <c r="S61" s="311">
        <v>0.16155381872780142</v>
      </c>
      <c r="T61" s="312">
        <f t="shared" si="7"/>
        <v>59189.57235629153</v>
      </c>
      <c r="U61" s="312">
        <f t="shared" si="8"/>
        <v>268376873.57420531</v>
      </c>
      <c r="V61" s="319">
        <f t="shared" si="9"/>
        <v>414503.77677664714</v>
      </c>
    </row>
    <row r="62" spans="1:22">
      <c r="A62" s="301">
        <v>2027</v>
      </c>
      <c r="B62" s="302">
        <f t="shared" si="18"/>
        <v>1.4629907869622472</v>
      </c>
      <c r="C62" s="302">
        <f t="shared" si="13"/>
        <v>0.41255329568101251</v>
      </c>
      <c r="D62" s="302">
        <f t="shared" si="5"/>
        <v>0.11544776224720743</v>
      </c>
      <c r="E62" s="302">
        <f t="shared" si="14"/>
        <v>4.9275798050515931</v>
      </c>
      <c r="F62" s="303">
        <f>IF($D$2=1,'Nº Cars Projection'!B15, IF($D$2=2,'Nº Cars Projection'!D15, IF($D$2=3,'Nº Cars Projection'!F15)))</f>
        <v>35281302.5625</v>
      </c>
      <c r="G62" s="303">
        <f t="shared" si="19"/>
        <v>2953867.46109248</v>
      </c>
      <c r="H62" s="303">
        <f t="shared" si="15"/>
        <v>2808313.2846116968</v>
      </c>
      <c r="I62" s="303">
        <f t="shared" si="16"/>
        <v>145554.17648078327</v>
      </c>
      <c r="J62" s="303">
        <f t="shared" si="6"/>
        <v>402805.6875</v>
      </c>
      <c r="K62" s="303">
        <f t="shared" si="17"/>
        <v>516162.20600965025</v>
      </c>
      <c r="L62" s="303">
        <f t="shared" si="2"/>
        <v>34765140.356490351</v>
      </c>
      <c r="M62" s="303">
        <f t="shared" ca="1" si="10"/>
        <v>2616625.2032870967</v>
      </c>
      <c r="N62" s="303">
        <f t="shared" ca="1" si="20"/>
        <v>2608005.1383645856</v>
      </c>
      <c r="O62" s="303">
        <f t="shared" ca="1" si="21"/>
        <v>8620.0649225111301</v>
      </c>
      <c r="P62" s="298"/>
      <c r="Q62" s="493"/>
      <c r="R62" s="318">
        <f>SUM(K62*'Demand '!$B$4/1000)</f>
        <v>1.0981403374920058</v>
      </c>
      <c r="S62" s="311">
        <v>0.16330137242199227</v>
      </c>
      <c r="T62" s="312">
        <f t="shared" si="7"/>
        <v>84289.996633738992</v>
      </c>
      <c r="U62" s="312">
        <f t="shared" si="8"/>
        <v>378097074.49736494</v>
      </c>
      <c r="V62" s="319">
        <f t="shared" si="9"/>
        <v>582216.70592313306</v>
      </c>
    </row>
    <row r="63" spans="1:22">
      <c r="A63" s="301">
        <v>2028</v>
      </c>
      <c r="B63" s="302">
        <f t="shared" si="18"/>
        <v>2.0342409925254286</v>
      </c>
      <c r="C63" s="302">
        <f t="shared" si="13"/>
        <v>0.5712502055631814</v>
      </c>
      <c r="D63" s="302">
        <f t="shared" si="5"/>
        <v>0.15869690988216889</v>
      </c>
      <c r="E63" s="302">
        <f t="shared" si="14"/>
        <v>6.8230723303715379</v>
      </c>
      <c r="F63" s="303">
        <f>IF($D$2=1,'Nº Cars Projection'!B16, IF($D$2=2,'Nº Cars Projection'!D16, IF($D$2=3,'Nº Cars Projection'!F16)))</f>
        <v>35684108.25</v>
      </c>
      <c r="G63" s="303">
        <f t="shared" si="19"/>
        <v>2987591.6868730183</v>
      </c>
      <c r="H63" s="303">
        <f t="shared" si="15"/>
        <v>2783746.1451415052</v>
      </c>
      <c r="I63" s="303">
        <f t="shared" si="16"/>
        <v>203845.54173151319</v>
      </c>
      <c r="J63" s="303">
        <f t="shared" si="6"/>
        <v>402805.6875</v>
      </c>
      <c r="K63" s="303">
        <f t="shared" si="17"/>
        <v>725900.75783864839</v>
      </c>
      <c r="L63" s="303">
        <f t="shared" si="2"/>
        <v>34958207.492161348</v>
      </c>
      <c r="M63" s="303">
        <f t="shared" ca="1" si="10"/>
        <v>2650349.429067635</v>
      </c>
      <c r="N63" s="303">
        <f t="shared" ca="1" si="20"/>
        <v>2641618.264926434</v>
      </c>
      <c r="O63" s="303">
        <f t="shared" ca="1" si="21"/>
        <v>8731.1641412010922</v>
      </c>
      <c r="P63" s="298"/>
      <c r="Q63" s="493"/>
      <c r="R63" s="318">
        <f>SUM(K63*'Demand '!$B$4/1000)</f>
        <v>1.544361237451261</v>
      </c>
      <c r="S63" s="311">
        <v>0.16496949185735627</v>
      </c>
      <c r="T63" s="312">
        <f t="shared" si="7"/>
        <v>119751.47915951165</v>
      </c>
      <c r="U63" s="312">
        <f t="shared" si="8"/>
        <v>531733919.52893531</v>
      </c>
      <c r="V63" s="319">
        <f t="shared" si="9"/>
        <v>815382.16692605277</v>
      </c>
    </row>
    <row r="64" spans="1:22">
      <c r="A64" s="301">
        <v>2029</v>
      </c>
      <c r="B64" s="302">
        <f t="shared" si="18"/>
        <v>2.8221573661452535</v>
      </c>
      <c r="C64" s="302">
        <f t="shared" si="13"/>
        <v>0.78791637361982492</v>
      </c>
      <c r="D64" s="302">
        <f t="shared" si="5"/>
        <v>0.21666616805664352</v>
      </c>
      <c r="E64" s="302">
        <f t="shared" si="14"/>
        <v>9.4109557513279736</v>
      </c>
      <c r="F64" s="303">
        <f>IF($D$2=1,'Nº Cars Projection'!B17, IF($D$2=2,'Nº Cars Projection'!D17, IF($D$2=3,'Nº Cars Projection'!F17)))</f>
        <v>36086913.9375</v>
      </c>
      <c r="G64" s="303">
        <f t="shared" si="19"/>
        <v>3021315.912653557</v>
      </c>
      <c r="H64" s="303">
        <f t="shared" si="15"/>
        <v>2736981.2090058997</v>
      </c>
      <c r="I64" s="303">
        <f t="shared" si="16"/>
        <v>284334.70364765718</v>
      </c>
      <c r="J64" s="303">
        <f t="shared" si="6"/>
        <v>402805.6875</v>
      </c>
      <c r="K64" s="303">
        <f t="shared" si="17"/>
        <v>1018429.4999016544</v>
      </c>
      <c r="L64" s="303">
        <f t="shared" si="2"/>
        <v>35068484.437598348</v>
      </c>
      <c r="M64" s="303">
        <f t="shared" ca="1" si="10"/>
        <v>2684073.6548481733</v>
      </c>
      <c r="N64" s="303">
        <f t="shared" ca="1" si="20"/>
        <v>2675231.391488282</v>
      </c>
      <c r="O64" s="303">
        <f t="shared" ca="1" si="21"/>
        <v>8842.2633598910561</v>
      </c>
      <c r="P64" s="298"/>
      <c r="Q64" s="493"/>
      <c r="R64" s="318">
        <f>SUM(K64*'Demand '!$B$4/1000)</f>
        <v>2.1667191082814536</v>
      </c>
      <c r="S64" s="311">
        <v>0.1665617876820219</v>
      </c>
      <c r="T64" s="312">
        <f t="shared" si="7"/>
        <v>169631.4381317271</v>
      </c>
      <c r="U64" s="312">
        <f t="shared" si="8"/>
        <v>746015903.54996026</v>
      </c>
      <c r="V64" s="319">
        <f t="shared" si="9"/>
        <v>1137338.8145906287</v>
      </c>
    </row>
    <row r="65" spans="1:22">
      <c r="A65" s="301">
        <v>2030</v>
      </c>
      <c r="B65" s="302">
        <f t="shared" si="18"/>
        <v>3.9030961331001874</v>
      </c>
      <c r="C65" s="302">
        <f t="shared" si="13"/>
        <v>1.080938766954934</v>
      </c>
      <c r="D65" s="302">
        <f t="shared" si="5"/>
        <v>0.29302239333510904</v>
      </c>
      <c r="E65" s="302">
        <f t="shared" si="14"/>
        <v>12.910845930225948</v>
      </c>
      <c r="F65" s="303">
        <f>IF($D$2=1,'Nº Cars Projection'!B18, IF($D$2=2,'Nº Cars Projection'!D18, IF($D$2=3,'Nº Cars Projection'!F18)))</f>
        <v>36489719.625</v>
      </c>
      <c r="G65" s="303">
        <f t="shared" si="19"/>
        <v>3055040.1384340953</v>
      </c>
      <c r="H65" s="303">
        <f t="shared" si="15"/>
        <v>2660608.6130543076</v>
      </c>
      <c r="I65" s="303">
        <f t="shared" si="16"/>
        <v>394431.52537978755</v>
      </c>
      <c r="J65" s="303">
        <f t="shared" si="6"/>
        <v>402805.6875</v>
      </c>
      <c r="K65" s="303">
        <f t="shared" si="17"/>
        <v>1424228.8356624753</v>
      </c>
      <c r="L65" s="303">
        <f t="shared" si="2"/>
        <v>35065490.789337523</v>
      </c>
      <c r="M65" s="303">
        <f t="shared" ca="1" si="10"/>
        <v>2717797.8806287115</v>
      </c>
      <c r="N65" s="303">
        <f t="shared" ca="1" si="20"/>
        <v>2708844.5180501305</v>
      </c>
      <c r="O65" s="303">
        <f t="shared" ca="1" si="21"/>
        <v>8953.3625785810218</v>
      </c>
      <c r="P65" s="298"/>
      <c r="Q65" s="493"/>
      <c r="R65" s="318">
        <f>SUM(K65*'Demand '!$B$4/1000)</f>
        <v>3.0300613180326423</v>
      </c>
      <c r="S65" s="311">
        <v>0.16808170642374817</v>
      </c>
      <c r="T65" s="312">
        <f t="shared" si="7"/>
        <v>239386.81303605685</v>
      </c>
      <c r="U65" s="312">
        <f t="shared" si="8"/>
        <v>1043270409.7841337</v>
      </c>
      <c r="V65" s="319">
        <f t="shared" si="9"/>
        <v>1577726.1015191502</v>
      </c>
    </row>
    <row r="66" spans="1:22">
      <c r="A66" s="301">
        <v>2031</v>
      </c>
      <c r="B66" s="302">
        <f t="shared" si="18"/>
        <v>5.3751540726730846</v>
      </c>
      <c r="C66" s="302">
        <f t="shared" si="13"/>
        <v>1.4720579395728972</v>
      </c>
      <c r="D66" s="302">
        <f t="shared" si="5"/>
        <v>0.39111917261796325</v>
      </c>
      <c r="E66" s="302">
        <f t="shared" si="14"/>
        <v>17.582414322812333</v>
      </c>
      <c r="F66" s="303">
        <f>IF($D$2=1,'Nº Cars Projection'!B19, IF($D$2=2,'Nº Cars Projection'!D19, IF($D$2=3,'Nº Cars Projection'!F19)))</f>
        <v>36892525.3125</v>
      </c>
      <c r="G66" s="303">
        <f t="shared" si="19"/>
        <v>3088764.3642146336</v>
      </c>
      <c r="H66" s="303">
        <f t="shared" si="15"/>
        <v>2545685.0162430364</v>
      </c>
      <c r="I66" s="303">
        <f t="shared" si="16"/>
        <v>543079.3479715971</v>
      </c>
      <c r="J66" s="303">
        <f t="shared" si="6"/>
        <v>402805.6875</v>
      </c>
      <c r="K66" s="303">
        <f t="shared" si="17"/>
        <v>1983030.0768467924</v>
      </c>
      <c r="L66" s="303">
        <f t="shared" si="2"/>
        <v>34909495.235653207</v>
      </c>
      <c r="M66" s="303">
        <f t="shared" ca="1" si="10"/>
        <v>2751522.1064092503</v>
      </c>
      <c r="N66" s="303">
        <f t="shared" ca="1" si="20"/>
        <v>2742457.6446119794</v>
      </c>
      <c r="O66" s="303">
        <f t="shared" ca="1" si="21"/>
        <v>9064.4617972709839</v>
      </c>
      <c r="P66" s="298"/>
      <c r="Q66" s="493"/>
      <c r="R66" s="318">
        <f>SUM(K66*'Demand '!$B$4/1000)</f>
        <v>4.2189166360712225</v>
      </c>
      <c r="S66" s="311">
        <v>0.16953253794994144</v>
      </c>
      <c r="T66" s="312">
        <f t="shared" si="7"/>
        <v>336188.12175890413</v>
      </c>
      <c r="U66" s="312">
        <f t="shared" si="8"/>
        <v>1452601259.7715049</v>
      </c>
      <c r="V66" s="319">
        <f t="shared" si="9"/>
        <v>2172317.3918863884</v>
      </c>
    </row>
    <row r="67" spans="1:22">
      <c r="A67" s="301">
        <v>2032</v>
      </c>
      <c r="B67" s="302">
        <f t="shared" si="18"/>
        <v>7.359879792862535</v>
      </c>
      <c r="C67" s="302">
        <f t="shared" si="13"/>
        <v>1.9847257201894504</v>
      </c>
      <c r="D67" s="302">
        <f t="shared" si="5"/>
        <v>0.51266778061655316</v>
      </c>
      <c r="E67" s="302">
        <f t="shared" si="14"/>
        <v>23.705772029352197</v>
      </c>
      <c r="F67" s="303">
        <f>IF($D$2=1,'Nº Cars Projection'!B20, IF($D$2=2,'Nº Cars Projection'!D20, IF($D$2=3,'Nº Cars Projection'!F20)))</f>
        <v>37295331</v>
      </c>
      <c r="G67" s="303">
        <f t="shared" si="19"/>
        <v>3122488.5899951719</v>
      </c>
      <c r="H67" s="303">
        <f t="shared" si="15"/>
        <v>2382278.5632083826</v>
      </c>
      <c r="I67" s="303">
        <f t="shared" si="16"/>
        <v>740210.0267867893</v>
      </c>
      <c r="J67" s="303">
        <f t="shared" si="6"/>
        <v>402805.6875</v>
      </c>
      <c r="K67" s="303">
        <f t="shared" si="17"/>
        <v>2744891.5299501969</v>
      </c>
      <c r="L67" s="303">
        <f t="shared" si="2"/>
        <v>34550439.470049806</v>
      </c>
      <c r="M67" s="303">
        <f t="shared" ca="1" si="10"/>
        <v>2785246.3321897886</v>
      </c>
      <c r="N67" s="303">
        <f t="shared" ca="1" si="20"/>
        <v>2775585.7682503914</v>
      </c>
      <c r="O67" s="303">
        <f t="shared" ca="1" si="21"/>
        <v>9660.5639393974343</v>
      </c>
      <c r="P67" s="298"/>
      <c r="Q67" s="493"/>
      <c r="R67" s="318">
        <f>SUM(K67*'Demand '!$B$4/1000)</f>
        <v>5.8397846180588084</v>
      </c>
      <c r="S67" s="311">
        <v>0.17091742258858048</v>
      </c>
      <c r="T67" s="312">
        <f t="shared" si="7"/>
        <v>469149.78558431298</v>
      </c>
      <c r="U67" s="312">
        <f t="shared" si="8"/>
        <v>2010676963.9529984</v>
      </c>
      <c r="V67" s="319">
        <f t="shared" si="9"/>
        <v>2960840.1071471572</v>
      </c>
    </row>
    <row r="68" spans="1:22">
      <c r="A68" s="301">
        <v>2033</v>
      </c>
      <c r="B68" s="302">
        <f t="shared" si="18"/>
        <v>10.000000000000135</v>
      </c>
      <c r="C68" s="302">
        <f t="shared" si="13"/>
        <v>2.6401202071376</v>
      </c>
      <c r="D68" s="302">
        <f t="shared" si="5"/>
        <v>0.65539448694814961</v>
      </c>
      <c r="E68" s="302">
        <f t="shared" ref="E68:E85" si="22">(SUM(I68/G68))*100</f>
        <v>31.533872476100093</v>
      </c>
      <c r="F68" s="303">
        <f>IF($D$2=1,'Nº Cars Projection'!B21, IF($D$2=2,'Nº Cars Projection'!D21, IF($D$2=3,'Nº Cars Projection'!F21)))</f>
        <v>37698136.6875</v>
      </c>
      <c r="G68" s="303">
        <f t="shared" si="19"/>
        <v>3156212.8157757102</v>
      </c>
      <c r="H68" s="303">
        <f t="shared" si="15"/>
        <v>2160936.6913746698</v>
      </c>
      <c r="I68" s="303">
        <f t="shared" si="16"/>
        <v>995276.12440104049</v>
      </c>
      <c r="J68" s="303">
        <f t="shared" si="6"/>
        <v>402805.6875</v>
      </c>
      <c r="K68" s="303">
        <f t="shared" si="17"/>
        <v>3769813.6687500505</v>
      </c>
      <c r="L68" s="303">
        <f t="shared" ref="L68:L85" si="23">SUM(F68-K68)</f>
        <v>33928323.018749952</v>
      </c>
      <c r="M68" s="303">
        <f t="shared" ca="1" si="10"/>
        <v>2818970.5579703269</v>
      </c>
      <c r="N68" s="303">
        <f t="shared" ca="1" si="20"/>
        <v>2781980.7553013181</v>
      </c>
      <c r="O68" s="303">
        <f t="shared" ca="1" si="21"/>
        <v>36989.80266900875</v>
      </c>
      <c r="P68" s="298"/>
      <c r="Q68" s="493"/>
      <c r="R68" s="318">
        <f>SUM(K68*'Demand '!$B$4/1000)</f>
        <v>8.0203168815613726</v>
      </c>
      <c r="S68" s="311">
        <v>0.17223935792546319</v>
      </c>
      <c r="T68" s="312">
        <f t="shared" si="7"/>
        <v>649310.28580414341</v>
      </c>
      <c r="U68" s="312">
        <f t="shared" si="8"/>
        <v>2761448829.3781118</v>
      </c>
      <c r="V68" s="319">
        <f t="shared" si="9"/>
        <v>3981104.497604162</v>
      </c>
    </row>
    <row r="69" spans="1:22">
      <c r="A69" s="301">
        <v>2034</v>
      </c>
      <c r="B69" s="302">
        <f t="shared" ref="B69:B85" si="24">$B$2/(1+POWER(81,($B$3+$B$4/2-$A69 )/$B$4))</f>
        <v>13.449682579183211</v>
      </c>
      <c r="C69" s="302">
        <f t="shared" ref="C69:C85" si="25">SUM((B69-B68)/(A69-A68))</f>
        <v>3.4496825791830759</v>
      </c>
      <c r="D69" s="302">
        <f t="shared" si="5"/>
        <v>0.80956237204547588</v>
      </c>
      <c r="E69" s="302">
        <f t="shared" si="22"/>
        <v>41.203370301431733</v>
      </c>
      <c r="F69" s="303">
        <f>IF($D$2=1,'Nº Cars Projection'!B22, IF($D$2=2,'Nº Cars Projection'!D22, IF($D$2=3,'Nº Cars Projection'!F22)))</f>
        <v>38100942.375</v>
      </c>
      <c r="G69" s="303">
        <f t="shared" si="19"/>
        <v>3189937.0415562484</v>
      </c>
      <c r="H69" s="303">
        <f t="shared" si="15"/>
        <v>1875575.469941291</v>
      </c>
      <c r="I69" s="303">
        <f t="shared" si="16"/>
        <v>1314361.5716149574</v>
      </c>
      <c r="J69" s="303">
        <f t="shared" ref="J69:J85" si="26">SUM(F69-F68)</f>
        <v>402805.6875</v>
      </c>
      <c r="K69" s="303">
        <f t="shared" si="17"/>
        <v>5124455.8091150085</v>
      </c>
      <c r="L69" s="303">
        <f t="shared" si="23"/>
        <v>32976486.565884992</v>
      </c>
      <c r="M69" s="303">
        <f t="shared" ca="1" si="10"/>
        <v>2852694.7837508651</v>
      </c>
      <c r="N69" s="303">
        <f t="shared" ca="1" si="20"/>
        <v>2800480.9786541671</v>
      </c>
      <c r="O69" s="303">
        <f t="shared" ca="1" si="21"/>
        <v>52213.805096697986</v>
      </c>
      <c r="P69" s="298"/>
      <c r="Q69" s="493"/>
      <c r="R69" s="318">
        <f>SUM(K69*'Demand '!$B$4/1000)</f>
        <v>10.90233179834793</v>
      </c>
      <c r="S69" s="311">
        <v>0.17350120529248758</v>
      </c>
      <c r="T69" s="312">
        <f t="shared" si="7"/>
        <v>889099.2593495436</v>
      </c>
      <c r="U69" s="312">
        <f t="shared" si="8"/>
        <v>3753745871.4696894</v>
      </c>
      <c r="V69" s="319">
        <f t="shared" si="9"/>
        <v>5257446.2864598297</v>
      </c>
    </row>
    <row r="70" spans="1:22">
      <c r="A70" s="301">
        <v>2035</v>
      </c>
      <c r="B70" s="302">
        <f t="shared" si="24"/>
        <v>17.853329313055223</v>
      </c>
      <c r="C70" s="302">
        <f t="shared" si="25"/>
        <v>4.4036467338720122</v>
      </c>
      <c r="D70" s="302">
        <f t="shared" si="5"/>
        <v>0.95396415468893636</v>
      </c>
      <c r="E70" s="302">
        <f t="shared" si="22"/>
        <v>52.597618154012068</v>
      </c>
      <c r="F70" s="303">
        <f>IF($D$2=1,'Nº Cars Projection'!B23, IF($D$2=2,'Nº Cars Projection'!D23, IF($D$2=3,'Nº Cars Projection'!F23)))</f>
        <v>38503748.0625</v>
      </c>
      <c r="G70" s="303">
        <f t="shared" si="19"/>
        <v>3223661.2673367867</v>
      </c>
      <c r="H70" s="303">
        <f t="shared" si="15"/>
        <v>1528092.2233641974</v>
      </c>
      <c r="I70" s="303">
        <f t="shared" si="16"/>
        <v>1695569.0439725893</v>
      </c>
      <c r="J70" s="303">
        <f t="shared" si="26"/>
        <v>402805.6875</v>
      </c>
      <c r="K70" s="303">
        <f t="shared" si="17"/>
        <v>6874200.9394672457</v>
      </c>
      <c r="L70" s="303">
        <f t="shared" si="23"/>
        <v>31629547.123032756</v>
      </c>
      <c r="M70" s="303">
        <f t="shared" ca="1" si="10"/>
        <v>2886419.0095314034</v>
      </c>
      <c r="N70" s="303">
        <f t="shared" ca="1" si="20"/>
        <v>2812802.8279279298</v>
      </c>
      <c r="O70" s="303">
        <f t="shared" ca="1" si="21"/>
        <v>73616.181603473728</v>
      </c>
      <c r="P70" s="298"/>
      <c r="Q70" s="493"/>
      <c r="R70" s="318">
        <f>SUM(K70*'Demand '!$B$4/1000)</f>
        <v>14.624932340577624</v>
      </c>
      <c r="S70" s="311">
        <v>0.17470569596101088</v>
      </c>
      <c r="T70" s="312">
        <f t="shared" si="7"/>
        <v>1200962.05930546</v>
      </c>
      <c r="U70" s="312">
        <f t="shared" si="8"/>
        <v>5035462175.3747883</v>
      </c>
      <c r="V70" s="319">
        <f t="shared" si="9"/>
        <v>6782276.1758903572</v>
      </c>
    </row>
    <row r="71" spans="1:22">
      <c r="A71" s="301">
        <v>2036</v>
      </c>
      <c r="B71" s="302">
        <f t="shared" si="24"/>
        <v>23.310477183230947</v>
      </c>
      <c r="C71" s="302">
        <f t="shared" si="25"/>
        <v>5.4571478701757243</v>
      </c>
      <c r="D71" s="302">
        <f t="shared" si="5"/>
        <v>1.0535011363037121</v>
      </c>
      <c r="E71" s="302">
        <f t="shared" si="22"/>
        <v>65.180746147886936</v>
      </c>
      <c r="F71" s="303">
        <f>IF($D$2=1,'Nº Cars Projection'!B24, IF($D$2=2,'Nº Cars Projection'!D24, IF($D$2=3,'Nº Cars Projection'!F24)))</f>
        <v>38906553.75</v>
      </c>
      <c r="G71" s="303">
        <f t="shared" si="19"/>
        <v>3257385.493117325</v>
      </c>
      <c r="H71" s="303">
        <f t="shared" si="15"/>
        <v>1134197.3237904264</v>
      </c>
      <c r="I71" s="303">
        <f t="shared" si="16"/>
        <v>2123188.1693268986</v>
      </c>
      <c r="J71" s="303">
        <f t="shared" si="26"/>
        <v>402805.6875</v>
      </c>
      <c r="K71" s="303">
        <f t="shared" si="17"/>
        <v>9069303.3346752338</v>
      </c>
      <c r="L71" s="303">
        <f t="shared" si="23"/>
        <v>29837250.415324766</v>
      </c>
      <c r="M71" s="303">
        <f t="shared" ca="1" si="10"/>
        <v>2920143.2353119417</v>
      </c>
      <c r="N71" s="303">
        <f t="shared" ca="1" si="20"/>
        <v>2816517.2911177799</v>
      </c>
      <c r="O71" s="303">
        <f t="shared" ca="1" si="21"/>
        <v>103625.94419416178</v>
      </c>
      <c r="P71" s="298"/>
      <c r="Q71" s="493"/>
      <c r="R71" s="318">
        <f>SUM(K71*'Demand '!$B$4/1000)</f>
        <v>19.295034988616415</v>
      </c>
      <c r="S71" s="311">
        <v>0.17585543705369219</v>
      </c>
      <c r="T71" s="312">
        <f t="shared" si="7"/>
        <v>1594886.3016918213</v>
      </c>
      <c r="U71" s="312">
        <f t="shared" si="8"/>
        <v>6643409801.5029631</v>
      </c>
      <c r="V71" s="319">
        <f t="shared" si="9"/>
        <v>8492752.6773075946</v>
      </c>
    </row>
    <row r="72" spans="1:22">
      <c r="A72" s="301">
        <v>2037</v>
      </c>
      <c r="B72" s="302">
        <f t="shared" si="24"/>
        <v>29.829962933703602</v>
      </c>
      <c r="C72" s="302">
        <f t="shared" si="25"/>
        <v>6.5194857504726542</v>
      </c>
      <c r="D72" s="302">
        <f t="shared" si="5"/>
        <v>1.0623378802969299</v>
      </c>
      <c r="E72" s="302">
        <f t="shared" si="22"/>
        <v>77.86942113823288</v>
      </c>
      <c r="F72" s="303">
        <f>IF($D$2=1,'Nº Cars Projection'!B25, IF($D$2=2,'Nº Cars Projection'!D25, IF($D$2=3,'Nº Cars Projection'!F25)))</f>
        <v>39309359.4375</v>
      </c>
      <c r="G72" s="303">
        <f t="shared" si="19"/>
        <v>3291109.7188978638</v>
      </c>
      <c r="H72" s="303">
        <f t="shared" si="15"/>
        <v>728341.63176797377</v>
      </c>
      <c r="I72" s="303">
        <f t="shared" si="16"/>
        <v>2562768.08712989</v>
      </c>
      <c r="J72" s="303">
        <f t="shared" si="26"/>
        <v>402805.6875</v>
      </c>
      <c r="K72" s="303">
        <f t="shared" si="17"/>
        <v>11725967.34968257</v>
      </c>
      <c r="L72" s="303">
        <f t="shared" si="23"/>
        <v>27583392.08781743</v>
      </c>
      <c r="M72" s="303">
        <f t="shared" ca="1" si="10"/>
        <v>2953867.46109248</v>
      </c>
      <c r="N72" s="303">
        <f t="shared" ca="1" si="20"/>
        <v>2808313.2846116968</v>
      </c>
      <c r="O72" s="303">
        <f t="shared" ca="1" si="21"/>
        <v>145554.17648078327</v>
      </c>
      <c r="P72" s="298"/>
      <c r="Q72" s="493"/>
      <c r="R72" s="318">
        <f>SUM(K72*'Demand '!$B$4/1000)</f>
        <v>24.947114672242996</v>
      </c>
      <c r="S72" s="311">
        <v>0.17695291718761527</v>
      </c>
      <c r="T72" s="312">
        <f t="shared" si="7"/>
        <v>2074944.1293730603</v>
      </c>
      <c r="U72" s="312">
        <f t="shared" si="8"/>
        <v>8589458699.1200762</v>
      </c>
      <c r="V72" s="319">
        <f t="shared" si="9"/>
        <v>10251072.34851956</v>
      </c>
    </row>
    <row r="73" spans="1:22">
      <c r="A73" s="301">
        <v>2038</v>
      </c>
      <c r="B73" s="302">
        <f t="shared" si="24"/>
        <v>37.28630116914217</v>
      </c>
      <c r="C73" s="302">
        <f t="shared" si="25"/>
        <v>7.4563382354385688</v>
      </c>
      <c r="D73" s="302">
        <f t="shared" si="5"/>
        <v>0.93685248496591456</v>
      </c>
      <c r="E73" s="302">
        <f t="shared" si="22"/>
        <v>89.05928541409574</v>
      </c>
      <c r="F73" s="303">
        <f>IF($D$2=1,'Nº Cars Projection'!B26, IF($D$2=2,'Nº Cars Projection'!D26, IF($D$2=3,'Nº Cars Projection'!F26)))</f>
        <v>39712165.125</v>
      </c>
      <c r="G73" s="303">
        <f t="shared" si="19"/>
        <v>3324833.944678402</v>
      </c>
      <c r="H73" s="303">
        <f t="shared" si="15"/>
        <v>363760.59234252619</v>
      </c>
      <c r="I73" s="303">
        <f t="shared" si="16"/>
        <v>2961073.3523358759</v>
      </c>
      <c r="J73" s="303">
        <f t="shared" si="26"/>
        <v>402805.6875</v>
      </c>
      <c r="K73" s="303">
        <f t="shared" si="17"/>
        <v>14807197.489294544</v>
      </c>
      <c r="L73" s="303">
        <f t="shared" si="23"/>
        <v>24904967.635705456</v>
      </c>
      <c r="M73" s="303">
        <f t="shared" ca="1" si="10"/>
        <v>2987591.6868730183</v>
      </c>
      <c r="N73" s="303">
        <f t="shared" ca="1" si="20"/>
        <v>2783746.1451415052</v>
      </c>
      <c r="O73" s="303">
        <f t="shared" ca="1" si="21"/>
        <v>203845.54173151319</v>
      </c>
      <c r="P73" s="298"/>
      <c r="Q73" s="493"/>
      <c r="R73" s="318">
        <f>SUM(K73*'Demand '!$B$4/1000)</f>
        <v>31.502463099556504</v>
      </c>
      <c r="S73" s="311">
        <v>0.17800051186090549</v>
      </c>
      <c r="T73" s="312">
        <f t="shared" si="7"/>
        <v>2635688.7323199436</v>
      </c>
      <c r="U73" s="312">
        <f t="shared" si="8"/>
        <v>10846509076.068081</v>
      </c>
      <c r="V73" s="319">
        <f t="shared" si="9"/>
        <v>11844293.409343503</v>
      </c>
    </row>
    <row r="74" spans="1:22">
      <c r="A74" s="301">
        <v>2039</v>
      </c>
      <c r="B74" s="302">
        <f t="shared" si="24"/>
        <v>45.400545445351412</v>
      </c>
      <c r="C74" s="302">
        <f t="shared" si="25"/>
        <v>8.1142442762092415</v>
      </c>
      <c r="D74" s="302">
        <f t="shared" si="5"/>
        <v>0.65790604077067272</v>
      </c>
      <c r="E74" s="302">
        <f t="shared" si="22"/>
        <v>96.917384122946302</v>
      </c>
      <c r="F74" s="303">
        <f>IF($D$2=1,'Nº Cars Projection'!B27, IF($D$2=2,'Nº Cars Projection'!D27, IF($D$2=3,'Nº Cars Projection'!F27)))</f>
        <v>40114970.8125</v>
      </c>
      <c r="G74" s="303">
        <f t="shared" si="19"/>
        <v>3358558.1704589403</v>
      </c>
      <c r="H74" s="303">
        <f t="shared" si="15"/>
        <v>103531.44740265142</v>
      </c>
      <c r="I74" s="303">
        <f t="shared" si="16"/>
        <v>3255026.7230562889</v>
      </c>
      <c r="J74" s="303">
        <f t="shared" si="26"/>
        <v>402805.6875</v>
      </c>
      <c r="K74" s="303">
        <f t="shared" si="17"/>
        <v>18212415.554118518</v>
      </c>
      <c r="L74" s="303">
        <f t="shared" si="23"/>
        <v>21902555.258381482</v>
      </c>
      <c r="M74" s="303">
        <f t="shared" ca="1" si="10"/>
        <v>3021315.912653557</v>
      </c>
      <c r="N74" s="303">
        <f t="shared" ca="1" si="20"/>
        <v>2736981.2090058997</v>
      </c>
      <c r="O74" s="303">
        <f t="shared" ca="1" si="21"/>
        <v>284334.70364765718</v>
      </c>
      <c r="P74" s="298"/>
      <c r="Q74" s="493"/>
      <c r="R74" s="318">
        <f>SUM(K74*'Demand '!$B$4/1000)</f>
        <v>38.747099129474904</v>
      </c>
      <c r="S74" s="311">
        <v>0.17900048859450068</v>
      </c>
      <c r="T74" s="312">
        <f t="shared" si="7"/>
        <v>3260031.2826732984</v>
      </c>
      <c r="U74" s="312">
        <f t="shared" si="8"/>
        <v>13340885792.04068</v>
      </c>
      <c r="V74" s="319">
        <f t="shared" si="9"/>
        <v>13020106.892225156</v>
      </c>
    </row>
    <row r="75" spans="1:22">
      <c r="A75" s="301">
        <v>2040</v>
      </c>
      <c r="B75" s="302">
        <f t="shared" si="24"/>
        <v>53.766708986738188</v>
      </c>
      <c r="C75" s="302">
        <f t="shared" si="25"/>
        <v>8.3661635413867756</v>
      </c>
      <c r="D75" s="302">
        <f t="shared" si="5"/>
        <v>0.25191926517753416</v>
      </c>
      <c r="E75" s="302">
        <f t="shared" si="22"/>
        <v>99.926334230939318</v>
      </c>
      <c r="F75" s="303">
        <f>IF($D$2=1,'Nº Cars Projection'!B28, IF($D$2=2,'Nº Cars Projection'!D28, IF($D$2=3,'Nº Cars Projection'!F28)))</f>
        <v>40517776.5</v>
      </c>
      <c r="G75" s="303">
        <f t="shared" si="19"/>
        <v>3392282.3962394786</v>
      </c>
      <c r="H75" s="303">
        <f t="shared" si="15"/>
        <v>2498.950915900059</v>
      </c>
      <c r="I75" s="303">
        <f t="shared" si="16"/>
        <v>3389783.4453235785</v>
      </c>
      <c r="J75" s="303">
        <f t="shared" si="26"/>
        <v>402805.6875</v>
      </c>
      <c r="K75" s="303">
        <f t="shared" si="17"/>
        <v>21785074.978651997</v>
      </c>
      <c r="L75" s="303">
        <f t="shared" si="23"/>
        <v>18732701.521348003</v>
      </c>
      <c r="M75" s="303">
        <f t="shared" ca="1" si="10"/>
        <v>3055040.1384340953</v>
      </c>
      <c r="N75" s="303">
        <f t="shared" ca="1" si="20"/>
        <v>2660608.6130543076</v>
      </c>
      <c r="O75" s="303">
        <f t="shared" ca="1" si="21"/>
        <v>394431.52537978755</v>
      </c>
      <c r="P75" s="298"/>
      <c r="Q75" s="493"/>
      <c r="R75" s="318">
        <f>SUM(K75*'Demand '!$B$4/1000)</f>
        <v>46.347968353378988</v>
      </c>
      <c r="S75" s="311">
        <v>0.2</v>
      </c>
      <c r="T75" s="312">
        <f t="shared" si="7"/>
        <v>4357014.9957303992</v>
      </c>
      <c r="U75" s="312">
        <f t="shared" si="8"/>
        <v>15957915983.062244</v>
      </c>
      <c r="V75" s="319">
        <f t="shared" si="9"/>
        <v>13559133.781294314</v>
      </c>
    </row>
    <row r="76" spans="1:22">
      <c r="A76" s="301">
        <v>2041</v>
      </c>
      <c r="B76" s="302">
        <f t="shared" si="24"/>
        <v>61.926000115323966</v>
      </c>
      <c r="C76" s="302">
        <f t="shared" si="25"/>
        <v>8.1592911285857781</v>
      </c>
      <c r="D76" s="302">
        <f t="shared" si="5"/>
        <v>-0.20687241280099755</v>
      </c>
      <c r="E76" s="304">
        <f t="shared" si="22"/>
        <v>97.455428449280802</v>
      </c>
      <c r="F76" s="303">
        <f>IF($D$2=1,'Nº Cars Projection'!B29, IF($D$2=2,'Nº Cars Projection'!D29, IF($D$2=3,'Nº Cars Projection'!F29)))</f>
        <v>40920582.1875</v>
      </c>
      <c r="G76" s="303">
        <f t="shared" si="19"/>
        <v>3426006.6220200169</v>
      </c>
      <c r="H76" s="303">
        <f t="shared" si="15"/>
        <v>87177.189829677343</v>
      </c>
      <c r="I76" s="303">
        <f t="shared" si="16"/>
        <v>3338829.4321903395</v>
      </c>
      <c r="J76" s="303">
        <f t="shared" si="26"/>
        <v>402805.6875</v>
      </c>
      <c r="K76" s="303">
        <f t="shared" si="17"/>
        <v>25340479.772622488</v>
      </c>
      <c r="L76" s="303">
        <f t="shared" si="23"/>
        <v>15580102.414877512</v>
      </c>
      <c r="M76" s="303">
        <f t="shared" ca="1" si="10"/>
        <v>3088764.3642146336</v>
      </c>
      <c r="N76" s="303">
        <f t="shared" ca="1" si="20"/>
        <v>2545685.0162430364</v>
      </c>
      <c r="O76" s="303">
        <f t="shared" ca="1" si="21"/>
        <v>543079.3479715971</v>
      </c>
      <c r="P76" s="298"/>
      <c r="Q76" s="493"/>
      <c r="R76" s="318">
        <f>SUM(K76*'Demand '!$B$4/1000)</f>
        <v>53.912128175453319</v>
      </c>
      <c r="S76" s="311">
        <v>0.2</v>
      </c>
      <c r="T76" s="312">
        <f t="shared" si="7"/>
        <v>5068095.9545244984</v>
      </c>
      <c r="U76" s="312">
        <f t="shared" si="8"/>
        <v>18562306881.122334</v>
      </c>
      <c r="V76" s="319">
        <f t="shared" si="9"/>
        <v>13355317.728761358</v>
      </c>
    </row>
    <row r="77" spans="1:22">
      <c r="A77" s="301">
        <v>2042</v>
      </c>
      <c r="B77" s="302">
        <f t="shared" si="24"/>
        <v>69.463158125986936</v>
      </c>
      <c r="C77" s="302">
        <f t="shared" si="25"/>
        <v>7.5371580106629708</v>
      </c>
      <c r="D77" s="302">
        <f t="shared" si="5"/>
        <v>-0.62213311792280734</v>
      </c>
      <c r="E77" s="304">
        <f t="shared" si="22"/>
        <v>90.024605280434884</v>
      </c>
      <c r="F77" s="303">
        <f>IF($D$2=1,'Nº Cars Projection'!B30, IF($D$2=2,'Nº Cars Projection'!D30, IF($D$2=3,'Nº Cars Projection'!F30)))</f>
        <v>41323387.875</v>
      </c>
      <c r="G77" s="303">
        <f t="shared" si="19"/>
        <v>3459730.8478005552</v>
      </c>
      <c r="H77" s="303">
        <f t="shared" si="15"/>
        <v>345121.80830266187</v>
      </c>
      <c r="I77" s="303">
        <f t="shared" si="16"/>
        <v>3114609.0394978933</v>
      </c>
      <c r="J77" s="303">
        <f t="shared" si="26"/>
        <v>402805.6875</v>
      </c>
      <c r="K77" s="303">
        <f t="shared" si="17"/>
        <v>28704530.26262616</v>
      </c>
      <c r="L77" s="303">
        <f t="shared" si="23"/>
        <v>12618857.61237384</v>
      </c>
      <c r="M77" s="303">
        <f t="shared" ca="1" si="10"/>
        <v>3122488.5899951719</v>
      </c>
      <c r="N77" s="303">
        <f t="shared" ca="1" si="20"/>
        <v>2382278.5632083826</v>
      </c>
      <c r="O77" s="303">
        <f t="shared" ca="1" si="21"/>
        <v>740210.0267867893</v>
      </c>
      <c r="P77" s="298"/>
      <c r="Q77" s="493"/>
      <c r="R77" s="318">
        <f>SUM(K77*'Demand '!$B$4/1000)</f>
        <v>61.069179771679082</v>
      </c>
      <c r="S77" s="311">
        <v>0.2</v>
      </c>
      <c r="T77" s="312">
        <f t="shared" si="7"/>
        <v>5740906.0525252325</v>
      </c>
      <c r="U77" s="312">
        <f t="shared" si="8"/>
        <v>21026527689.857864</v>
      </c>
      <c r="V77" s="319">
        <f t="shared" si="9"/>
        <v>12458436.157991573</v>
      </c>
    </row>
    <row r="78" spans="1:22">
      <c r="A78" s="301">
        <v>2043</v>
      </c>
      <c r="B78" s="302">
        <f t="shared" si="24"/>
        <v>76.084481470100727</v>
      </c>
      <c r="C78" s="302">
        <f t="shared" si="25"/>
        <v>6.6213233441137902</v>
      </c>
      <c r="D78" s="302">
        <f t="shared" si="5"/>
        <v>-0.91583466654918055</v>
      </c>
      <c r="E78" s="304">
        <f t="shared" si="22"/>
        <v>79.085780030707042</v>
      </c>
      <c r="F78" s="303">
        <f>IF($D$2=1,'Nº Cars Projection'!B31, IF($D$2=2,'Nº Cars Projection'!D31, IF($D$2=3,'Nº Cars Projection'!F31)))</f>
        <v>41726193.5625</v>
      </c>
      <c r="G78" s="303">
        <f t="shared" si="19"/>
        <v>3493455.0735810935</v>
      </c>
      <c r="H78" s="303">
        <f t="shared" si="15"/>
        <v>730628.87861717492</v>
      </c>
      <c r="I78" s="303">
        <f t="shared" si="16"/>
        <v>2762826.1949639185</v>
      </c>
      <c r="J78" s="303">
        <f t="shared" si="26"/>
        <v>402805.6875</v>
      </c>
      <c r="K78" s="303">
        <f t="shared" si="17"/>
        <v>31747158.009238675</v>
      </c>
      <c r="L78" s="303">
        <f t="shared" si="23"/>
        <v>9979035.5532613248</v>
      </c>
      <c r="M78" s="303">
        <f t="shared" ca="1" si="10"/>
        <v>3156212.8157757102</v>
      </c>
      <c r="N78" s="303">
        <f t="shared" ca="1" si="20"/>
        <v>2160936.6913746698</v>
      </c>
      <c r="O78" s="303">
        <f t="shared" ca="1" si="21"/>
        <v>995276.12440104049</v>
      </c>
      <c r="P78" s="298"/>
      <c r="Q78" s="493"/>
      <c r="R78" s="318">
        <f>SUM(K78*'Demand '!$B$4/1000)</f>
        <v>67.542401215686041</v>
      </c>
      <c r="S78" s="311">
        <v>0.2</v>
      </c>
      <c r="T78" s="312">
        <f t="shared" si="7"/>
        <v>6349431.6018477352</v>
      </c>
      <c r="U78" s="312">
        <f t="shared" si="8"/>
        <v>23255301196.295475</v>
      </c>
      <c r="V78" s="319">
        <f t="shared" si="9"/>
        <v>11051304.779855674</v>
      </c>
    </row>
    <row r="79" spans="1:22">
      <c r="A79" s="301">
        <v>2044</v>
      </c>
      <c r="B79" s="302">
        <f t="shared" si="24"/>
        <v>81.649380471181118</v>
      </c>
      <c r="C79" s="302">
        <f t="shared" si="25"/>
        <v>5.5648990010803914</v>
      </c>
      <c r="D79" s="302">
        <f t="shared" si="5"/>
        <v>-1.0564243430333988</v>
      </c>
      <c r="E79" s="304">
        <f t="shared" si="22"/>
        <v>66.467736949259276</v>
      </c>
      <c r="F79" s="303">
        <f>IF($D$2=1,'Nº Cars Projection'!B32, IF($D$2=2,'Nº Cars Projection'!D32, IF($D$2=3,'Nº Cars Projection'!F32)))</f>
        <v>42128999.25</v>
      </c>
      <c r="G79" s="303">
        <f t="shared" si="19"/>
        <v>3527179.2993616317</v>
      </c>
      <c r="H79" s="303">
        <f t="shared" si="15"/>
        <v>1182743.040933216</v>
      </c>
      <c r="I79" s="303">
        <f>SUM(IF((C79-C78&lt;-2),(G79*$B$2)/100,(C79*F79)/100))</f>
        <v>2344436.2584284157</v>
      </c>
      <c r="J79" s="303">
        <f t="shared" si="26"/>
        <v>402805.6875</v>
      </c>
      <c r="K79" s="303">
        <f t="shared" si="17"/>
        <v>34398066.88633354</v>
      </c>
      <c r="L79" s="303">
        <f t="shared" si="23"/>
        <v>7730932.3636664599</v>
      </c>
      <c r="M79" s="303">
        <f t="shared" ca="1" si="10"/>
        <v>3189937.0415562484</v>
      </c>
      <c r="N79" s="303">
        <f t="shared" ca="1" si="20"/>
        <v>1875575.469941291</v>
      </c>
      <c r="O79" s="303">
        <f t="shared" ca="1" si="21"/>
        <v>1314361.5716149574</v>
      </c>
      <c r="P79" s="298"/>
      <c r="Q79" s="493"/>
      <c r="R79" s="318">
        <f>SUM(K79*'Demand '!$B$4/1000)</f>
        <v>73.182236784931661</v>
      </c>
      <c r="S79" s="311">
        <v>0.2</v>
      </c>
      <c r="T79" s="312">
        <f t="shared" si="7"/>
        <v>6879613.3772667088</v>
      </c>
      <c r="U79" s="312">
        <f t="shared" si="8"/>
        <v>25197134363.309498</v>
      </c>
      <c r="V79" s="319">
        <f t="shared" si="9"/>
        <v>9377745.033713663</v>
      </c>
    </row>
    <row r="80" spans="1:22">
      <c r="A80" s="301">
        <v>2045</v>
      </c>
      <c r="B80" s="302">
        <f t="shared" si="24"/>
        <v>86.155014159020013</v>
      </c>
      <c r="C80" s="302">
        <f t="shared" si="25"/>
        <v>4.5056336878388947</v>
      </c>
      <c r="D80" s="302">
        <f t="shared" si="5"/>
        <v>-1.0592653132414966</v>
      </c>
      <c r="E80" s="304">
        <f t="shared" si="22"/>
        <v>53.815761021872014</v>
      </c>
      <c r="F80" s="303">
        <f>IF($D$2=1,'Nº Cars Projection'!B33, IF($D$2=2,'Nº Cars Projection'!D33, IF($D$2=3,'Nº Cars Projection'!F33)))</f>
        <v>42531804.9375</v>
      </c>
      <c r="G80" s="303">
        <f t="shared" si="19"/>
        <v>3560903.5251421705</v>
      </c>
      <c r="H80" s="303">
        <f t="shared" si="15"/>
        <v>1644576.193832244</v>
      </c>
      <c r="I80" s="303">
        <f t="shared" ref="I80:I85" si="27">SUM(IF((C80-C79&lt;-2),(G80*$B$2)/100,(C80*F80)/100))</f>
        <v>1916327.3313099265</v>
      </c>
      <c r="J80" s="303">
        <f t="shared" si="26"/>
        <v>402805.6875</v>
      </c>
      <c r="K80" s="303">
        <f t="shared" si="17"/>
        <v>36643282.565989897</v>
      </c>
      <c r="L80" s="303">
        <f t="shared" si="23"/>
        <v>5888522.3715101033</v>
      </c>
      <c r="M80" s="303">
        <f t="shared" ca="1" si="10"/>
        <v>3223661.2673367867</v>
      </c>
      <c r="N80" s="303">
        <f t="shared" ca="1" si="20"/>
        <v>1528092.2233641974</v>
      </c>
      <c r="O80" s="303">
        <f t="shared" ca="1" si="21"/>
        <v>1695569.0439725893</v>
      </c>
      <c r="P80" s="298"/>
      <c r="Q80" s="493"/>
      <c r="R80" s="318">
        <f>SUM(K80*'Demand '!$B$4/1000)</f>
        <v>77.958955954785182</v>
      </c>
      <c r="S80" s="311">
        <v>0.2</v>
      </c>
      <c r="T80" s="312">
        <f t="shared" si="7"/>
        <v>7328656.5131979799</v>
      </c>
      <c r="U80" s="312">
        <f t="shared" si="8"/>
        <v>26841790772.108654</v>
      </c>
      <c r="V80" s="319">
        <f t="shared" si="9"/>
        <v>7665309.3252397059</v>
      </c>
    </row>
    <row r="81" spans="1:23">
      <c r="A81" s="301">
        <v>2046</v>
      </c>
      <c r="B81" s="302">
        <f t="shared" si="24"/>
        <v>89.694014204596485</v>
      </c>
      <c r="C81" s="302">
        <f t="shared" si="25"/>
        <v>3.5390000455764721</v>
      </c>
      <c r="D81" s="302">
        <f t="shared" si="5"/>
        <v>-0.96663364226242265</v>
      </c>
      <c r="E81" s="304">
        <f t="shared" si="22"/>
        <v>42.270187481771934</v>
      </c>
      <c r="F81" s="303">
        <f>IF($D$2=1,'Nº Cars Projection'!B34, IF($D$2=2,'Nº Cars Projection'!D34, IF($D$2=3,'Nº Cars Projection'!F34)))</f>
        <v>42934610.625</v>
      </c>
      <c r="G81" s="303">
        <f t="shared" si="19"/>
        <v>3594627.7509227088</v>
      </c>
      <c r="H81" s="303">
        <f t="shared" si="15"/>
        <v>2075171.861335878</v>
      </c>
      <c r="I81" s="303">
        <f t="shared" si="27"/>
        <v>1519455.8895868307</v>
      </c>
      <c r="J81" s="303">
        <f t="shared" si="26"/>
        <v>402805.6875</v>
      </c>
      <c r="K81" s="303">
        <f t="shared" si="17"/>
        <v>38509775.75267569</v>
      </c>
      <c r="L81" s="303">
        <f t="shared" si="23"/>
        <v>4424834.8723243102</v>
      </c>
      <c r="M81" s="303">
        <f t="shared" ca="1" si="10"/>
        <v>3257385.493117325</v>
      </c>
      <c r="N81" s="303">
        <f t="shared" ca="1" si="20"/>
        <v>1134197.3237904264</v>
      </c>
      <c r="O81" s="303">
        <f t="shared" ca="1" si="21"/>
        <v>2123188.1693268986</v>
      </c>
      <c r="P81" s="298"/>
      <c r="Q81" s="493"/>
      <c r="R81" s="318">
        <f>SUM(K81*'Demand '!$B$4/1000)</f>
        <v>81.929939173024408</v>
      </c>
      <c r="S81" s="311">
        <v>0.2</v>
      </c>
      <c r="T81" s="312">
        <f t="shared" si="7"/>
        <v>7701955.1505351383</v>
      </c>
      <c r="U81" s="312">
        <f t="shared" si="8"/>
        <v>28209026895.246983</v>
      </c>
      <c r="V81" s="319">
        <f t="shared" si="9"/>
        <v>6077823.558347323</v>
      </c>
    </row>
    <row r="82" spans="1:23">
      <c r="A82" s="301">
        <v>2047</v>
      </c>
      <c r="B82" s="302">
        <f t="shared" si="24"/>
        <v>92.408103859973451</v>
      </c>
      <c r="C82" s="302">
        <f t="shared" si="25"/>
        <v>2.7140896553769664</v>
      </c>
      <c r="D82" s="302">
        <f t="shared" si="5"/>
        <v>-0.82491039019950563</v>
      </c>
      <c r="E82" s="304">
        <f t="shared" si="22"/>
        <v>32.417371318918548</v>
      </c>
      <c r="F82" s="303">
        <f>IF($D$2=1,'Nº Cars Projection'!B35, IF($D$2=2,'Nº Cars Projection'!D35, IF($D$2=3,'Nº Cars Projection'!F35)))</f>
        <v>43337416.3125</v>
      </c>
      <c r="G82" s="303">
        <f t="shared" si="19"/>
        <v>3628351.9767032471</v>
      </c>
      <c r="H82" s="303">
        <f t="shared" si="15"/>
        <v>2452135.6436580345</v>
      </c>
      <c r="I82" s="303">
        <f t="shared" si="27"/>
        <v>1176216.3330452126</v>
      </c>
      <c r="J82" s="303">
        <f t="shared" si="26"/>
        <v>402805.6875</v>
      </c>
      <c r="K82" s="303">
        <f t="shared" si="17"/>
        <v>40047284.676284075</v>
      </c>
      <c r="L82" s="303">
        <f t="shared" si="23"/>
        <v>3290131.6362159252</v>
      </c>
      <c r="M82" s="303">
        <f t="shared" ca="1" si="10"/>
        <v>3291109.7188978638</v>
      </c>
      <c r="N82" s="303">
        <f t="shared" ca="1" si="20"/>
        <v>728341.63176797377</v>
      </c>
      <c r="O82" s="303">
        <f t="shared" ca="1" si="21"/>
        <v>2562768.08712989</v>
      </c>
      <c r="P82" s="298"/>
      <c r="Q82" s="493"/>
      <c r="R82" s="318">
        <f>SUM(K82*'Demand '!$B$4/1000)</f>
        <v>85.201005029087327</v>
      </c>
      <c r="S82" s="311">
        <v>0.2</v>
      </c>
      <c r="T82" s="312">
        <f t="shared" si="7"/>
        <v>8009456.9352568155</v>
      </c>
      <c r="U82" s="312">
        <f t="shared" si="8"/>
        <v>29335276781.932903</v>
      </c>
      <c r="V82" s="319">
        <f t="shared" si="9"/>
        <v>4704865.3321808502</v>
      </c>
    </row>
    <row r="83" spans="1:23">
      <c r="A83" s="301">
        <v>2048</v>
      </c>
      <c r="B83" s="302">
        <f t="shared" si="24"/>
        <v>94.45164976278636</v>
      </c>
      <c r="C83" s="302">
        <f t="shared" si="25"/>
        <v>2.0435459028129088</v>
      </c>
      <c r="D83" s="302">
        <f t="shared" si="5"/>
        <v>-0.67054375256405763</v>
      </c>
      <c r="E83" s="304">
        <f t="shared" si="22"/>
        <v>24.408326455796306</v>
      </c>
      <c r="F83" s="303">
        <f>IF($D$2=1,'Nº Cars Projection'!B36, IF($D$2=2,'Nº Cars Projection'!D36, IF($D$2=3,'Nº Cars Projection'!F36)))</f>
        <v>43740222</v>
      </c>
      <c r="G83" s="303">
        <f t="shared" si="19"/>
        <v>3662076.2024837853</v>
      </c>
      <c r="H83" s="303">
        <f t="shared" si="15"/>
        <v>2768224.6879215147</v>
      </c>
      <c r="I83" s="303">
        <f t="shared" si="27"/>
        <v>893851.51456227049</v>
      </c>
      <c r="J83" s="303">
        <f t="shared" si="26"/>
        <v>402805.6875</v>
      </c>
      <c r="K83" s="303">
        <f t="shared" si="17"/>
        <v>41313361.288905233</v>
      </c>
      <c r="L83" s="303">
        <f t="shared" si="23"/>
        <v>2426860.7110947669</v>
      </c>
      <c r="M83" s="303">
        <f t="shared" ca="1" si="10"/>
        <v>3324833.944678402</v>
      </c>
      <c r="N83" s="303">
        <f t="shared" ca="1" si="20"/>
        <v>363760.59234252619</v>
      </c>
      <c r="O83" s="303">
        <f t="shared" ca="1" si="21"/>
        <v>2961073.3523358759</v>
      </c>
      <c r="P83" s="298"/>
      <c r="Q83" s="493"/>
      <c r="R83" s="318">
        <f>SUM(K83*'Demand '!$B$4/1000)</f>
        <v>87.894595885773469</v>
      </c>
      <c r="S83" s="311">
        <v>0.2</v>
      </c>
      <c r="T83" s="312">
        <f t="shared" si="7"/>
        <v>8262672.2577810474</v>
      </c>
      <c r="U83" s="312">
        <f t="shared" si="8"/>
        <v>30262698157.903706</v>
      </c>
      <c r="V83" s="319">
        <f t="shared" si="9"/>
        <v>3575406.058249082</v>
      </c>
    </row>
    <row r="84" spans="1:23">
      <c r="A84" s="301">
        <v>2049</v>
      </c>
      <c r="B84" s="302">
        <f t="shared" si="24"/>
        <v>95.969119253877309</v>
      </c>
      <c r="C84" s="302">
        <f t="shared" si="25"/>
        <v>1.5174694910909494</v>
      </c>
      <c r="D84" s="302">
        <f t="shared" si="5"/>
        <v>-0.5260764117219594</v>
      </c>
      <c r="E84" s="304">
        <f t="shared" si="22"/>
        <v>18.124814653918726</v>
      </c>
      <c r="F84" s="303">
        <f>IF($D$2=1,'Nº Cars Projection'!B37, IF($D$2=2,'Nº Cars Projection'!D37, IF($D$2=3,'Nº Cars Projection'!F37)))</f>
        <v>44143027.6875</v>
      </c>
      <c r="G84" s="303">
        <f t="shared" si="19"/>
        <v>3695800.4282643236</v>
      </c>
      <c r="H84" s="303">
        <f t="shared" si="15"/>
        <v>3025943.4506626804</v>
      </c>
      <c r="I84" s="303">
        <f t="shared" si="27"/>
        <v>669856.97760164319</v>
      </c>
      <c r="J84" s="303">
        <f t="shared" si="26"/>
        <v>402805.6875</v>
      </c>
      <c r="K84" s="303">
        <f t="shared" si="17"/>
        <v>42363674.883688956</v>
      </c>
      <c r="L84" s="303">
        <f t="shared" si="23"/>
        <v>1779352.8038110435</v>
      </c>
      <c r="M84" s="303">
        <f t="shared" ca="1" si="10"/>
        <v>3358558.1704589403</v>
      </c>
      <c r="N84" s="303">
        <f t="shared" ca="1" si="20"/>
        <v>103531.44740265142</v>
      </c>
      <c r="O84" s="303">
        <f t="shared" ca="1" si="21"/>
        <v>3255026.7230562889</v>
      </c>
      <c r="P84" s="298"/>
      <c r="Q84" s="494"/>
      <c r="R84" s="318">
        <f>SUM(K84*'Demand '!$B$4/1000)</f>
        <v>90.129148729858827</v>
      </c>
      <c r="S84" s="311">
        <v>0.2</v>
      </c>
      <c r="T84" s="312">
        <f t="shared" si="7"/>
        <v>8472734.9767377917</v>
      </c>
      <c r="U84" s="312">
        <f t="shared" si="8"/>
        <v>31032069671.1003</v>
      </c>
      <c r="V84" s="319">
        <f t="shared" si="9"/>
        <v>2679427.9104065727</v>
      </c>
      <c r="W84" s="324"/>
    </row>
    <row r="85" spans="1:23" ht="15.75" customHeight="1" thickBot="1">
      <c r="A85" s="301">
        <v>2050</v>
      </c>
      <c r="B85" s="302">
        <f t="shared" si="24"/>
        <v>97.084373468650995</v>
      </c>
      <c r="C85" s="302">
        <f t="shared" si="25"/>
        <v>1.1152542147736852</v>
      </c>
      <c r="D85" s="302">
        <f t="shared" si="5"/>
        <v>-0.40221527631726417</v>
      </c>
      <c r="E85" s="304">
        <f t="shared" si="22"/>
        <v>13.32071323571882</v>
      </c>
      <c r="F85" s="303">
        <f>IF($D$2=1,'Nº Cars Projection'!B38, IF($D$2=2,'Nº Cars Projection'!D38, IF($D$2=3,'Nº Cars Projection'!F38)))</f>
        <v>44545833.375</v>
      </c>
      <c r="G85" s="303">
        <f t="shared" si="19"/>
        <v>3729524.6540448619</v>
      </c>
      <c r="H85" s="303">
        <f t="shared" si="15"/>
        <v>3232725.3698241115</v>
      </c>
      <c r="I85" s="303">
        <f t="shared" si="27"/>
        <v>496799.2842207505</v>
      </c>
      <c r="J85" s="303">
        <f t="shared" si="26"/>
        <v>402805.6875</v>
      </c>
      <c r="K85" s="303">
        <f t="shared" si="17"/>
        <v>43247043.238507979</v>
      </c>
      <c r="L85" s="303">
        <f t="shared" si="23"/>
        <v>1298790.1364920214</v>
      </c>
      <c r="M85" s="303">
        <f t="shared" ca="1" si="10"/>
        <v>3392282.3962394786</v>
      </c>
      <c r="N85" s="303">
        <f t="shared" ca="1" si="20"/>
        <v>2498.950915900059</v>
      </c>
      <c r="O85" s="303">
        <f t="shared" ca="1" si="21"/>
        <v>3389783.4453235785</v>
      </c>
      <c r="P85" s="298"/>
      <c r="Q85" s="495"/>
      <c r="R85" s="320">
        <f>SUM(K85*'Demand '!$B$4/1000)</f>
        <v>92.00852387975614</v>
      </c>
      <c r="S85" s="321">
        <v>0.2</v>
      </c>
      <c r="T85" s="322">
        <f t="shared" si="7"/>
        <v>8649408.6477015968</v>
      </c>
      <c r="U85" s="322">
        <f t="shared" si="8"/>
        <v>31679151124.898911</v>
      </c>
      <c r="V85" s="323">
        <f t="shared" si="9"/>
        <v>1987197.136883002</v>
      </c>
      <c r="W85" s="324"/>
    </row>
    <row r="86" spans="1:23">
      <c r="R86" s="324"/>
      <c r="S86" s="324"/>
      <c r="T86" s="324"/>
      <c r="U86" s="324"/>
      <c r="V86" s="324"/>
      <c r="W86" s="324"/>
    </row>
    <row r="87" spans="1:23">
      <c r="R87" s="324"/>
      <c r="S87" s="324"/>
      <c r="T87" s="324"/>
      <c r="U87" s="324"/>
      <c r="V87" s="324"/>
      <c r="W87" s="324"/>
    </row>
  </sheetData>
  <mergeCells count="4">
    <mergeCell ref="Q35:Q85"/>
    <mergeCell ref="A1:B1"/>
    <mergeCell ref="C1:D1"/>
    <mergeCell ref="D2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9"/>
  <sheetViews>
    <sheetView zoomScale="55" zoomScaleNormal="55" workbookViewId="0">
      <pane ySplit="2" topLeftCell="A3" activePane="bottomLeft" state="frozen"/>
      <selection pane="bottomLeft" activeCell="T21" sqref="T21"/>
    </sheetView>
  </sheetViews>
  <sheetFormatPr defaultColWidth="8.8984375" defaultRowHeight="15.6"/>
  <cols>
    <col min="1" max="1" width="4.8984375" style="1" bestFit="1" customWidth="1"/>
    <col min="2" max="2" width="11.8984375" bestFit="1" customWidth="1"/>
    <col min="3" max="4" width="8.69921875" bestFit="1" customWidth="1"/>
    <col min="5" max="5" width="19.5" bestFit="1" customWidth="1"/>
    <col min="6" max="6" width="18" bestFit="1" customWidth="1"/>
    <col min="7" max="7" width="14.09765625" bestFit="1" customWidth="1"/>
    <col min="8" max="8" width="16.09765625" customWidth="1"/>
    <col min="9" max="9" width="10.09765625" bestFit="1" customWidth="1"/>
    <col min="10" max="10" width="8.09765625" bestFit="1" customWidth="1"/>
    <col min="11" max="11" width="17.59765625" bestFit="1" customWidth="1"/>
    <col min="12" max="12" width="16.09765625" bestFit="1" customWidth="1"/>
    <col min="13" max="13" width="17.09765625" bestFit="1" customWidth="1"/>
    <col min="14" max="14" width="16.09765625" customWidth="1"/>
    <col min="15" max="15" width="13.3984375" bestFit="1" customWidth="1"/>
    <col min="16" max="16" width="11.09765625" bestFit="1" customWidth="1"/>
    <col min="17" max="17" width="20.59765625" bestFit="1" customWidth="1"/>
    <col min="18" max="18" width="17.09765625" bestFit="1" customWidth="1"/>
    <col min="19" max="19" width="19.09765625" bestFit="1" customWidth="1"/>
    <col min="20" max="20" width="20.59765625" bestFit="1" customWidth="1"/>
    <col min="21" max="21" width="19.09765625" bestFit="1" customWidth="1"/>
  </cols>
  <sheetData>
    <row r="1" spans="1:21" ht="19.8">
      <c r="A1" s="502" t="s">
        <v>67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U1" s="15"/>
    </row>
    <row r="2" spans="1:21" s="16" customFormat="1" ht="15" thickBot="1">
      <c r="A2" s="20" t="s">
        <v>43</v>
      </c>
      <c r="B2" s="17" t="s">
        <v>68</v>
      </c>
      <c r="C2" s="17" t="s">
        <v>69</v>
      </c>
      <c r="D2" s="17" t="s">
        <v>70</v>
      </c>
      <c r="E2" s="17" t="s">
        <v>71</v>
      </c>
      <c r="F2" s="17" t="s">
        <v>72</v>
      </c>
      <c r="G2" s="17" t="s">
        <v>73</v>
      </c>
      <c r="H2" s="17" t="s">
        <v>74</v>
      </c>
      <c r="I2" s="17" t="s">
        <v>75</v>
      </c>
      <c r="J2" s="17" t="s">
        <v>76</v>
      </c>
      <c r="K2" s="17" t="s">
        <v>77</v>
      </c>
      <c r="L2" s="20" t="s">
        <v>78</v>
      </c>
      <c r="M2" s="17" t="s">
        <v>79</v>
      </c>
      <c r="N2" s="17" t="s">
        <v>80</v>
      </c>
      <c r="O2" s="17" t="s">
        <v>81</v>
      </c>
      <c r="P2" s="17" t="s">
        <v>82</v>
      </c>
      <c r="Q2" s="17" t="s">
        <v>83</v>
      </c>
      <c r="R2" s="20" t="s">
        <v>84</v>
      </c>
      <c r="S2" s="20" t="s">
        <v>85</v>
      </c>
    </row>
    <row r="3" spans="1:21" ht="16.2" thickTop="1">
      <c r="A3" s="11">
        <v>1994</v>
      </c>
      <c r="B3" s="13">
        <f t="shared" ref="B3:B49" si="0">SUM(C3+D3)</f>
        <v>21197.094000000001</v>
      </c>
      <c r="C3" s="13">
        <v>19620.898000000001</v>
      </c>
      <c r="D3" s="13">
        <v>1576.1959999999999</v>
      </c>
      <c r="E3" s="13" t="s">
        <v>86</v>
      </c>
      <c r="F3" s="13" t="s">
        <v>86</v>
      </c>
      <c r="G3" s="13" t="s">
        <v>86</v>
      </c>
      <c r="H3" s="13">
        <v>9.2999999999999999E-2</v>
      </c>
      <c r="I3" s="13" t="s">
        <v>86</v>
      </c>
      <c r="J3" s="13" t="s">
        <v>86</v>
      </c>
      <c r="K3" s="13" t="s">
        <v>86</v>
      </c>
      <c r="L3" s="14" t="s">
        <v>86</v>
      </c>
      <c r="M3" s="13" t="s">
        <v>86</v>
      </c>
      <c r="N3" s="13">
        <v>0</v>
      </c>
      <c r="O3" s="13" t="s">
        <v>86</v>
      </c>
      <c r="P3" s="13" t="s">
        <v>86</v>
      </c>
      <c r="Q3" s="13" t="s">
        <v>86</v>
      </c>
      <c r="R3" s="12" t="s">
        <v>86</v>
      </c>
      <c r="S3" s="14" t="s">
        <v>86</v>
      </c>
    </row>
    <row r="4" spans="1:21">
      <c r="A4" s="11">
        <v>1995</v>
      </c>
      <c r="B4" s="13">
        <f t="shared" si="0"/>
        <v>21391.034</v>
      </c>
      <c r="C4" s="13">
        <v>19499.762999999999</v>
      </c>
      <c r="D4" s="13">
        <v>1891.271</v>
      </c>
      <c r="E4" s="13">
        <f t="shared" ref="E4:E49" si="1">SUM(B4-B3)</f>
        <v>193.93999999999869</v>
      </c>
      <c r="F4" s="13" t="s">
        <v>86</v>
      </c>
      <c r="G4" s="13" t="s">
        <v>86</v>
      </c>
      <c r="H4" s="13">
        <v>7.3999999999999996E-2</v>
      </c>
      <c r="I4" s="13">
        <f t="shared" ref="I4:I49" si="2">SUM(H4-H3)</f>
        <v>-1.9000000000000003E-2</v>
      </c>
      <c r="J4" s="13">
        <f t="shared" ref="J4:J49" si="3">SUM((I4/B4)*100)</f>
        <v>-8.8822260765889118E-5</v>
      </c>
      <c r="K4" s="13">
        <f t="shared" ref="K4:K49" si="4">SUM(I4/E4)*100</f>
        <v>-9.796844384861364E-3</v>
      </c>
      <c r="L4" s="14" t="s">
        <v>86</v>
      </c>
      <c r="M4" s="13" t="s">
        <v>86</v>
      </c>
      <c r="N4" s="13">
        <v>0</v>
      </c>
      <c r="O4" s="13">
        <f>SUM(N4-N3)</f>
        <v>0</v>
      </c>
      <c r="P4" s="13">
        <f>SUM(O4/B4)*100</f>
        <v>0</v>
      </c>
      <c r="Q4" s="13">
        <f>SUM(O4/E4)*100</f>
        <v>0</v>
      </c>
      <c r="R4" s="12" t="s">
        <v>86</v>
      </c>
      <c r="S4" s="14" t="s">
        <v>86</v>
      </c>
    </row>
    <row r="5" spans="1:21">
      <c r="A5" s="11">
        <v>1996</v>
      </c>
      <c r="B5" s="13">
        <f t="shared" si="0"/>
        <v>22233.235999999997</v>
      </c>
      <c r="C5" s="13">
        <v>20051.601999999999</v>
      </c>
      <c r="D5" s="13">
        <v>2181.634</v>
      </c>
      <c r="E5" s="13">
        <f t="shared" si="1"/>
        <v>842.2019999999975</v>
      </c>
      <c r="F5" s="13" t="s">
        <v>86</v>
      </c>
      <c r="G5" s="13" t="s">
        <v>86</v>
      </c>
      <c r="H5" s="13">
        <v>9.4E-2</v>
      </c>
      <c r="I5" s="13">
        <f t="shared" si="2"/>
        <v>2.0000000000000004E-2</v>
      </c>
      <c r="J5" s="13">
        <f t="shared" si="3"/>
        <v>8.9955416296575122E-5</v>
      </c>
      <c r="K5" s="13">
        <f t="shared" si="4"/>
        <v>2.3747272032125385E-3</v>
      </c>
      <c r="L5" s="14" t="s">
        <v>86</v>
      </c>
      <c r="M5" s="13" t="s">
        <v>86</v>
      </c>
      <c r="N5" s="13">
        <v>0</v>
      </c>
      <c r="O5" s="13">
        <f t="shared" ref="O5:O49" si="5">SUM(N5-N4)</f>
        <v>0</v>
      </c>
      <c r="P5" s="13">
        <f t="shared" ref="P5:P49" si="6">SUM(O5/B5)*100</f>
        <v>0</v>
      </c>
      <c r="Q5" s="13">
        <f t="shared" ref="Q5:Q49" si="7">SUM(O5/E5)*100</f>
        <v>0</v>
      </c>
      <c r="R5" s="12" t="s">
        <v>86</v>
      </c>
      <c r="S5" s="14" t="s">
        <v>86</v>
      </c>
    </row>
    <row r="6" spans="1:21">
      <c r="A6" s="11">
        <v>1997</v>
      </c>
      <c r="B6" s="13">
        <f t="shared" si="0"/>
        <v>22825.218999999997</v>
      </c>
      <c r="C6" s="13">
        <v>20384.710999999999</v>
      </c>
      <c r="D6" s="13">
        <v>2440.5079999999998</v>
      </c>
      <c r="E6" s="13">
        <f t="shared" si="1"/>
        <v>591.98300000000017</v>
      </c>
      <c r="F6" s="13" t="s">
        <v>86</v>
      </c>
      <c r="G6" s="13" t="s">
        <v>86</v>
      </c>
      <c r="H6" s="13">
        <v>0.11600000000000001</v>
      </c>
      <c r="I6" s="13">
        <f t="shared" si="2"/>
        <v>2.2000000000000006E-2</v>
      </c>
      <c r="J6" s="13">
        <f t="shared" si="3"/>
        <v>9.6384617383079695E-5</v>
      </c>
      <c r="K6" s="13">
        <f t="shared" si="4"/>
        <v>3.7163229349491456E-3</v>
      </c>
      <c r="L6" s="14" t="s">
        <v>86</v>
      </c>
      <c r="M6" s="13" t="s">
        <v>86</v>
      </c>
      <c r="N6" s="13">
        <v>0</v>
      </c>
      <c r="O6" s="13">
        <f t="shared" si="5"/>
        <v>0</v>
      </c>
      <c r="P6" s="13">
        <f t="shared" si="6"/>
        <v>0</v>
      </c>
      <c r="Q6" s="13">
        <f t="shared" si="7"/>
        <v>0</v>
      </c>
      <c r="R6" s="12" t="s">
        <v>86</v>
      </c>
      <c r="S6" s="14" t="s">
        <v>86</v>
      </c>
    </row>
    <row r="7" spans="1:21">
      <c r="A7" s="11">
        <v>1998</v>
      </c>
      <c r="B7" s="13">
        <f t="shared" si="0"/>
        <v>23283.438999999998</v>
      </c>
      <c r="C7" s="13">
        <v>20590.535</v>
      </c>
      <c r="D7" s="13">
        <v>2692.904</v>
      </c>
      <c r="E7" s="13">
        <f t="shared" si="1"/>
        <v>458.22000000000116</v>
      </c>
      <c r="F7" s="13" t="s">
        <v>86</v>
      </c>
      <c r="G7" s="13" t="s">
        <v>86</v>
      </c>
      <c r="H7" s="13">
        <v>0.151</v>
      </c>
      <c r="I7" s="13">
        <f t="shared" si="2"/>
        <v>3.4999999999999989E-2</v>
      </c>
      <c r="J7" s="13">
        <f t="shared" si="3"/>
        <v>1.5032143662282877E-4</v>
      </c>
      <c r="K7" s="13">
        <f t="shared" si="4"/>
        <v>7.6382523678582125E-3</v>
      </c>
      <c r="L7" s="14" t="s">
        <v>86</v>
      </c>
      <c r="M7" s="13" t="s">
        <v>86</v>
      </c>
      <c r="N7" s="13">
        <v>0</v>
      </c>
      <c r="O7" s="13">
        <f t="shared" si="5"/>
        <v>0</v>
      </c>
      <c r="P7" s="13">
        <f t="shared" si="6"/>
        <v>0</v>
      </c>
      <c r="Q7" s="13">
        <f t="shared" si="7"/>
        <v>0</v>
      </c>
      <c r="R7" s="12" t="s">
        <v>86</v>
      </c>
      <c r="S7" s="14" t="s">
        <v>86</v>
      </c>
    </row>
    <row r="8" spans="1:21">
      <c r="A8" s="11">
        <v>1999</v>
      </c>
      <c r="B8" s="13">
        <f t="shared" si="0"/>
        <v>23960.888999999999</v>
      </c>
      <c r="C8" s="13">
        <v>21031.016</v>
      </c>
      <c r="D8" s="13">
        <v>2929.873</v>
      </c>
      <c r="E8" s="13">
        <f t="shared" si="1"/>
        <v>677.45000000000073</v>
      </c>
      <c r="F8" s="13" t="s">
        <v>86</v>
      </c>
      <c r="G8" s="13" t="s">
        <v>86</v>
      </c>
      <c r="H8" s="13">
        <v>0.19500000000000001</v>
      </c>
      <c r="I8" s="13">
        <f t="shared" si="2"/>
        <v>4.4000000000000011E-2</v>
      </c>
      <c r="J8" s="13">
        <f t="shared" si="3"/>
        <v>1.8363258558561833E-4</v>
      </c>
      <c r="K8" s="13">
        <f t="shared" si="4"/>
        <v>6.4949442763303509E-3</v>
      </c>
      <c r="L8" s="14" t="s">
        <v>86</v>
      </c>
      <c r="M8" s="13" t="s">
        <v>86</v>
      </c>
      <c r="N8" s="13">
        <v>0</v>
      </c>
      <c r="O8" s="13">
        <f t="shared" si="5"/>
        <v>0</v>
      </c>
      <c r="P8" s="13">
        <f t="shared" si="6"/>
        <v>0</v>
      </c>
      <c r="Q8" s="13">
        <f t="shared" si="7"/>
        <v>0</v>
      </c>
      <c r="R8" s="12" t="s">
        <v>86</v>
      </c>
      <c r="S8" s="14" t="s">
        <v>86</v>
      </c>
    </row>
    <row r="9" spans="1:21">
      <c r="A9" s="11">
        <v>2000</v>
      </c>
      <c r="B9" s="13">
        <f t="shared" si="0"/>
        <v>24385.323</v>
      </c>
      <c r="C9" s="13">
        <v>21232.615000000002</v>
      </c>
      <c r="D9" s="13">
        <v>3152.7080000000001</v>
      </c>
      <c r="E9" s="13">
        <f t="shared" si="1"/>
        <v>424.43400000000111</v>
      </c>
      <c r="F9" s="13" t="s">
        <v>86</v>
      </c>
      <c r="G9" s="13" t="s">
        <v>86</v>
      </c>
      <c r="H9" s="13">
        <v>0.221</v>
      </c>
      <c r="I9" s="13">
        <f t="shared" si="2"/>
        <v>2.5999999999999995E-2</v>
      </c>
      <c r="J9" s="13">
        <f t="shared" si="3"/>
        <v>1.0662151163632319E-4</v>
      </c>
      <c r="K9" s="13">
        <f t="shared" si="4"/>
        <v>6.1258051899706267E-3</v>
      </c>
      <c r="L9" s="14" t="s">
        <v>86</v>
      </c>
      <c r="M9" s="13" t="s">
        <v>86</v>
      </c>
      <c r="N9" s="13">
        <v>0</v>
      </c>
      <c r="O9" s="13">
        <f t="shared" si="5"/>
        <v>0</v>
      </c>
      <c r="P9" s="13">
        <f t="shared" si="6"/>
        <v>0</v>
      </c>
      <c r="Q9" s="13">
        <f t="shared" si="7"/>
        <v>0</v>
      </c>
      <c r="R9" s="12" t="s">
        <v>86</v>
      </c>
      <c r="S9" s="14" t="s">
        <v>86</v>
      </c>
    </row>
    <row r="10" spans="1:21">
      <c r="A10" s="11">
        <v>2001</v>
      </c>
      <c r="B10" s="13">
        <f t="shared" si="0"/>
        <v>25100.599000000002</v>
      </c>
      <c r="C10" s="13">
        <v>21641.055</v>
      </c>
      <c r="D10" s="13">
        <v>3459.5439999999999</v>
      </c>
      <c r="E10" s="13">
        <f t="shared" si="1"/>
        <v>715.27600000000166</v>
      </c>
      <c r="F10" s="13">
        <v>2586</v>
      </c>
      <c r="G10" s="13">
        <f>SUM((F10)/B10)*100</f>
        <v>10.302542979153605</v>
      </c>
      <c r="H10" s="13">
        <v>0.27200000000000002</v>
      </c>
      <c r="I10" s="13">
        <f t="shared" si="2"/>
        <v>5.1000000000000018E-2</v>
      </c>
      <c r="J10" s="13">
        <f t="shared" si="3"/>
        <v>2.0318240214108041E-4</v>
      </c>
      <c r="K10" s="13">
        <f t="shared" si="4"/>
        <v>7.1301148088290245E-3</v>
      </c>
      <c r="L10" s="13">
        <f t="shared" ref="L10:L49" si="8">SUM((H10/B10)*100)</f>
        <v>1.0836394780857619E-3</v>
      </c>
      <c r="M10" s="13">
        <f t="shared" ref="M10:M49" si="9">SUM((H10/N10)*100)</f>
        <v>49.097472924187727</v>
      </c>
      <c r="N10" s="13">
        <v>0.55400000000000005</v>
      </c>
      <c r="O10" s="13">
        <f t="shared" si="5"/>
        <v>0.55400000000000005</v>
      </c>
      <c r="P10" s="13">
        <f t="shared" si="6"/>
        <v>2.2071186428658535E-3</v>
      </c>
      <c r="Q10" s="13">
        <f t="shared" si="7"/>
        <v>7.74526196880643E-2</v>
      </c>
      <c r="R10" s="13">
        <f t="shared" ref="R10:R49" si="10">SUM(100-M10)</f>
        <v>50.902527075812273</v>
      </c>
      <c r="S10" s="13">
        <f t="shared" ref="S10:S49" si="11">SUM((N10/B10)*100)</f>
        <v>2.2071186428658535E-3</v>
      </c>
    </row>
    <row r="11" spans="1:21">
      <c r="A11" s="11">
        <v>2002</v>
      </c>
      <c r="B11" s="13">
        <f t="shared" si="0"/>
        <v>25751.846999999998</v>
      </c>
      <c r="C11" s="13">
        <v>21839.474999999999</v>
      </c>
      <c r="D11" s="13">
        <v>3912.3719999999998</v>
      </c>
      <c r="E11" s="13">
        <f t="shared" si="1"/>
        <v>651.24799999999595</v>
      </c>
      <c r="F11" s="13">
        <v>2682.1</v>
      </c>
      <c r="G11" s="13">
        <f t="shared" ref="G11:G49" si="12">SUM((F11)/B11)*100</f>
        <v>10.415175268787518</v>
      </c>
      <c r="H11" s="13">
        <v>0.32600000000000001</v>
      </c>
      <c r="I11" s="13">
        <f t="shared" si="2"/>
        <v>5.3999999999999992E-2</v>
      </c>
      <c r="J11" s="13">
        <f t="shared" si="3"/>
        <v>2.0969369692201107E-4</v>
      </c>
      <c r="K11" s="13">
        <f t="shared" si="4"/>
        <v>8.2917721052502766E-3</v>
      </c>
      <c r="L11" s="13">
        <f t="shared" si="8"/>
        <v>1.2659286147514003E-3</v>
      </c>
      <c r="M11" s="13">
        <f t="shared" si="9"/>
        <v>38.039673278879818</v>
      </c>
      <c r="N11" s="13">
        <v>0.85699999999999998</v>
      </c>
      <c r="O11" s="13">
        <f t="shared" si="5"/>
        <v>0.30299999999999994</v>
      </c>
      <c r="P11" s="13">
        <f t="shared" si="6"/>
        <v>1.1766146327290619E-3</v>
      </c>
      <c r="Q11" s="13">
        <f t="shared" si="7"/>
        <v>4.6526054590570999E-2</v>
      </c>
      <c r="R11" s="13">
        <f t="shared" si="10"/>
        <v>61.960326721120182</v>
      </c>
      <c r="S11" s="13">
        <f t="shared" si="11"/>
        <v>3.3279166344845094E-3</v>
      </c>
    </row>
    <row r="12" spans="1:21">
      <c r="A12" s="11">
        <v>2003</v>
      </c>
      <c r="B12" s="13">
        <f t="shared" si="0"/>
        <v>26205.078000000001</v>
      </c>
      <c r="C12" s="13">
        <v>21805.47</v>
      </c>
      <c r="D12" s="13">
        <v>4399.6080000000002</v>
      </c>
      <c r="E12" s="13">
        <f t="shared" si="1"/>
        <v>453.23100000000341</v>
      </c>
      <c r="F12" s="13">
        <v>2646.1</v>
      </c>
      <c r="G12" s="13">
        <f t="shared" si="12"/>
        <v>10.097661224286377</v>
      </c>
      <c r="H12" s="13">
        <v>0.34899999999999998</v>
      </c>
      <c r="I12" s="13">
        <f t="shared" si="2"/>
        <v>2.2999999999999965E-2</v>
      </c>
      <c r="J12" s="13">
        <f t="shared" si="3"/>
        <v>8.776924838765969E-5</v>
      </c>
      <c r="K12" s="13">
        <f t="shared" si="4"/>
        <v>5.074674945005922E-3</v>
      </c>
      <c r="L12" s="13">
        <f t="shared" si="8"/>
        <v>1.3318029429257945E-3</v>
      </c>
      <c r="M12" s="13">
        <f t="shared" si="9"/>
        <v>28.032128514056222</v>
      </c>
      <c r="N12" s="13">
        <v>1.2450000000000001</v>
      </c>
      <c r="O12" s="13">
        <f t="shared" si="5"/>
        <v>0.38800000000000012</v>
      </c>
      <c r="P12" s="13">
        <f t="shared" si="6"/>
        <v>1.4806290597570446E-3</v>
      </c>
      <c r="Q12" s="13">
        <f t="shared" si="7"/>
        <v>8.560755994183919E-2</v>
      </c>
      <c r="R12" s="13">
        <f t="shared" si="10"/>
        <v>71.967871485943775</v>
      </c>
      <c r="S12" s="13">
        <f t="shared" si="11"/>
        <v>4.7509875757668039E-3</v>
      </c>
    </row>
    <row r="13" spans="1:21">
      <c r="A13" s="11">
        <v>2004</v>
      </c>
      <c r="B13" s="13">
        <f t="shared" si="0"/>
        <v>26987.188999999998</v>
      </c>
      <c r="C13" s="13">
        <v>21976.606</v>
      </c>
      <c r="D13" s="13">
        <v>5010.5829999999996</v>
      </c>
      <c r="E13" s="13">
        <f t="shared" si="1"/>
        <v>782.11099999999715</v>
      </c>
      <c r="F13" s="13">
        <v>2599.1</v>
      </c>
      <c r="G13" s="13">
        <f t="shared" si="12"/>
        <v>9.6308659638467713</v>
      </c>
      <c r="H13" s="13">
        <v>0.39900000000000002</v>
      </c>
      <c r="I13" s="13">
        <f t="shared" si="2"/>
        <v>5.0000000000000044E-2</v>
      </c>
      <c r="J13" s="13">
        <f t="shared" si="3"/>
        <v>1.852730938372279E-4</v>
      </c>
      <c r="K13" s="13">
        <f t="shared" si="4"/>
        <v>6.3929544527567359E-3</v>
      </c>
      <c r="L13" s="13">
        <f t="shared" si="8"/>
        <v>1.4784792888210773E-3</v>
      </c>
      <c r="M13" s="13">
        <f t="shared" si="9"/>
        <v>14.275491949910556</v>
      </c>
      <c r="N13" s="13">
        <v>2.7949999999999999</v>
      </c>
      <c r="O13" s="13">
        <f t="shared" si="5"/>
        <v>1.5499999999999998</v>
      </c>
      <c r="P13" s="13">
        <f t="shared" si="6"/>
        <v>5.7434659089540593E-3</v>
      </c>
      <c r="Q13" s="13">
        <f t="shared" si="7"/>
        <v>0.19818158803545857</v>
      </c>
      <c r="R13" s="13">
        <f t="shared" si="10"/>
        <v>85.72450805008944</v>
      </c>
      <c r="S13" s="13">
        <f t="shared" si="11"/>
        <v>1.035676594550103E-2</v>
      </c>
    </row>
    <row r="14" spans="1:21">
      <c r="A14" s="11">
        <v>2005</v>
      </c>
      <c r="B14" s="13">
        <f t="shared" si="0"/>
        <v>27472.1</v>
      </c>
      <c r="C14" s="13">
        <v>21875.999</v>
      </c>
      <c r="D14" s="13">
        <v>5596.1009999999997</v>
      </c>
      <c r="E14" s="13">
        <f t="shared" si="1"/>
        <v>484.91100000000006</v>
      </c>
      <c r="F14" s="13">
        <v>2443.5</v>
      </c>
      <c r="G14" s="13">
        <f t="shared" si="12"/>
        <v>8.8944783980838746</v>
      </c>
      <c r="H14" s="13">
        <v>0.56399999999999995</v>
      </c>
      <c r="I14" s="13">
        <f t="shared" si="2"/>
        <v>0.16499999999999992</v>
      </c>
      <c r="J14" s="13">
        <f t="shared" si="3"/>
        <v>6.006093454814155E-4</v>
      </c>
      <c r="K14" s="13">
        <f t="shared" si="4"/>
        <v>3.4026862661395575E-2</v>
      </c>
      <c r="L14" s="13">
        <f t="shared" si="8"/>
        <v>2.0529919445546572E-3</v>
      </c>
      <c r="M14" s="13">
        <f t="shared" si="9"/>
        <v>6.9931804091754497</v>
      </c>
      <c r="N14" s="13">
        <v>8.0649999999999995</v>
      </c>
      <c r="O14" s="13">
        <f t="shared" si="5"/>
        <v>5.27</v>
      </c>
      <c r="P14" s="13">
        <f t="shared" si="6"/>
        <v>1.9183098489012489E-2</v>
      </c>
      <c r="Q14" s="13">
        <f t="shared" si="7"/>
        <v>1.0867973710639682</v>
      </c>
      <c r="R14" s="13">
        <f t="shared" si="10"/>
        <v>93.006819590824549</v>
      </c>
      <c r="S14" s="13">
        <f t="shared" si="11"/>
        <v>2.9357056795803742E-2</v>
      </c>
    </row>
    <row r="15" spans="1:21">
      <c r="A15" s="11">
        <v>2006</v>
      </c>
      <c r="B15" s="13">
        <f t="shared" si="0"/>
        <v>27549.134999999998</v>
      </c>
      <c r="C15" s="13">
        <v>21465.816999999999</v>
      </c>
      <c r="D15" s="13">
        <v>6083.3180000000002</v>
      </c>
      <c r="E15" s="13">
        <f t="shared" si="1"/>
        <v>77.034999999999854</v>
      </c>
      <c r="F15" s="13">
        <v>2340</v>
      </c>
      <c r="G15" s="13">
        <f t="shared" si="12"/>
        <v>8.4939146002224764</v>
      </c>
      <c r="H15" s="13">
        <v>0.80700000000000005</v>
      </c>
      <c r="I15" s="13">
        <f t="shared" si="2"/>
        <v>0.2430000000000001</v>
      </c>
      <c r="J15" s="13">
        <f t="shared" si="3"/>
        <v>8.8206036233079595E-4</v>
      </c>
      <c r="K15" s="13">
        <f t="shared" si="4"/>
        <v>0.31544103329655426</v>
      </c>
      <c r="L15" s="13">
        <f t="shared" si="8"/>
        <v>2.9293115736664693E-3</v>
      </c>
      <c r="M15" s="13">
        <f t="shared" si="9"/>
        <v>4.8471379662442189</v>
      </c>
      <c r="N15" s="13">
        <v>16.649000000000001</v>
      </c>
      <c r="O15" s="13">
        <f t="shared" si="5"/>
        <v>8.5840000000000014</v>
      </c>
      <c r="P15" s="13">
        <f t="shared" si="6"/>
        <v>3.1158873046286215E-2</v>
      </c>
      <c r="Q15" s="13">
        <f t="shared" si="7"/>
        <v>11.142986953981978</v>
      </c>
      <c r="R15" s="13">
        <f t="shared" si="10"/>
        <v>95.152862033755781</v>
      </c>
      <c r="S15" s="13">
        <f t="shared" si="11"/>
        <v>6.0433839392779486E-2</v>
      </c>
    </row>
    <row r="16" spans="1:21">
      <c r="A16" s="11">
        <v>2007</v>
      </c>
      <c r="B16" s="13">
        <f t="shared" si="0"/>
        <v>27921.828999999998</v>
      </c>
      <c r="C16" s="13">
        <v>21264.446</v>
      </c>
      <c r="D16" s="13">
        <v>6657.3829999999998</v>
      </c>
      <c r="E16" s="13">
        <f t="shared" si="1"/>
        <v>372.69399999999951</v>
      </c>
      <c r="F16" s="13">
        <v>2390.1</v>
      </c>
      <c r="G16" s="13">
        <f t="shared" si="12"/>
        <v>8.5599693343870857</v>
      </c>
      <c r="H16" s="13">
        <v>1.1919999999999999</v>
      </c>
      <c r="I16" s="13">
        <f t="shared" si="2"/>
        <v>0.3849999999999999</v>
      </c>
      <c r="J16" s="13">
        <f t="shared" si="3"/>
        <v>1.3788495015853006E-3</v>
      </c>
      <c r="K16" s="13">
        <f t="shared" si="4"/>
        <v>0.103301904511476</v>
      </c>
      <c r="L16" s="13">
        <f t="shared" si="8"/>
        <v>4.2690613139991654E-3</v>
      </c>
      <c r="M16" s="13">
        <f t="shared" si="9"/>
        <v>3.7514949329640586</v>
      </c>
      <c r="N16" s="13">
        <v>31.774000000000001</v>
      </c>
      <c r="O16" s="13">
        <f t="shared" si="5"/>
        <v>15.125</v>
      </c>
      <c r="P16" s="13">
        <f t="shared" si="6"/>
        <v>5.4169087562279679E-2</v>
      </c>
      <c r="Q16" s="13">
        <f t="shared" si="7"/>
        <v>4.0582891058079866</v>
      </c>
      <c r="R16" s="13">
        <f t="shared" si="10"/>
        <v>96.248505067035936</v>
      </c>
      <c r="S16" s="13">
        <f t="shared" si="11"/>
        <v>0.11379627029447104</v>
      </c>
    </row>
    <row r="17" spans="1:19">
      <c r="A17" s="11">
        <v>2008</v>
      </c>
      <c r="B17" s="13">
        <f t="shared" si="0"/>
        <v>28062.643</v>
      </c>
      <c r="C17" s="13">
        <v>20899.137999999999</v>
      </c>
      <c r="D17" s="13">
        <v>7163.5050000000001</v>
      </c>
      <c r="E17" s="13">
        <f t="shared" si="1"/>
        <v>140.81400000000212</v>
      </c>
      <c r="F17" s="13">
        <v>2112</v>
      </c>
      <c r="G17" s="13">
        <f t="shared" si="12"/>
        <v>7.5260195556063625</v>
      </c>
      <c r="H17" s="13">
        <v>1.325</v>
      </c>
      <c r="I17" s="13">
        <f t="shared" si="2"/>
        <v>0.13300000000000001</v>
      </c>
      <c r="J17" s="13">
        <f t="shared" si="3"/>
        <v>4.7393967845437801E-4</v>
      </c>
      <c r="K17" s="13">
        <f t="shared" si="4"/>
        <v>9.4450835854388057E-2</v>
      </c>
      <c r="L17" s="13">
        <f t="shared" si="8"/>
        <v>4.7215795033988782E-3</v>
      </c>
      <c r="M17" s="13">
        <f t="shared" si="9"/>
        <v>2.8344671201814058</v>
      </c>
      <c r="N17" s="13">
        <v>46.746000000000002</v>
      </c>
      <c r="O17" s="13">
        <f t="shared" si="5"/>
        <v>14.972000000000001</v>
      </c>
      <c r="P17" s="13">
        <f t="shared" si="6"/>
        <v>5.3352066660292838E-2</v>
      </c>
      <c r="Q17" s="13">
        <f t="shared" si="7"/>
        <v>10.63246552189397</v>
      </c>
      <c r="R17" s="13">
        <f t="shared" si="10"/>
        <v>97.165532879818599</v>
      </c>
      <c r="S17" s="13">
        <f t="shared" si="11"/>
        <v>0.16657732487991242</v>
      </c>
    </row>
    <row r="18" spans="1:19">
      <c r="A18" s="11">
        <v>2009</v>
      </c>
      <c r="B18" s="13">
        <f t="shared" si="0"/>
        <v>28132.620999999999</v>
      </c>
      <c r="C18" s="13">
        <v>20491.201000000001</v>
      </c>
      <c r="D18" s="13">
        <v>7641.42</v>
      </c>
      <c r="E18" s="13">
        <f t="shared" si="1"/>
        <v>69.977999999999156</v>
      </c>
      <c r="F18" s="13">
        <v>1968.3</v>
      </c>
      <c r="G18" s="13">
        <f t="shared" si="12"/>
        <v>6.9965041650402933</v>
      </c>
      <c r="H18" s="13">
        <v>1.4530000000000001</v>
      </c>
      <c r="I18" s="13">
        <f t="shared" si="2"/>
        <v>0.12800000000000011</v>
      </c>
      <c r="J18" s="13">
        <f t="shared" si="3"/>
        <v>4.5498782356610188E-4</v>
      </c>
      <c r="K18" s="13">
        <f t="shared" si="4"/>
        <v>0.18291463031238625</v>
      </c>
      <c r="L18" s="13">
        <f t="shared" si="8"/>
        <v>5.1648227159495743E-3</v>
      </c>
      <c r="M18" s="13">
        <f t="shared" si="9"/>
        <v>2.3797824947589099</v>
      </c>
      <c r="N18" s="13">
        <v>61.055999999999997</v>
      </c>
      <c r="O18" s="13">
        <f t="shared" si="5"/>
        <v>14.309999999999995</v>
      </c>
      <c r="P18" s="13">
        <f t="shared" si="6"/>
        <v>5.0866216837741479E-2</v>
      </c>
      <c r="Q18" s="13">
        <f t="shared" si="7"/>
        <v>20.449284060705033</v>
      </c>
      <c r="R18" s="13">
        <f t="shared" si="10"/>
        <v>97.620217505241087</v>
      </c>
      <c r="S18" s="13">
        <f t="shared" si="11"/>
        <v>0.21702919184103039</v>
      </c>
    </row>
    <row r="19" spans="1:19">
      <c r="A19" s="11">
        <v>2010</v>
      </c>
      <c r="B19" s="13">
        <f t="shared" si="0"/>
        <v>28285.805999999997</v>
      </c>
      <c r="C19" s="13">
        <v>20083.121999999999</v>
      </c>
      <c r="D19" s="13">
        <v>8202.6839999999993</v>
      </c>
      <c r="E19" s="13">
        <f t="shared" si="1"/>
        <v>153.18499999999767</v>
      </c>
      <c r="F19" s="13">
        <v>1996.3</v>
      </c>
      <c r="G19" s="13">
        <f t="shared" si="12"/>
        <v>7.0576033788819741</v>
      </c>
      <c r="H19" s="13">
        <v>1.5429999999999999</v>
      </c>
      <c r="I19" s="13">
        <f t="shared" si="2"/>
        <v>8.9999999999999858E-2</v>
      </c>
      <c r="J19" s="13">
        <f t="shared" si="3"/>
        <v>3.1818078650472207E-4</v>
      </c>
      <c r="K19" s="13">
        <f t="shared" si="4"/>
        <v>5.8752488820707785E-2</v>
      </c>
      <c r="L19" s="13">
        <f t="shared" si="8"/>
        <v>5.455032817519855E-3</v>
      </c>
      <c r="M19" s="13">
        <f t="shared" si="9"/>
        <v>1.8795527078714644</v>
      </c>
      <c r="N19" s="13">
        <v>82.093999999999994</v>
      </c>
      <c r="O19" s="13">
        <f t="shared" si="5"/>
        <v>21.037999999999997</v>
      </c>
      <c r="P19" s="13">
        <f t="shared" si="6"/>
        <v>7.4376526516515037E-2</v>
      </c>
      <c r="Q19" s="13">
        <f t="shared" si="7"/>
        <v>13.733720664556134</v>
      </c>
      <c r="R19" s="13">
        <f t="shared" si="10"/>
        <v>98.120447292128532</v>
      </c>
      <c r="S19" s="13">
        <f t="shared" si="11"/>
        <v>0.29023037208131885</v>
      </c>
    </row>
    <row r="20" spans="1:19">
      <c r="A20" s="11">
        <v>2011</v>
      </c>
      <c r="B20" s="13">
        <f t="shared" si="0"/>
        <v>28311.976000000002</v>
      </c>
      <c r="C20" s="13">
        <v>19548.481</v>
      </c>
      <c r="D20" s="13">
        <v>8763.4950000000008</v>
      </c>
      <c r="E20" s="13">
        <f t="shared" si="1"/>
        <v>26.17000000000553</v>
      </c>
      <c r="F20" s="13">
        <v>1907.4</v>
      </c>
      <c r="G20" s="13">
        <f t="shared" si="12"/>
        <v>6.7370783303856996</v>
      </c>
      <c r="H20" s="13">
        <v>2.61</v>
      </c>
      <c r="I20" s="13">
        <f t="shared" si="2"/>
        <v>1.0669999999999999</v>
      </c>
      <c r="J20" s="13">
        <f t="shared" si="3"/>
        <v>3.7687231721304083E-3</v>
      </c>
      <c r="K20" s="13">
        <f t="shared" si="4"/>
        <v>4.0771876194106786</v>
      </c>
      <c r="L20" s="13">
        <f t="shared" si="8"/>
        <v>9.2187136637866592E-3</v>
      </c>
      <c r="M20" s="13">
        <f t="shared" si="9"/>
        <v>2.5512947087516249</v>
      </c>
      <c r="N20" s="13">
        <v>102.301</v>
      </c>
      <c r="O20" s="13">
        <f t="shared" si="5"/>
        <v>20.207000000000008</v>
      </c>
      <c r="P20" s="13">
        <f t="shared" si="6"/>
        <v>7.1372623373232608E-2</v>
      </c>
      <c r="Q20" s="13">
        <f t="shared" si="7"/>
        <v>77.214367596468236</v>
      </c>
      <c r="R20" s="13">
        <f t="shared" si="10"/>
        <v>97.448705291248373</v>
      </c>
      <c r="S20" s="13">
        <f t="shared" si="11"/>
        <v>0.36133472280422951</v>
      </c>
    </row>
    <row r="21" spans="1:19">
      <c r="A21" s="11">
        <v>2012</v>
      </c>
      <c r="B21" s="13">
        <f t="shared" si="0"/>
        <v>28543.940999999999</v>
      </c>
      <c r="C21" s="13">
        <v>19158.822</v>
      </c>
      <c r="D21" s="13">
        <v>9385.1190000000006</v>
      </c>
      <c r="E21" s="13">
        <f t="shared" si="1"/>
        <v>231.96499999999651</v>
      </c>
      <c r="F21" s="13">
        <v>2010.8</v>
      </c>
      <c r="G21" s="13">
        <f t="shared" si="12"/>
        <v>7.044577341299858</v>
      </c>
      <c r="H21" s="13">
        <v>4.1319999999999997</v>
      </c>
      <c r="I21" s="13">
        <f t="shared" si="2"/>
        <v>1.5219999999999998</v>
      </c>
      <c r="J21" s="13">
        <f t="shared" si="3"/>
        <v>5.3321298555094408E-3</v>
      </c>
      <c r="K21" s="13">
        <f t="shared" si="4"/>
        <v>0.65613346841119258</v>
      </c>
      <c r="L21" s="13">
        <f t="shared" si="8"/>
        <v>1.4475926782500006E-2</v>
      </c>
      <c r="M21" s="13">
        <f t="shared" si="9"/>
        <v>3.2984752933663284</v>
      </c>
      <c r="N21" s="13">
        <v>125.27</v>
      </c>
      <c r="O21" s="13">
        <f t="shared" si="5"/>
        <v>22.968999999999994</v>
      </c>
      <c r="P21" s="13">
        <f t="shared" si="6"/>
        <v>8.046891632798707E-2</v>
      </c>
      <c r="Q21" s="13">
        <f t="shared" si="7"/>
        <v>9.9019248593539277</v>
      </c>
      <c r="R21" s="13">
        <f t="shared" si="10"/>
        <v>96.701524706633677</v>
      </c>
      <c r="S21" s="13">
        <f t="shared" si="11"/>
        <v>0.438867218790846</v>
      </c>
    </row>
    <row r="22" spans="1:19">
      <c r="A22" s="11">
        <v>2013</v>
      </c>
      <c r="B22" s="13">
        <f t="shared" si="0"/>
        <v>28934.408000000003</v>
      </c>
      <c r="C22" s="13">
        <v>18870.257000000001</v>
      </c>
      <c r="D22" s="13">
        <v>10064.151</v>
      </c>
      <c r="E22" s="13">
        <f t="shared" si="1"/>
        <v>390.46700000000419</v>
      </c>
      <c r="F22" s="13">
        <v>2225.1</v>
      </c>
      <c r="G22" s="13">
        <f t="shared" si="12"/>
        <v>7.6901521537955766</v>
      </c>
      <c r="H22" s="13">
        <v>6.2549999999999999</v>
      </c>
      <c r="I22" s="13">
        <f t="shared" si="2"/>
        <v>2.1230000000000002</v>
      </c>
      <c r="J22" s="13">
        <f t="shared" si="3"/>
        <v>7.3372850759552436E-3</v>
      </c>
      <c r="K22" s="13">
        <f t="shared" si="4"/>
        <v>0.5437079189790629</v>
      </c>
      <c r="L22" s="13">
        <f t="shared" si="8"/>
        <v>2.1617860645360358E-2</v>
      </c>
      <c r="M22" s="13">
        <f t="shared" si="9"/>
        <v>4.0735120772632252</v>
      </c>
      <c r="N22" s="13">
        <v>153.553</v>
      </c>
      <c r="O22" s="13">
        <f t="shared" si="5"/>
        <v>28.283000000000001</v>
      </c>
      <c r="P22" s="13">
        <f t="shared" si="6"/>
        <v>9.7748673482450366E-2</v>
      </c>
      <c r="Q22" s="13">
        <f t="shared" si="7"/>
        <v>7.2433778014530548</v>
      </c>
      <c r="R22" s="13">
        <f t="shared" si="10"/>
        <v>95.926487922736769</v>
      </c>
      <c r="S22" s="13">
        <f t="shared" si="11"/>
        <v>0.53069342217058657</v>
      </c>
    </row>
    <row r="23" spans="1:19">
      <c r="A23" s="11">
        <v>2014</v>
      </c>
      <c r="B23" s="13">
        <f t="shared" si="0"/>
        <v>29363.503000000001</v>
      </c>
      <c r="C23" s="13">
        <v>18632.596000000001</v>
      </c>
      <c r="D23" s="13">
        <v>10730.906999999999</v>
      </c>
      <c r="E23" s="13">
        <f t="shared" si="1"/>
        <v>429.09499999999753</v>
      </c>
      <c r="F23" s="13">
        <v>2438.3000000000002</v>
      </c>
      <c r="G23" s="13">
        <f t="shared" si="12"/>
        <v>8.3038457639063026</v>
      </c>
      <c r="H23" s="13">
        <v>16.207999999999998</v>
      </c>
      <c r="I23" s="13">
        <f t="shared" si="2"/>
        <v>9.9529999999999994</v>
      </c>
      <c r="J23" s="13">
        <f t="shared" si="3"/>
        <v>3.3895819582561382E-2</v>
      </c>
      <c r="K23" s="13">
        <f t="shared" si="4"/>
        <v>2.3195329705543193</v>
      </c>
      <c r="L23" s="13">
        <f t="shared" si="8"/>
        <v>5.5197773916824566E-2</v>
      </c>
      <c r="M23" s="13">
        <f t="shared" si="9"/>
        <v>8.6149986446047286</v>
      </c>
      <c r="N23" s="13">
        <v>188.137</v>
      </c>
      <c r="O23" s="13">
        <f t="shared" si="5"/>
        <v>34.584000000000003</v>
      </c>
      <c r="P23" s="13">
        <f t="shared" si="6"/>
        <v>0.11777886310090455</v>
      </c>
      <c r="Q23" s="13">
        <f t="shared" si="7"/>
        <v>8.0597536676027932</v>
      </c>
      <c r="R23" s="13">
        <f t="shared" si="10"/>
        <v>91.385001355395275</v>
      </c>
      <c r="S23" s="13">
        <f t="shared" si="11"/>
        <v>0.64071715149244968</v>
      </c>
    </row>
    <row r="24" spans="1:19">
      <c r="A24" s="11">
        <v>2015</v>
      </c>
      <c r="B24" s="13">
        <f t="shared" si="0"/>
        <v>29940.531000000003</v>
      </c>
      <c r="C24" s="13">
        <v>18511.68</v>
      </c>
      <c r="D24" s="13">
        <v>11428.851000000001</v>
      </c>
      <c r="E24" s="13">
        <f t="shared" si="1"/>
        <v>577.02800000000207</v>
      </c>
      <c r="F24" s="13">
        <v>2602.1</v>
      </c>
      <c r="G24" s="13">
        <f t="shared" si="12"/>
        <v>8.6908946270859371</v>
      </c>
      <c r="H24" s="13">
        <v>24.603000000000002</v>
      </c>
      <c r="I24" s="13">
        <f t="shared" si="2"/>
        <v>8.3950000000000031</v>
      </c>
      <c r="J24" s="13">
        <f t="shared" si="3"/>
        <v>2.8038914874288643E-2</v>
      </c>
      <c r="K24" s="13">
        <f t="shared" si="4"/>
        <v>1.4548687412049282</v>
      </c>
      <c r="L24" s="13">
        <f t="shared" si="8"/>
        <v>8.2172891322468536E-2</v>
      </c>
      <c r="M24" s="13">
        <f t="shared" si="9"/>
        <v>10.03855805128833</v>
      </c>
      <c r="N24" s="13">
        <v>245.08500000000001</v>
      </c>
      <c r="O24" s="13">
        <f t="shared" si="5"/>
        <v>56.948000000000008</v>
      </c>
      <c r="P24" s="13">
        <f t="shared" si="6"/>
        <v>0.19020370747599635</v>
      </c>
      <c r="Q24" s="13">
        <f t="shared" si="7"/>
        <v>9.8691917896531542</v>
      </c>
      <c r="R24" s="13">
        <f t="shared" si="10"/>
        <v>89.961441948711666</v>
      </c>
      <c r="S24" s="13">
        <f t="shared" si="11"/>
        <v>0.81857265657713285</v>
      </c>
    </row>
    <row r="25" spans="1:19">
      <c r="A25" s="11">
        <v>2016</v>
      </c>
      <c r="B25" s="13">
        <f t="shared" si="0"/>
        <v>30462.606</v>
      </c>
      <c r="C25" s="13">
        <v>18410.464</v>
      </c>
      <c r="D25" s="13">
        <v>12052.142</v>
      </c>
      <c r="E25" s="13">
        <f t="shared" si="1"/>
        <v>522.07499999999709</v>
      </c>
      <c r="F25" s="13">
        <v>2665.3</v>
      </c>
      <c r="G25" s="13">
        <f t="shared" si="12"/>
        <v>8.7494155949756909</v>
      </c>
      <c r="H25" s="13">
        <v>33.433999999999997</v>
      </c>
      <c r="I25" s="13">
        <f t="shared" si="2"/>
        <v>8.830999999999996</v>
      </c>
      <c r="J25" s="13">
        <f t="shared" si="3"/>
        <v>2.8989640610524246E-2</v>
      </c>
      <c r="K25" s="13">
        <f t="shared" si="4"/>
        <v>1.6915194177081923</v>
      </c>
      <c r="L25" s="13">
        <f t="shared" si="8"/>
        <v>0.10975423442104723</v>
      </c>
      <c r="M25" s="13">
        <f t="shared" si="9"/>
        <v>10.494925809783002</v>
      </c>
      <c r="N25" s="13">
        <v>318.57299999999998</v>
      </c>
      <c r="O25" s="13">
        <f t="shared" si="5"/>
        <v>73.487999999999971</v>
      </c>
      <c r="P25" s="13">
        <f t="shared" si="6"/>
        <v>0.24124003048196196</v>
      </c>
      <c r="Q25" s="13">
        <f t="shared" si="7"/>
        <v>14.076138485849807</v>
      </c>
      <c r="R25" s="13">
        <f t="shared" si="10"/>
        <v>89.505074190217002</v>
      </c>
      <c r="S25" s="13">
        <f t="shared" si="11"/>
        <v>1.045783804576667</v>
      </c>
    </row>
    <row r="26" spans="1:19">
      <c r="A26" s="21">
        <v>2017</v>
      </c>
      <c r="B26" s="19">
        <f t="shared" si="0"/>
        <v>31021.316333333401</v>
      </c>
      <c r="C26" s="19">
        <v>18296.114666666701</v>
      </c>
      <c r="D26" s="19">
        <v>12725.2016666667</v>
      </c>
      <c r="E26" s="19">
        <f t="shared" si="1"/>
        <v>558.71033333340165</v>
      </c>
      <c r="F26" s="18">
        <v>2795.5666666666698</v>
      </c>
      <c r="G26" s="18">
        <f t="shared" si="12"/>
        <v>9.0117602896906845</v>
      </c>
      <c r="H26" s="19">
        <v>41.974333333333298</v>
      </c>
      <c r="I26" s="19">
        <f t="shared" si="2"/>
        <v>8.5403333333333009</v>
      </c>
      <c r="J26" s="19">
        <f t="shared" si="3"/>
        <v>2.7530531720720175E-2</v>
      </c>
      <c r="K26" s="19">
        <f t="shared" si="4"/>
        <v>1.5285798067094261</v>
      </c>
      <c r="L26" s="19">
        <f t="shared" si="8"/>
        <v>0.1353080342636219</v>
      </c>
      <c r="M26" s="19">
        <f t="shared" si="9"/>
        <v>11.015892706081605</v>
      </c>
      <c r="N26" s="19">
        <v>381.034333333333</v>
      </c>
      <c r="O26" s="18">
        <f t="shared" si="5"/>
        <v>62.461333333333016</v>
      </c>
      <c r="P26" s="18">
        <f t="shared" si="6"/>
        <v>0.20134971921296679</v>
      </c>
      <c r="Q26" s="18">
        <f t="shared" si="7"/>
        <v>11.179555774577054</v>
      </c>
      <c r="R26" s="19">
        <f t="shared" si="10"/>
        <v>88.984107293918399</v>
      </c>
      <c r="S26" s="19">
        <f t="shared" si="11"/>
        <v>1.2282984037137694</v>
      </c>
    </row>
    <row r="27" spans="1:19">
      <c r="A27" s="21">
        <v>2018</v>
      </c>
      <c r="B27" s="19">
        <f t="shared" si="0"/>
        <v>31570.867833333399</v>
      </c>
      <c r="C27" s="19">
        <v>18185.048666666698</v>
      </c>
      <c r="D27" s="19">
        <v>13385.819166666701</v>
      </c>
      <c r="E27" s="19">
        <f t="shared" si="1"/>
        <v>549.55149999999776</v>
      </c>
      <c r="F27" s="18">
        <v>2909.0666666666698</v>
      </c>
      <c r="G27" s="18">
        <f t="shared" si="12"/>
        <v>9.214401967104612</v>
      </c>
      <c r="H27" s="19">
        <v>50.587333333333298</v>
      </c>
      <c r="I27" s="19">
        <f t="shared" si="2"/>
        <v>8.6129999999999995</v>
      </c>
      <c r="J27" s="19">
        <f t="shared" si="3"/>
        <v>2.7281480019710303E-2</v>
      </c>
      <c r="K27" s="19">
        <f t="shared" si="4"/>
        <v>1.5672780440049814</v>
      </c>
      <c r="L27" s="19">
        <f t="shared" si="8"/>
        <v>0.16023421845858093</v>
      </c>
      <c r="M27" s="19">
        <f t="shared" si="9"/>
        <v>11.33603783210844</v>
      </c>
      <c r="N27" s="19">
        <v>446.25233333333301</v>
      </c>
      <c r="O27" s="18">
        <f t="shared" si="5"/>
        <v>65.218000000000018</v>
      </c>
      <c r="P27" s="18">
        <f t="shared" si="6"/>
        <v>0.20657651967090065</v>
      </c>
      <c r="Q27" s="18">
        <f t="shared" si="7"/>
        <v>11.867495585036213</v>
      </c>
      <c r="R27" s="19">
        <f t="shared" si="10"/>
        <v>88.663962167891555</v>
      </c>
      <c r="S27" s="19">
        <f t="shared" si="11"/>
        <v>1.4134940340859663</v>
      </c>
    </row>
    <row r="28" spans="1:19">
      <c r="A28" s="21">
        <v>2019</v>
      </c>
      <c r="B28" s="19">
        <f t="shared" si="0"/>
        <v>32120.419333333397</v>
      </c>
      <c r="C28" s="19">
        <v>18073.9826666667</v>
      </c>
      <c r="D28" s="19">
        <v>14046.436666666699</v>
      </c>
      <c r="E28" s="19">
        <f t="shared" si="1"/>
        <v>549.55149999999776</v>
      </c>
      <c r="F28" s="18">
        <v>3022.5666666666698</v>
      </c>
      <c r="G28" s="18">
        <f t="shared" si="12"/>
        <v>9.4101096106487017</v>
      </c>
      <c r="H28" s="19">
        <v>59.200333333333298</v>
      </c>
      <c r="I28" s="19">
        <f t="shared" si="2"/>
        <v>8.6129999999999995</v>
      </c>
      <c r="J28" s="19">
        <f t="shared" si="3"/>
        <v>2.6814718421380456E-2</v>
      </c>
      <c r="K28" s="19">
        <f t="shared" si="4"/>
        <v>1.5672780440049814</v>
      </c>
      <c r="L28" s="19">
        <f t="shared" si="8"/>
        <v>0.18430747344539603</v>
      </c>
      <c r="M28" s="19">
        <f t="shared" si="9"/>
        <v>11.574539025072163</v>
      </c>
      <c r="N28" s="19">
        <v>511.47033333333297</v>
      </c>
      <c r="O28" s="18">
        <f t="shared" si="5"/>
        <v>65.217999999999961</v>
      </c>
      <c r="P28" s="18">
        <f t="shared" si="6"/>
        <v>0.2030421811222094</v>
      </c>
      <c r="Q28" s="18">
        <f t="shared" si="7"/>
        <v>11.867495585036202</v>
      </c>
      <c r="R28" s="19">
        <f t="shared" si="10"/>
        <v>88.42546097492783</v>
      </c>
      <c r="S28" s="19">
        <f t="shared" si="11"/>
        <v>1.5923526029516923</v>
      </c>
    </row>
    <row r="29" spans="1:19">
      <c r="A29" s="21">
        <v>2020</v>
      </c>
      <c r="B29" s="19">
        <f t="shared" si="0"/>
        <v>32669.970833333398</v>
      </c>
      <c r="C29" s="19">
        <v>17962.916666666701</v>
      </c>
      <c r="D29" s="19">
        <v>14707.0541666667</v>
      </c>
      <c r="E29" s="19">
        <f t="shared" si="1"/>
        <v>549.5515000000014</v>
      </c>
      <c r="F29" s="18">
        <v>3136.0666666666698</v>
      </c>
      <c r="G29" s="18">
        <f t="shared" si="12"/>
        <v>9.5992331387909253</v>
      </c>
      <c r="H29" s="19">
        <v>67.813333333333304</v>
      </c>
      <c r="I29" s="19">
        <f t="shared" si="2"/>
        <v>8.6130000000000067</v>
      </c>
      <c r="J29" s="19">
        <f t="shared" si="3"/>
        <v>2.636365990021669E-2</v>
      </c>
      <c r="K29" s="19">
        <f t="shared" si="4"/>
        <v>1.5672780440049723</v>
      </c>
      <c r="L29" s="19">
        <f t="shared" si="8"/>
        <v>0.20757084136770301</v>
      </c>
      <c r="M29" s="19">
        <f t="shared" si="9"/>
        <v>11.759095756517819</v>
      </c>
      <c r="N29" s="19">
        <v>576.68833333333305</v>
      </c>
      <c r="O29" s="18">
        <f t="shared" si="5"/>
        <v>65.218000000000075</v>
      </c>
      <c r="P29" s="18">
        <f t="shared" si="6"/>
        <v>0.19962674693745883</v>
      </c>
      <c r="Q29" s="18">
        <f t="shared" si="7"/>
        <v>11.867495585036144</v>
      </c>
      <c r="R29" s="19">
        <f t="shared" si="10"/>
        <v>88.240904243482177</v>
      </c>
      <c r="S29" s="19">
        <f t="shared" si="11"/>
        <v>1.7651939032187134</v>
      </c>
    </row>
    <row r="30" spans="1:19">
      <c r="A30" s="21">
        <v>2021</v>
      </c>
      <c r="B30" s="19">
        <f t="shared" si="0"/>
        <v>33219.5223333334</v>
      </c>
      <c r="C30" s="19">
        <v>17851.850666666702</v>
      </c>
      <c r="D30" s="19">
        <v>15367.6716666667</v>
      </c>
      <c r="E30" s="19">
        <f t="shared" si="1"/>
        <v>549.5515000000014</v>
      </c>
      <c r="F30" s="18">
        <v>3249.5666666666698</v>
      </c>
      <c r="G30" s="18">
        <f t="shared" si="12"/>
        <v>9.7820993151547029</v>
      </c>
      <c r="H30" s="19">
        <v>76.426333333333304</v>
      </c>
      <c r="I30" s="19">
        <f t="shared" si="2"/>
        <v>8.6129999999999995</v>
      </c>
      <c r="J30" s="19">
        <f t="shared" si="3"/>
        <v>2.5927525126866358E-2</v>
      </c>
      <c r="K30" s="19">
        <f t="shared" si="4"/>
        <v>1.5672780440049709</v>
      </c>
      <c r="L30" s="19">
        <f t="shared" si="8"/>
        <v>0.2300645161795267</v>
      </c>
      <c r="M30" s="19">
        <f t="shared" si="9"/>
        <v>11.906150378118511</v>
      </c>
      <c r="N30" s="19">
        <v>641.90633333333301</v>
      </c>
      <c r="O30" s="18">
        <f t="shared" si="5"/>
        <v>65.217999999999961</v>
      </c>
      <c r="P30" s="18">
        <f t="shared" si="6"/>
        <v>0.1963243160018541</v>
      </c>
      <c r="Q30" s="18">
        <f t="shared" si="7"/>
        <v>11.867495585036124</v>
      </c>
      <c r="R30" s="19">
        <f t="shared" si="10"/>
        <v>88.093849621881489</v>
      </c>
      <c r="S30" s="19">
        <f t="shared" si="11"/>
        <v>1.9323165664222275</v>
      </c>
    </row>
    <row r="31" spans="1:19">
      <c r="A31" s="21">
        <v>2022</v>
      </c>
      <c r="B31" s="19">
        <f t="shared" si="0"/>
        <v>33769.073833333401</v>
      </c>
      <c r="C31" s="19">
        <v>17740.784666666699</v>
      </c>
      <c r="D31" s="19">
        <v>16028.2891666667</v>
      </c>
      <c r="E31" s="19">
        <f t="shared" si="1"/>
        <v>549.5515000000014</v>
      </c>
      <c r="F31" s="18">
        <v>3363.0666666666698</v>
      </c>
      <c r="G31" s="18">
        <f t="shared" si="12"/>
        <v>9.9590136326066236</v>
      </c>
      <c r="H31" s="19">
        <v>85.039333333333303</v>
      </c>
      <c r="I31" s="19">
        <f t="shared" si="2"/>
        <v>8.6129999999999995</v>
      </c>
      <c r="J31" s="19">
        <f t="shared" si="3"/>
        <v>2.5505585502608962E-2</v>
      </c>
      <c r="K31" s="19">
        <f t="shared" si="4"/>
        <v>1.5672780440049709</v>
      </c>
      <c r="L31" s="19">
        <f t="shared" si="8"/>
        <v>0.25182607539976742</v>
      </c>
      <c r="M31" s="19">
        <f t="shared" si="9"/>
        <v>12.026079336354336</v>
      </c>
      <c r="N31" s="19">
        <v>707.12433333333297</v>
      </c>
      <c r="O31" s="18">
        <f t="shared" si="5"/>
        <v>65.217999999999961</v>
      </c>
      <c r="P31" s="18">
        <f t="shared" si="6"/>
        <v>0.19312937133509231</v>
      </c>
      <c r="Q31" s="18">
        <f t="shared" si="7"/>
        <v>11.867495585036124</v>
      </c>
      <c r="R31" s="19">
        <f t="shared" si="10"/>
        <v>87.973920663645657</v>
      </c>
      <c r="S31" s="19">
        <f t="shared" si="11"/>
        <v>2.0939997846056753</v>
      </c>
    </row>
    <row r="32" spans="1:19">
      <c r="A32" s="21">
        <v>2023</v>
      </c>
      <c r="B32" s="19">
        <f t="shared" si="0"/>
        <v>34318.625333333403</v>
      </c>
      <c r="C32" s="19">
        <v>17629.7186666667</v>
      </c>
      <c r="D32" s="19">
        <v>16688.906666666699</v>
      </c>
      <c r="E32" s="19">
        <f t="shared" si="1"/>
        <v>549.5515000000014</v>
      </c>
      <c r="F32" s="18">
        <v>3476.5666666666698</v>
      </c>
      <c r="G32" s="18">
        <f t="shared" si="12"/>
        <v>10.130262016322398</v>
      </c>
      <c r="H32" s="19">
        <v>93.652333333333303</v>
      </c>
      <c r="I32" s="19">
        <f t="shared" si="2"/>
        <v>8.6129999999999995</v>
      </c>
      <c r="J32" s="19">
        <f t="shared" si="3"/>
        <v>2.5097159097553542E-2</v>
      </c>
      <c r="K32" s="19">
        <f t="shared" si="4"/>
        <v>1.5672780440049709</v>
      </c>
      <c r="L32" s="19">
        <f t="shared" si="8"/>
        <v>0.27289068959988194</v>
      </c>
      <c r="M32" s="19">
        <f t="shared" si="9"/>
        <v>12.125754253187381</v>
      </c>
      <c r="N32" s="19">
        <v>772.34233333333304</v>
      </c>
      <c r="O32" s="18">
        <f t="shared" si="5"/>
        <v>65.218000000000075</v>
      </c>
      <c r="P32" s="18">
        <f t="shared" si="6"/>
        <v>0.19003674933521988</v>
      </c>
      <c r="Q32" s="18">
        <f t="shared" si="7"/>
        <v>11.867495585036144</v>
      </c>
      <c r="R32" s="19">
        <f t="shared" si="10"/>
        <v>87.874245746812619</v>
      </c>
      <c r="S32" s="19">
        <f t="shared" si="11"/>
        <v>2.2505048667644711</v>
      </c>
    </row>
    <row r="33" spans="1:19">
      <c r="A33" s="21">
        <v>2024</v>
      </c>
      <c r="B33" s="19">
        <f t="shared" si="0"/>
        <v>34868.176833333404</v>
      </c>
      <c r="C33" s="19">
        <v>17518.652666666701</v>
      </c>
      <c r="D33" s="19">
        <v>17349.524166666699</v>
      </c>
      <c r="E33" s="19">
        <f t="shared" si="1"/>
        <v>549.5515000000014</v>
      </c>
      <c r="F33" s="18">
        <v>3590.0666666666698</v>
      </c>
      <c r="G33" s="18">
        <f t="shared" si="12"/>
        <v>10.296112365802347</v>
      </c>
      <c r="H33" s="19">
        <v>102.265333333333</v>
      </c>
      <c r="I33" s="19">
        <f t="shared" si="2"/>
        <v>8.6129999999997011</v>
      </c>
      <c r="J33" s="19">
        <f t="shared" si="3"/>
        <v>2.470160697293991E-2</v>
      </c>
      <c r="K33" s="19">
        <f t="shared" si="4"/>
        <v>1.5672780440049165</v>
      </c>
      <c r="L33" s="19">
        <f t="shared" si="8"/>
        <v>0.29329131208136189</v>
      </c>
      <c r="M33" s="19">
        <f t="shared" si="9"/>
        <v>12.20990647041941</v>
      </c>
      <c r="N33" s="19">
        <v>837.56033333333301</v>
      </c>
      <c r="O33" s="18">
        <f t="shared" si="5"/>
        <v>65.217999999999961</v>
      </c>
      <c r="P33" s="18">
        <f t="shared" si="6"/>
        <v>0.18704161193094737</v>
      </c>
      <c r="Q33" s="18">
        <f t="shared" si="7"/>
        <v>11.867495585036124</v>
      </c>
      <c r="R33" s="19">
        <f t="shared" si="10"/>
        <v>87.790093529580588</v>
      </c>
      <c r="S33" s="19">
        <f t="shared" si="11"/>
        <v>2.4020766481046381</v>
      </c>
    </row>
    <row r="34" spans="1:19">
      <c r="A34" s="21">
        <v>2025</v>
      </c>
      <c r="B34" s="19">
        <f t="shared" si="0"/>
        <v>35417.728333333398</v>
      </c>
      <c r="C34" s="19">
        <v>17407.586666666699</v>
      </c>
      <c r="D34" s="19">
        <v>18010.141666666699</v>
      </c>
      <c r="E34" s="19">
        <f t="shared" si="1"/>
        <v>549.55149999999412</v>
      </c>
      <c r="F34" s="18">
        <v>3703.5666666666698</v>
      </c>
      <c r="G34" s="18">
        <f t="shared" si="12"/>
        <v>10.456815953328825</v>
      </c>
      <c r="H34" s="19">
        <v>110.878333333333</v>
      </c>
      <c r="I34" s="19">
        <f t="shared" si="2"/>
        <v>8.6129999999999995</v>
      </c>
      <c r="J34" s="19">
        <f t="shared" si="3"/>
        <v>2.4318329845829989E-2</v>
      </c>
      <c r="K34" s="19">
        <f t="shared" si="4"/>
        <v>1.5672780440049918</v>
      </c>
      <c r="L34" s="19">
        <f t="shared" si="8"/>
        <v>0.31305885089467994</v>
      </c>
      <c r="M34" s="19">
        <f t="shared" si="9"/>
        <v>12.28190013421527</v>
      </c>
      <c r="N34" s="19">
        <v>902.77833333333297</v>
      </c>
      <c r="O34" s="18">
        <f t="shared" si="5"/>
        <v>65.217999999999961</v>
      </c>
      <c r="P34" s="18">
        <f t="shared" si="6"/>
        <v>0.18413942132652261</v>
      </c>
      <c r="Q34" s="18">
        <f t="shared" si="7"/>
        <v>11.867495585036281</v>
      </c>
      <c r="R34" s="19">
        <f t="shared" si="10"/>
        <v>87.718099865784723</v>
      </c>
      <c r="S34" s="19">
        <f t="shared" si="11"/>
        <v>2.5489447681027104</v>
      </c>
    </row>
    <row r="35" spans="1:19">
      <c r="A35" s="21">
        <v>2026</v>
      </c>
      <c r="B35" s="19">
        <f t="shared" si="0"/>
        <v>35967.279833333399</v>
      </c>
      <c r="C35" s="19">
        <v>17296.5206666667</v>
      </c>
      <c r="D35" s="19">
        <v>18670.759166666699</v>
      </c>
      <c r="E35" s="19">
        <f t="shared" si="1"/>
        <v>549.5515000000014</v>
      </c>
      <c r="F35" s="18">
        <v>3817.0666666666698</v>
      </c>
      <c r="G35" s="18">
        <f t="shared" si="12"/>
        <v>10.612608694219702</v>
      </c>
      <c r="H35" s="19">
        <v>119.491333333333</v>
      </c>
      <c r="I35" s="19">
        <f t="shared" si="2"/>
        <v>8.6129999999999995</v>
      </c>
      <c r="J35" s="19">
        <f t="shared" si="3"/>
        <v>2.3946765059552066E-2</v>
      </c>
      <c r="K35" s="19">
        <f t="shared" si="4"/>
        <v>1.5672780440049709</v>
      </c>
      <c r="L35" s="19">
        <f t="shared" si="8"/>
        <v>0.33222232508834881</v>
      </c>
      <c r="M35" s="19">
        <f t="shared" si="9"/>
        <v>12.344192763815535</v>
      </c>
      <c r="N35" s="19">
        <v>967.99633333333304</v>
      </c>
      <c r="O35" s="18">
        <f t="shared" si="5"/>
        <v>65.218000000000075</v>
      </c>
      <c r="P35" s="18">
        <f t="shared" si="6"/>
        <v>0.18132591706186793</v>
      </c>
      <c r="Q35" s="18">
        <f t="shared" si="7"/>
        <v>11.867495585036144</v>
      </c>
      <c r="R35" s="19">
        <f t="shared" si="10"/>
        <v>87.655807236184472</v>
      </c>
      <c r="S35" s="19">
        <f t="shared" si="11"/>
        <v>2.6913248313991849</v>
      </c>
    </row>
    <row r="36" spans="1:19">
      <c r="A36" s="21">
        <v>2027</v>
      </c>
      <c r="B36" s="19">
        <f t="shared" si="0"/>
        <v>36516.831333333401</v>
      </c>
      <c r="C36" s="19">
        <v>17185.454666666701</v>
      </c>
      <c r="D36" s="19">
        <v>19331.3766666667</v>
      </c>
      <c r="E36" s="19">
        <f t="shared" si="1"/>
        <v>549.5515000000014</v>
      </c>
      <c r="F36" s="18">
        <v>3930.5666666666698</v>
      </c>
      <c r="G36" s="18">
        <f t="shared" si="12"/>
        <v>10.763712302383583</v>
      </c>
      <c r="H36" s="19">
        <v>128.10433333333299</v>
      </c>
      <c r="I36" s="19">
        <f t="shared" si="2"/>
        <v>8.6129999999999853</v>
      </c>
      <c r="J36" s="19">
        <f t="shared" si="3"/>
        <v>2.3586383827716842E-2</v>
      </c>
      <c r="K36" s="19">
        <f t="shared" si="4"/>
        <v>1.5672780440049681</v>
      </c>
      <c r="L36" s="19">
        <f t="shared" si="8"/>
        <v>0.35080900684938787</v>
      </c>
      <c r="M36" s="19">
        <f t="shared" si="9"/>
        <v>12.398621389624555</v>
      </c>
      <c r="N36" s="19">
        <v>1033.2143333333299</v>
      </c>
      <c r="O36" s="18">
        <f t="shared" si="5"/>
        <v>65.217999999996891</v>
      </c>
      <c r="P36" s="18">
        <f t="shared" si="6"/>
        <v>0.17859709514408062</v>
      </c>
      <c r="Q36" s="18">
        <f t="shared" si="7"/>
        <v>11.867495585035567</v>
      </c>
      <c r="R36" s="19">
        <f t="shared" si="10"/>
        <v>87.601378610375448</v>
      </c>
      <c r="S36" s="19">
        <f t="shared" si="11"/>
        <v>2.8294194638684003</v>
      </c>
    </row>
    <row r="37" spans="1:19">
      <c r="A37" s="21">
        <v>2028</v>
      </c>
      <c r="B37" s="19">
        <f t="shared" si="0"/>
        <v>37066.382833333395</v>
      </c>
      <c r="C37" s="19">
        <v>17074.388666666699</v>
      </c>
      <c r="D37" s="19">
        <v>19991.9941666667</v>
      </c>
      <c r="E37" s="19">
        <f t="shared" si="1"/>
        <v>549.55149999999412</v>
      </c>
      <c r="F37" s="18">
        <v>4044.0666666666698</v>
      </c>
      <c r="G37" s="18">
        <f t="shared" si="12"/>
        <v>10.910335343080428</v>
      </c>
      <c r="H37" s="19">
        <v>136.71733333333299</v>
      </c>
      <c r="I37" s="19">
        <f t="shared" si="2"/>
        <v>8.6129999999999995</v>
      </c>
      <c r="J37" s="19">
        <f t="shared" si="3"/>
        <v>2.3236688723385284E-2</v>
      </c>
      <c r="K37" s="19">
        <f t="shared" si="4"/>
        <v>1.5672780440049918</v>
      </c>
      <c r="L37" s="19">
        <f t="shared" si="8"/>
        <v>0.36884455099941554</v>
      </c>
      <c r="M37" s="19">
        <f t="shared" si="9"/>
        <v>12.446586756823443</v>
      </c>
      <c r="N37" s="19">
        <v>1098.43233333333</v>
      </c>
      <c r="O37" s="18">
        <f t="shared" si="5"/>
        <v>65.218000000000075</v>
      </c>
      <c r="P37" s="18">
        <f t="shared" si="6"/>
        <v>0.17594918903538179</v>
      </c>
      <c r="Q37" s="18">
        <f t="shared" si="7"/>
        <v>11.867495585036302</v>
      </c>
      <c r="R37" s="19">
        <f t="shared" si="10"/>
        <v>87.55341324317655</v>
      </c>
      <c r="S37" s="19">
        <f t="shared" si="11"/>
        <v>2.9634192747438033</v>
      </c>
    </row>
    <row r="38" spans="1:19">
      <c r="A38" s="21">
        <v>2029</v>
      </c>
      <c r="B38" s="19">
        <f t="shared" si="0"/>
        <v>37615.934333333396</v>
      </c>
      <c r="C38" s="19">
        <v>16963.3226666667</v>
      </c>
      <c r="D38" s="19">
        <v>20652.6116666667</v>
      </c>
      <c r="E38" s="19">
        <f t="shared" si="1"/>
        <v>549.5515000000014</v>
      </c>
      <c r="F38" s="18">
        <v>4157.5666666666702</v>
      </c>
      <c r="G38" s="18">
        <f t="shared" si="12"/>
        <v>11.052674193400106</v>
      </c>
      <c r="H38" s="19">
        <v>145.33033333333299</v>
      </c>
      <c r="I38" s="19">
        <f t="shared" si="2"/>
        <v>8.6129999999999995</v>
      </c>
      <c r="J38" s="19">
        <f t="shared" si="3"/>
        <v>2.2897211388333324E-2</v>
      </c>
      <c r="K38" s="19">
        <f t="shared" si="4"/>
        <v>1.5672780440049709</v>
      </c>
      <c r="L38" s="19">
        <f t="shared" si="8"/>
        <v>0.38635311313947179</v>
      </c>
      <c r="M38" s="19">
        <f t="shared" si="9"/>
        <v>12.48917558567852</v>
      </c>
      <c r="N38" s="19">
        <v>1163.6503333333301</v>
      </c>
      <c r="O38" s="18">
        <f t="shared" si="5"/>
        <v>65.218000000000075</v>
      </c>
      <c r="P38" s="18">
        <f t="shared" si="6"/>
        <v>0.17337865230747992</v>
      </c>
      <c r="Q38" s="18">
        <f t="shared" si="7"/>
        <v>11.867495585036144</v>
      </c>
      <c r="R38" s="19">
        <f t="shared" si="10"/>
        <v>87.510824414321476</v>
      </c>
      <c r="S38" s="19">
        <f t="shared" si="11"/>
        <v>3.0935037344058745</v>
      </c>
    </row>
    <row r="39" spans="1:19">
      <c r="A39" s="21">
        <v>2030</v>
      </c>
      <c r="B39" s="19">
        <f t="shared" si="0"/>
        <v>38165.485833333398</v>
      </c>
      <c r="C39" s="19">
        <v>16852.256666666701</v>
      </c>
      <c r="D39" s="19">
        <v>21313.229166666701</v>
      </c>
      <c r="E39" s="19">
        <f t="shared" si="1"/>
        <v>549.5515000000014</v>
      </c>
      <c r="F39" s="18">
        <v>4271.0666666666702</v>
      </c>
      <c r="G39" s="18">
        <f t="shared" si="12"/>
        <v>11.190913919760346</v>
      </c>
      <c r="H39" s="19">
        <v>153.94333333333299</v>
      </c>
      <c r="I39" s="19">
        <f t="shared" si="2"/>
        <v>8.6129999999999995</v>
      </c>
      <c r="J39" s="19">
        <f t="shared" si="3"/>
        <v>2.2567510440224717E-2</v>
      </c>
      <c r="K39" s="19">
        <f t="shared" si="4"/>
        <v>1.5672780440049709</v>
      </c>
      <c r="L39" s="19">
        <f t="shared" si="8"/>
        <v>0.40335745758771463</v>
      </c>
      <c r="M39" s="19">
        <f t="shared" si="9"/>
        <v>12.527243900553497</v>
      </c>
      <c r="N39" s="19">
        <v>1228.8683333333299</v>
      </c>
      <c r="O39" s="18">
        <f t="shared" si="5"/>
        <v>65.217999999999847</v>
      </c>
      <c r="P39" s="18">
        <f t="shared" si="6"/>
        <v>0.17088214279467923</v>
      </c>
      <c r="Q39" s="18">
        <f t="shared" si="7"/>
        <v>11.867495585036103</v>
      </c>
      <c r="R39" s="19">
        <f t="shared" si="10"/>
        <v>87.472756099446499</v>
      </c>
      <c r="S39" s="19">
        <f t="shared" si="11"/>
        <v>3.2198419763336208</v>
      </c>
    </row>
    <row r="40" spans="1:19">
      <c r="A40" s="21">
        <v>2031</v>
      </c>
      <c r="B40" s="19">
        <f t="shared" si="0"/>
        <v>38715.037333333399</v>
      </c>
      <c r="C40" s="19">
        <v>16741.190666666698</v>
      </c>
      <c r="D40" s="19">
        <v>21973.846666666701</v>
      </c>
      <c r="E40" s="19">
        <f t="shared" si="1"/>
        <v>549.5515000000014</v>
      </c>
      <c r="F40" s="18">
        <v>4384.5666666666702</v>
      </c>
      <c r="G40" s="18">
        <f t="shared" si="12"/>
        <v>11.325229080669351</v>
      </c>
      <c r="H40" s="19">
        <v>162.55633333333299</v>
      </c>
      <c r="I40" s="19">
        <f t="shared" si="2"/>
        <v>8.6129999999999995</v>
      </c>
      <c r="J40" s="19">
        <f t="shared" si="3"/>
        <v>2.2247169558026646E-2</v>
      </c>
      <c r="K40" s="19">
        <f t="shared" si="4"/>
        <v>1.5672780440049709</v>
      </c>
      <c r="L40" s="19">
        <f t="shared" si="8"/>
        <v>0.41987905612420279</v>
      </c>
      <c r="M40" s="19">
        <f t="shared" si="9"/>
        <v>12.561475161755057</v>
      </c>
      <c r="N40" s="19">
        <v>1294.08633333333</v>
      </c>
      <c r="O40" s="18">
        <f t="shared" si="5"/>
        <v>65.218000000000075</v>
      </c>
      <c r="P40" s="18">
        <f t="shared" si="6"/>
        <v>0.1684565080965266</v>
      </c>
      <c r="Q40" s="18">
        <f t="shared" si="7"/>
        <v>11.867495585036144</v>
      </c>
      <c r="R40" s="19">
        <f t="shared" si="10"/>
        <v>87.438524838244945</v>
      </c>
      <c r="S40" s="19">
        <f t="shared" si="11"/>
        <v>3.3425935307548573</v>
      </c>
    </row>
    <row r="41" spans="1:19">
      <c r="A41" s="21">
        <v>2032</v>
      </c>
      <c r="B41" s="19">
        <f t="shared" si="0"/>
        <v>39264.588833333401</v>
      </c>
      <c r="C41" s="19">
        <v>16630.124666666699</v>
      </c>
      <c r="D41" s="19">
        <v>22634.464166666701</v>
      </c>
      <c r="E41" s="19">
        <f t="shared" si="1"/>
        <v>549.5515000000014</v>
      </c>
      <c r="F41" s="18">
        <v>4498.0666666666702</v>
      </c>
      <c r="G41" s="18">
        <f t="shared" si="12"/>
        <v>11.455784462075069</v>
      </c>
      <c r="H41" s="19">
        <v>171.16933333333299</v>
      </c>
      <c r="I41" s="19">
        <f t="shared" si="2"/>
        <v>8.6129999999999995</v>
      </c>
      <c r="J41" s="19">
        <f t="shared" si="3"/>
        <v>2.1935795728206003E-2</v>
      </c>
      <c r="K41" s="19">
        <f t="shared" si="4"/>
        <v>1.5672780440049709</v>
      </c>
      <c r="L41" s="19">
        <f t="shared" si="8"/>
        <v>0.43593817844342225</v>
      </c>
      <c r="M41" s="19">
        <f t="shared" si="9"/>
        <v>12.592421662747592</v>
      </c>
      <c r="N41" s="19">
        <v>1359.3043333333301</v>
      </c>
      <c r="O41" s="18">
        <f t="shared" si="5"/>
        <v>65.218000000000075</v>
      </c>
      <c r="P41" s="18">
        <f t="shared" si="6"/>
        <v>0.1660987722979381</v>
      </c>
      <c r="Q41" s="18">
        <f t="shared" si="7"/>
        <v>11.867495585036144</v>
      </c>
      <c r="R41" s="19">
        <f t="shared" si="10"/>
        <v>87.407578337252403</v>
      </c>
      <c r="S41" s="19">
        <f t="shared" si="11"/>
        <v>3.4619089966870047</v>
      </c>
    </row>
    <row r="42" spans="1:19">
      <c r="A42" s="21">
        <v>2033</v>
      </c>
      <c r="B42" s="19">
        <f t="shared" si="0"/>
        <v>39814.140333333402</v>
      </c>
      <c r="C42" s="19">
        <v>16519.0586666667</v>
      </c>
      <c r="D42" s="19">
        <v>23295.081666666701</v>
      </c>
      <c r="E42" s="19">
        <f t="shared" si="1"/>
        <v>549.5515000000014</v>
      </c>
      <c r="F42" s="18">
        <v>4611.5666666666702</v>
      </c>
      <c r="G42" s="18">
        <f t="shared" si="12"/>
        <v>11.582735751814663</v>
      </c>
      <c r="H42" s="19">
        <v>179.78233333333301</v>
      </c>
      <c r="I42" s="19">
        <f t="shared" si="2"/>
        <v>8.613000000000028</v>
      </c>
      <c r="J42" s="19">
        <f t="shared" si="3"/>
        <v>2.1633017636171356E-2</v>
      </c>
      <c r="K42" s="19">
        <f t="shared" si="4"/>
        <v>1.5672780440049761</v>
      </c>
      <c r="L42" s="19">
        <f t="shared" si="8"/>
        <v>0.45155397511575734</v>
      </c>
      <c r="M42" s="19">
        <f t="shared" si="9"/>
        <v>12.620534555793798</v>
      </c>
      <c r="N42" s="19">
        <v>1424.5223333333299</v>
      </c>
      <c r="O42" s="18">
        <f t="shared" si="5"/>
        <v>65.217999999999847</v>
      </c>
      <c r="P42" s="18">
        <f t="shared" si="6"/>
        <v>0.16380612378913451</v>
      </c>
      <c r="Q42" s="18">
        <f t="shared" si="7"/>
        <v>11.867495585036103</v>
      </c>
      <c r="R42" s="19">
        <f t="shared" si="10"/>
        <v>87.379465444206204</v>
      </c>
      <c r="S42" s="19">
        <f t="shared" si="11"/>
        <v>3.5779306583211192</v>
      </c>
    </row>
    <row r="43" spans="1:19">
      <c r="A43" s="21">
        <v>2034</v>
      </c>
      <c r="B43" s="19">
        <f t="shared" si="0"/>
        <v>40363.691833333403</v>
      </c>
      <c r="C43" s="19">
        <v>16407.992666666702</v>
      </c>
      <c r="D43" s="19">
        <v>23955.699166666702</v>
      </c>
      <c r="E43" s="19">
        <f t="shared" si="1"/>
        <v>549.5515000000014</v>
      </c>
      <c r="F43" s="18">
        <v>4725.0666666666702</v>
      </c>
      <c r="G43" s="18">
        <f t="shared" si="12"/>
        <v>11.706230158968227</v>
      </c>
      <c r="H43" s="19">
        <v>188.39533333333301</v>
      </c>
      <c r="I43" s="19">
        <f t="shared" si="2"/>
        <v>8.6129999999999995</v>
      </c>
      <c r="J43" s="19">
        <f t="shared" si="3"/>
        <v>2.1338484189117598E-2</v>
      </c>
      <c r="K43" s="19">
        <f t="shared" si="4"/>
        <v>1.5672780440049709</v>
      </c>
      <c r="L43" s="19">
        <f t="shared" si="8"/>
        <v>0.46674455377184099</v>
      </c>
      <c r="M43" s="19">
        <f t="shared" si="9"/>
        <v>12.646185990802431</v>
      </c>
      <c r="N43" s="19">
        <v>1489.74033333333</v>
      </c>
      <c r="O43" s="18">
        <f t="shared" si="5"/>
        <v>65.218000000000075</v>
      </c>
      <c r="P43" s="18">
        <f t="shared" si="6"/>
        <v>0.16157590408056116</v>
      </c>
      <c r="Q43" s="18">
        <f t="shared" si="7"/>
        <v>11.867495585036144</v>
      </c>
      <c r="R43" s="19">
        <f t="shared" si="10"/>
        <v>87.353814009197563</v>
      </c>
      <c r="S43" s="19">
        <f t="shared" si="11"/>
        <v>3.6907930510535287</v>
      </c>
    </row>
    <row r="44" spans="1:19">
      <c r="A44" s="21">
        <v>2035</v>
      </c>
      <c r="B44" s="19">
        <f t="shared" si="0"/>
        <v>40913.243333333397</v>
      </c>
      <c r="C44" s="19">
        <v>16296.926666666701</v>
      </c>
      <c r="D44" s="19">
        <v>24616.316666666698</v>
      </c>
      <c r="E44" s="19">
        <f t="shared" si="1"/>
        <v>549.55149999999412</v>
      </c>
      <c r="F44" s="18">
        <v>4838.5666666666702</v>
      </c>
      <c r="G44" s="18">
        <f t="shared" si="12"/>
        <v>11.826406983297085</v>
      </c>
      <c r="H44" s="19">
        <v>197.00833333333301</v>
      </c>
      <c r="I44" s="19">
        <f t="shared" si="2"/>
        <v>8.6129999999999995</v>
      </c>
      <c r="J44" s="19">
        <f t="shared" si="3"/>
        <v>2.1051863157919574E-2</v>
      </c>
      <c r="K44" s="19">
        <f t="shared" si="4"/>
        <v>1.5672780440049918</v>
      </c>
      <c r="L44" s="19">
        <f t="shared" si="8"/>
        <v>0.48152704914700245</v>
      </c>
      <c r="M44" s="19">
        <f t="shared" si="9"/>
        <v>12.669685682896118</v>
      </c>
      <c r="N44" s="19">
        <v>1554.9583333333301</v>
      </c>
      <c r="O44" s="18">
        <f t="shared" si="5"/>
        <v>65.218000000000075</v>
      </c>
      <c r="P44" s="18">
        <f t="shared" si="6"/>
        <v>0.15940559751923841</v>
      </c>
      <c r="Q44" s="18">
        <f t="shared" si="7"/>
        <v>11.867495585036302</v>
      </c>
      <c r="R44" s="19">
        <f t="shared" si="10"/>
        <v>87.330314317103884</v>
      </c>
      <c r="S44" s="19">
        <f t="shared" si="11"/>
        <v>3.8006234818994491</v>
      </c>
    </row>
    <row r="45" spans="1:19">
      <c r="A45" s="21">
        <v>2036</v>
      </c>
      <c r="B45" s="19">
        <f t="shared" si="0"/>
        <v>41462.794833333297</v>
      </c>
      <c r="C45" s="19">
        <v>16185.8606666666</v>
      </c>
      <c r="D45" s="19">
        <v>25276.934166666699</v>
      </c>
      <c r="E45" s="19">
        <f t="shared" si="1"/>
        <v>549.55149999989953</v>
      </c>
      <c r="F45" s="18">
        <v>4952.0666666666702</v>
      </c>
      <c r="G45" s="18">
        <f t="shared" si="12"/>
        <v>11.943398139397834</v>
      </c>
      <c r="H45" s="19">
        <v>205.62133333333301</v>
      </c>
      <c r="I45" s="19">
        <f t="shared" si="2"/>
        <v>8.6129999999999995</v>
      </c>
      <c r="J45" s="19">
        <f t="shared" si="3"/>
        <v>2.0772839927027126E-2</v>
      </c>
      <c r="K45" s="19">
        <f t="shared" si="4"/>
        <v>1.5672780440052614</v>
      </c>
      <c r="L45" s="19">
        <f t="shared" si="8"/>
        <v>0.49591768755546428</v>
      </c>
      <c r="M45" s="19">
        <f t="shared" si="9"/>
        <v>12.691293478549358</v>
      </c>
      <c r="N45" s="19">
        <v>1620.1763333333299</v>
      </c>
      <c r="O45" s="18">
        <f t="shared" si="5"/>
        <v>65.217999999999847</v>
      </c>
      <c r="P45" s="18">
        <f t="shared" si="6"/>
        <v>0.15729282182292489</v>
      </c>
      <c r="Q45" s="18">
        <f t="shared" si="7"/>
        <v>11.867495585038302</v>
      </c>
      <c r="R45" s="19">
        <f t="shared" si="10"/>
        <v>87.308706521450645</v>
      </c>
      <c r="S45" s="19">
        <f t="shared" si="11"/>
        <v>3.9075425085209581</v>
      </c>
    </row>
    <row r="46" spans="1:19">
      <c r="A46" s="21">
        <v>2037</v>
      </c>
      <c r="B46" s="19">
        <f t="shared" si="0"/>
        <v>42012.346333333298</v>
      </c>
      <c r="C46" s="19">
        <v>16074.794666666599</v>
      </c>
      <c r="D46" s="19">
        <v>25937.551666666699</v>
      </c>
      <c r="E46" s="19">
        <f t="shared" si="1"/>
        <v>549.5515000000014</v>
      </c>
      <c r="F46" s="18">
        <v>5065.5666666666702</v>
      </c>
      <c r="G46" s="18">
        <f t="shared" si="12"/>
        <v>12.057328639718378</v>
      </c>
      <c r="H46" s="19">
        <v>214.23433333333301</v>
      </c>
      <c r="I46" s="19">
        <f t="shared" si="2"/>
        <v>8.6129999999999995</v>
      </c>
      <c r="J46" s="19">
        <f t="shared" si="3"/>
        <v>2.0501116342474549E-2</v>
      </c>
      <c r="K46" s="19">
        <f t="shared" si="4"/>
        <v>1.5672780440049709</v>
      </c>
      <c r="L46" s="19">
        <f t="shared" si="8"/>
        <v>0.50993184630432298</v>
      </c>
      <c r="M46" s="19">
        <f t="shared" si="9"/>
        <v>12.711229004171731</v>
      </c>
      <c r="N46" s="19">
        <v>1685.39433333333</v>
      </c>
      <c r="O46" s="18">
        <f t="shared" si="5"/>
        <v>65.218000000000075</v>
      </c>
      <c r="P46" s="18">
        <f t="shared" si="6"/>
        <v>0.1552353193571934</v>
      </c>
      <c r="Q46" s="18">
        <f t="shared" si="7"/>
        <v>11.867495585036144</v>
      </c>
      <c r="R46" s="19">
        <f t="shared" si="10"/>
        <v>87.288770995828273</v>
      </c>
      <c r="S46" s="19">
        <f t="shared" si="11"/>
        <v>4.0116643806587637</v>
      </c>
    </row>
    <row r="47" spans="1:19">
      <c r="A47" s="21">
        <v>2038</v>
      </c>
      <c r="B47" s="19">
        <f t="shared" si="0"/>
        <v>42561.8978333333</v>
      </c>
      <c r="C47" s="19">
        <v>15963.7286666666</v>
      </c>
      <c r="D47" s="19">
        <v>26598.169166666699</v>
      </c>
      <c r="E47" s="19">
        <f t="shared" si="1"/>
        <v>549.5515000000014</v>
      </c>
      <c r="F47" s="18">
        <v>5179.0666666666702</v>
      </c>
      <c r="G47" s="18">
        <f t="shared" si="12"/>
        <v>12.168317040154559</v>
      </c>
      <c r="H47" s="19">
        <v>222.84733333333301</v>
      </c>
      <c r="I47" s="19">
        <f t="shared" si="2"/>
        <v>8.6129999999999995</v>
      </c>
      <c r="J47" s="19">
        <f t="shared" si="3"/>
        <v>2.0236409649135843E-2</v>
      </c>
      <c r="K47" s="19">
        <f t="shared" si="4"/>
        <v>1.5672780440049709</v>
      </c>
      <c r="L47" s="19">
        <f t="shared" si="8"/>
        <v>0.52358410850468506</v>
      </c>
      <c r="M47" s="19">
        <f t="shared" si="9"/>
        <v>12.729679157978444</v>
      </c>
      <c r="N47" s="19">
        <v>1750.6123333333301</v>
      </c>
      <c r="O47" s="18">
        <f t="shared" si="5"/>
        <v>65.218000000000075</v>
      </c>
      <c r="P47" s="18">
        <f t="shared" si="6"/>
        <v>0.15323094908827853</v>
      </c>
      <c r="Q47" s="18">
        <f t="shared" si="7"/>
        <v>11.867495585036144</v>
      </c>
      <c r="R47" s="19">
        <f t="shared" si="10"/>
        <v>87.270320842021562</v>
      </c>
      <c r="S47" s="19">
        <f t="shared" si="11"/>
        <v>4.113097447365937</v>
      </c>
    </row>
    <row r="48" spans="1:19">
      <c r="A48" s="21">
        <v>2039</v>
      </c>
      <c r="B48" s="19">
        <f t="shared" si="0"/>
        <v>43111.449333333301</v>
      </c>
      <c r="C48" s="19">
        <v>15852.6626666666</v>
      </c>
      <c r="D48" s="19">
        <v>27258.7866666667</v>
      </c>
      <c r="E48" s="19">
        <f t="shared" si="1"/>
        <v>549.5515000000014</v>
      </c>
      <c r="F48" s="18">
        <v>5292.5666666666702</v>
      </c>
      <c r="G48" s="18">
        <f t="shared" si="12"/>
        <v>12.276475851565758</v>
      </c>
      <c r="H48" s="19">
        <v>231.46033333333301</v>
      </c>
      <c r="I48" s="19">
        <f t="shared" si="2"/>
        <v>8.6129999999999995</v>
      </c>
      <c r="J48" s="19">
        <f t="shared" si="3"/>
        <v>1.9978451509261884E-2</v>
      </c>
      <c r="K48" s="19">
        <f t="shared" si="4"/>
        <v>1.5672780440049709</v>
      </c>
      <c r="L48" s="19">
        <f t="shared" si="8"/>
        <v>0.53688831369065204</v>
      </c>
      <c r="M48" s="19">
        <f t="shared" si="9"/>
        <v>12.746803987376948</v>
      </c>
      <c r="N48" s="19">
        <v>1815.8303333333299</v>
      </c>
      <c r="O48" s="18">
        <f t="shared" si="5"/>
        <v>65.217999999999847</v>
      </c>
      <c r="P48" s="18">
        <f t="shared" si="6"/>
        <v>0.15127767915140353</v>
      </c>
      <c r="Q48" s="18">
        <f t="shared" si="7"/>
        <v>11.867495585036103</v>
      </c>
      <c r="R48" s="19">
        <f t="shared" si="10"/>
        <v>87.25319601262305</v>
      </c>
      <c r="S48" s="19">
        <f t="shared" si="11"/>
        <v>4.2119445330949468</v>
      </c>
    </row>
    <row r="49" spans="1:19">
      <c r="A49" s="21">
        <v>2040</v>
      </c>
      <c r="B49" s="19">
        <f t="shared" si="0"/>
        <v>43661.000833333303</v>
      </c>
      <c r="C49" s="19">
        <v>15741.596666666601</v>
      </c>
      <c r="D49" s="19">
        <v>27919.4041666667</v>
      </c>
      <c r="E49" s="19">
        <f t="shared" si="1"/>
        <v>549.5515000000014</v>
      </c>
      <c r="F49" s="18">
        <v>5406.0666666666702</v>
      </c>
      <c r="G49" s="18">
        <f t="shared" si="12"/>
        <v>12.381911920212719</v>
      </c>
      <c r="H49" s="19">
        <v>240.07333333333301</v>
      </c>
      <c r="I49" s="19">
        <f t="shared" si="2"/>
        <v>8.6129999999999995</v>
      </c>
      <c r="J49" s="19">
        <f t="shared" si="3"/>
        <v>1.9726987095138562E-2</v>
      </c>
      <c r="K49" s="19">
        <f t="shared" si="4"/>
        <v>1.5672780440049709</v>
      </c>
      <c r="L49" s="19">
        <f t="shared" si="8"/>
        <v>0.54985760461552979</v>
      </c>
      <c r="M49" s="19">
        <f t="shared" si="9"/>
        <v>12.762741343701082</v>
      </c>
      <c r="N49" s="19">
        <v>1881.04833333333</v>
      </c>
      <c r="O49" s="18">
        <f t="shared" si="5"/>
        <v>65.218000000000075</v>
      </c>
      <c r="P49" s="18">
        <f t="shared" si="6"/>
        <v>0.14937357998034925</v>
      </c>
      <c r="Q49" s="18">
        <f t="shared" si="7"/>
        <v>11.867495585036144</v>
      </c>
      <c r="R49" s="19">
        <f t="shared" si="10"/>
        <v>87.23725865629892</v>
      </c>
      <c r="S49" s="19">
        <f t="shared" si="11"/>
        <v>4.3083032853823866</v>
      </c>
    </row>
  </sheetData>
  <customSheetViews>
    <customSheetView guid="{6CD3DBEE-3ADC-5D4E-9E8E-2656A4A55EE6}">
      <pane ySplit="2" topLeftCell="A3" activePane="bottomLeft" state="frozen"/>
      <selection pane="bottomLeft" activeCell="F2" sqref="F2:G49"/>
      <pageMargins left="0" right="0" top="0" bottom="0" header="0" footer="0"/>
    </customSheetView>
  </customSheetViews>
  <mergeCells count="1">
    <mergeCell ref="A1:S1"/>
  </mergeCells>
  <conditionalFormatting sqref="B15:B4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{41632CB9-EF50-49ED-980A-F35BF50933C5}</x14:id>
        </ext>
      </extLst>
    </cfRule>
  </conditionalFormatting>
  <conditionalFormatting sqref="B3:B4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{F32AC6B7-6055-4459-95DB-49A63F8AF912}</x14:id>
        </ext>
      </extLst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632CB9-EF50-49ED-980A-F35BF50933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B15:B49</xm:sqref>
        </x14:conditionalFormatting>
        <x14:conditionalFormatting xmlns:xm="http://schemas.microsoft.com/office/excel/2006/main">
          <x14:cfRule type="dataBar" id="{F32AC6B7-6055-4459-95DB-49A63F8AF9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B3:B49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6"/>
  <sheetViews>
    <sheetView zoomScale="40" zoomScaleNormal="40" workbookViewId="0">
      <selection activeCell="J63" sqref="J63"/>
    </sheetView>
  </sheetViews>
  <sheetFormatPr defaultColWidth="11" defaultRowHeight="14.4"/>
  <cols>
    <col min="1" max="1" width="30.59765625" style="241" bestFit="1" customWidth="1"/>
    <col min="2" max="2" width="23.5" style="241" bestFit="1" customWidth="1"/>
    <col min="3" max="3" width="12.3984375" style="241" bestFit="1" customWidth="1"/>
    <col min="4" max="4" width="27" style="241" customWidth="1"/>
    <col min="5" max="5" width="12.59765625" style="241" bestFit="1" customWidth="1"/>
    <col min="6" max="6" width="18.69921875" style="241" bestFit="1" customWidth="1"/>
    <col min="7" max="7" width="23" style="241" bestFit="1" customWidth="1"/>
    <col min="8" max="8" width="18.19921875" style="241" bestFit="1" customWidth="1"/>
    <col min="9" max="10" width="15.8984375" style="241" bestFit="1" customWidth="1"/>
    <col min="11" max="16" width="11" style="241"/>
    <col min="17" max="17" width="26.69921875" style="241" bestFit="1" customWidth="1"/>
    <col min="18" max="24" width="11" style="241"/>
    <col min="25" max="25" width="6.59765625" style="241" bestFit="1" customWidth="1"/>
    <col min="26" max="26" width="9.5" style="241" bestFit="1" customWidth="1"/>
    <col min="27" max="27" width="15.3984375" style="241" bestFit="1" customWidth="1"/>
    <col min="28" max="28" width="10.5" style="241" bestFit="1" customWidth="1"/>
    <col min="29" max="29" width="8" style="241" customWidth="1"/>
    <col min="30" max="30" width="19.09765625" style="241" bestFit="1" customWidth="1"/>
    <col min="31" max="31" width="18.5" style="241" bestFit="1" customWidth="1"/>
    <col min="32" max="32" width="19.09765625" style="241" bestFit="1" customWidth="1"/>
    <col min="33" max="33" width="9.59765625" style="241" bestFit="1" customWidth="1"/>
    <col min="34" max="34" width="9.09765625" style="241" bestFit="1" customWidth="1"/>
    <col min="35" max="35" width="12.8984375" style="241" bestFit="1" customWidth="1"/>
    <col min="36" max="36" width="9.09765625" style="241" customWidth="1"/>
    <col min="37" max="37" width="8.09765625" style="241" bestFit="1" customWidth="1"/>
    <col min="38" max="38" width="11.09765625" style="241" bestFit="1" customWidth="1"/>
    <col min="39" max="39" width="11.3984375" style="241" bestFit="1" customWidth="1"/>
    <col min="40" max="40" width="12.3984375" style="241" bestFit="1" customWidth="1"/>
    <col min="41" max="42" width="26.59765625" style="241" bestFit="1" customWidth="1"/>
    <col min="43" max="16384" width="11" style="241"/>
  </cols>
  <sheetData>
    <row r="1" spans="1:35" ht="15" thickBot="1">
      <c r="B1" s="503" t="s">
        <v>87</v>
      </c>
      <c r="C1" s="504"/>
      <c r="D1" s="505"/>
    </row>
    <row r="2" spans="1:35">
      <c r="A2" s="11" t="s">
        <v>43</v>
      </c>
      <c r="B2" s="299" t="s">
        <v>78</v>
      </c>
      <c r="C2" s="299" t="s">
        <v>76</v>
      </c>
      <c r="D2" s="300" t="s">
        <v>88</v>
      </c>
    </row>
    <row r="3" spans="1:35">
      <c r="A3" s="220">
        <v>2001</v>
      </c>
      <c r="B3" s="224">
        <f t="shared" ref="B3:D22" si="0">SUM(B67)</f>
        <v>1.0836394780857617E-3</v>
      </c>
      <c r="C3" s="223">
        <f t="shared" si="0"/>
        <v>0</v>
      </c>
      <c r="D3" s="247">
        <f t="shared" si="0"/>
        <v>1.9742220790803693E-3</v>
      </c>
    </row>
    <row r="4" spans="1:35">
      <c r="A4" s="220">
        <v>2002</v>
      </c>
      <c r="B4" s="224">
        <f t="shared" si="0"/>
        <v>1.2659286147514003E-3</v>
      </c>
      <c r="C4" s="223">
        <f t="shared" si="0"/>
        <v>1.8228913666563863E-4</v>
      </c>
      <c r="D4" s="247">
        <f t="shared" si="0"/>
        <v>2.015415690682957E-3</v>
      </c>
      <c r="I4" s="248"/>
      <c r="J4" s="248"/>
      <c r="L4" s="249"/>
      <c r="AI4" s="232"/>
    </row>
    <row r="5" spans="1:35">
      <c r="A5" s="220">
        <v>2003</v>
      </c>
      <c r="B5" s="224">
        <f t="shared" si="0"/>
        <v>1.3318029429257947E-3</v>
      </c>
      <c r="C5" s="223">
        <f t="shared" si="0"/>
        <v>6.5874328174394398E-5</v>
      </c>
      <c r="D5" s="247">
        <f t="shared" si="0"/>
        <v>8.7040600655831867E-4</v>
      </c>
      <c r="I5" s="248"/>
      <c r="J5" s="248"/>
      <c r="L5" s="249"/>
      <c r="AI5" s="232"/>
    </row>
    <row r="6" spans="1:35">
      <c r="A6" s="220">
        <v>2004</v>
      </c>
      <c r="B6" s="224">
        <f t="shared" si="0"/>
        <v>1.4784792888210773E-3</v>
      </c>
      <c r="C6" s="223">
        <f t="shared" si="0"/>
        <v>1.4667634589528257E-4</v>
      </c>
      <c r="D6" s="247">
        <f t="shared" si="0"/>
        <v>1.9262827020198631E-3</v>
      </c>
      <c r="I6" s="248"/>
      <c r="J6" s="248"/>
      <c r="L6" s="249"/>
      <c r="AI6" s="232"/>
    </row>
    <row r="7" spans="1:35">
      <c r="A7" s="220">
        <v>2005</v>
      </c>
      <c r="B7" s="224">
        <f t="shared" si="0"/>
        <v>2.0529919445546572E-3</v>
      </c>
      <c r="C7" s="223">
        <f t="shared" si="0"/>
        <v>5.7451265573357996E-4</v>
      </c>
      <c r="D7" s="247">
        <f t="shared" si="0"/>
        <v>6.7691335714153813E-3</v>
      </c>
      <c r="I7" s="248"/>
      <c r="J7" s="248"/>
      <c r="L7" s="249"/>
      <c r="AI7" s="232"/>
    </row>
    <row r="8" spans="1:35">
      <c r="A8" s="220">
        <v>2006</v>
      </c>
      <c r="B8" s="224">
        <f t="shared" si="0"/>
        <v>2.9293115736664689E-3</v>
      </c>
      <c r="C8" s="223">
        <f t="shared" si="0"/>
        <v>8.7631962911181166E-4</v>
      </c>
      <c r="D8" s="247">
        <f t="shared" si="0"/>
        <v>1.0424415267521388E-2</v>
      </c>
      <c r="I8" s="248"/>
      <c r="J8" s="248"/>
      <c r="L8" s="249"/>
      <c r="AI8" s="232"/>
    </row>
    <row r="9" spans="1:35">
      <c r="A9" s="220">
        <v>2007</v>
      </c>
      <c r="B9" s="224">
        <f t="shared" si="0"/>
        <v>4.2690613139991663E-3</v>
      </c>
      <c r="C9" s="223">
        <f t="shared" si="0"/>
        <v>1.3397497403326974E-3</v>
      </c>
      <c r="D9" s="247">
        <f t="shared" si="0"/>
        <v>1.6217682581619167E-2</v>
      </c>
      <c r="I9" s="248"/>
      <c r="J9" s="248"/>
      <c r="L9" s="249"/>
    </row>
    <row r="10" spans="1:35">
      <c r="A10" s="220">
        <v>2008</v>
      </c>
      <c r="B10" s="224">
        <f t="shared" si="0"/>
        <v>4.7215795033988782E-3</v>
      </c>
      <c r="C10" s="223">
        <f t="shared" si="0"/>
        <v>4.525181893997119E-4</v>
      </c>
      <c r="D10" s="247">
        <f t="shared" si="0"/>
        <v>6.3438550700995978E-3</v>
      </c>
      <c r="I10" s="248"/>
      <c r="J10" s="248"/>
      <c r="L10" s="249"/>
    </row>
    <row r="11" spans="1:35">
      <c r="A11" s="220">
        <v>2009</v>
      </c>
      <c r="B11" s="224">
        <f t="shared" si="0"/>
        <v>5.1648227159495734E-3</v>
      </c>
      <c r="C11" s="223">
        <f t="shared" si="0"/>
        <v>4.4324321255069521E-4</v>
      </c>
      <c r="D11" s="247">
        <f t="shared" si="0"/>
        <v>6.5522547434741134E-3</v>
      </c>
      <c r="I11" s="248"/>
      <c r="J11" s="248"/>
      <c r="L11" s="249"/>
    </row>
    <row r="12" spans="1:35">
      <c r="A12" s="220">
        <v>2010</v>
      </c>
      <c r="B12" s="224">
        <f t="shared" si="0"/>
        <v>5.455032817519855E-3</v>
      </c>
      <c r="C12" s="223">
        <f t="shared" si="0"/>
        <v>2.9021010157028165E-4</v>
      </c>
      <c r="D12" s="247">
        <f t="shared" si="0"/>
        <v>4.5586331394394629E-3</v>
      </c>
      <c r="I12" s="248"/>
      <c r="J12" s="248"/>
      <c r="L12" s="249"/>
    </row>
    <row r="13" spans="1:35">
      <c r="A13" s="220">
        <v>2011</v>
      </c>
      <c r="B13" s="224">
        <f t="shared" si="0"/>
        <v>9.2187136637866592E-3</v>
      </c>
      <c r="C13" s="223">
        <f t="shared" si="0"/>
        <v>3.7636808462668042E-3</v>
      </c>
      <c r="D13" s="247">
        <f t="shared" si="0"/>
        <v>5.6627215135122512E-2</v>
      </c>
      <c r="I13" s="248"/>
      <c r="J13" s="248"/>
      <c r="L13" s="249"/>
    </row>
    <row r="14" spans="1:35">
      <c r="A14" s="220">
        <v>2012</v>
      </c>
      <c r="B14" s="224">
        <f t="shared" si="0"/>
        <v>1.4475926782500006E-2</v>
      </c>
      <c r="C14" s="223">
        <f t="shared" si="0"/>
        <v>5.2572131187133466E-3</v>
      </c>
      <c r="D14" s="247">
        <f t="shared" si="0"/>
        <v>7.6645524520776623E-2</v>
      </c>
      <c r="I14" s="248"/>
      <c r="J14" s="248"/>
      <c r="L14" s="249"/>
    </row>
    <row r="15" spans="1:35">
      <c r="A15" s="220">
        <v>2013</v>
      </c>
      <c r="B15" s="224">
        <f t="shared" si="0"/>
        <v>2.1617860645360358E-2</v>
      </c>
      <c r="C15" s="223">
        <f t="shared" si="0"/>
        <v>7.1419338628603522E-3</v>
      </c>
      <c r="D15" s="247">
        <f t="shared" si="0"/>
        <v>9.6689159155001411E-2</v>
      </c>
      <c r="I15" s="248"/>
      <c r="J15" s="248"/>
      <c r="L15" s="249"/>
    </row>
    <row r="16" spans="1:35">
      <c r="A16" s="220">
        <v>2014</v>
      </c>
      <c r="B16" s="224">
        <f t="shared" si="0"/>
        <v>5.5197773916824566E-2</v>
      </c>
      <c r="C16" s="223">
        <f t="shared" si="0"/>
        <v>3.3579913271464208E-2</v>
      </c>
      <c r="D16" s="247">
        <f t="shared" si="0"/>
        <v>0.41564682923651364</v>
      </c>
      <c r="I16" s="248"/>
      <c r="J16" s="248"/>
      <c r="L16" s="249"/>
    </row>
    <row r="17" spans="1:12">
      <c r="A17" s="220">
        <v>2015</v>
      </c>
      <c r="B17" s="224">
        <f t="shared" si="0"/>
        <v>8.2172891322468522E-2</v>
      </c>
      <c r="C17" s="223">
        <f t="shared" si="0"/>
        <v>2.6975117405643956E-2</v>
      </c>
      <c r="D17" s="247">
        <f t="shared" si="0"/>
        <v>0.33058209225583407</v>
      </c>
      <c r="I17" s="248"/>
      <c r="J17" s="248"/>
      <c r="L17" s="249"/>
    </row>
    <row r="18" spans="1:12">
      <c r="A18" s="220">
        <v>2016</v>
      </c>
      <c r="B18" s="224">
        <f t="shared" si="0"/>
        <v>0.10975423442104723</v>
      </c>
      <c r="C18" s="223">
        <f t="shared" si="0"/>
        <v>2.7581343098578709E-2</v>
      </c>
      <c r="D18" s="247">
        <f t="shared" si="0"/>
        <v>0.34142267826006256</v>
      </c>
      <c r="I18" s="248"/>
      <c r="J18" s="248"/>
      <c r="L18" s="249"/>
    </row>
    <row r="19" spans="1:12">
      <c r="A19" s="222">
        <v>2017</v>
      </c>
      <c r="B19" s="218">
        <f t="shared" si="0"/>
        <v>0.13733557751962594</v>
      </c>
      <c r="C19" s="217">
        <f t="shared" si="0"/>
        <v>2.8000000000000001E-2</v>
      </c>
      <c r="D19" s="255">
        <f t="shared" si="0"/>
        <v>0.33443493479718833</v>
      </c>
      <c r="I19" s="248"/>
      <c r="J19" s="248"/>
      <c r="L19" s="249"/>
    </row>
    <row r="20" spans="1:12">
      <c r="A20" s="222">
        <v>2018</v>
      </c>
      <c r="B20" s="218">
        <f t="shared" si="0"/>
        <v>0.16533557751962594</v>
      </c>
      <c r="C20" s="217">
        <f t="shared" si="0"/>
        <v>3.2000000000000001E-2</v>
      </c>
      <c r="D20" s="255">
        <f t="shared" si="0"/>
        <v>0.38221135405392959</v>
      </c>
      <c r="I20" s="248"/>
      <c r="J20" s="248"/>
      <c r="L20" s="249"/>
    </row>
    <row r="21" spans="1:12">
      <c r="A21" s="222">
        <v>2019</v>
      </c>
      <c r="B21" s="218">
        <f t="shared" si="0"/>
        <v>0.19733557751962594</v>
      </c>
      <c r="C21" s="217">
        <f t="shared" si="0"/>
        <v>3.5999999999999997E-2</v>
      </c>
      <c r="D21" s="255">
        <f t="shared" si="0"/>
        <v>0.42998777331067078</v>
      </c>
      <c r="I21" s="248"/>
      <c r="J21" s="248"/>
      <c r="L21" s="249"/>
    </row>
    <row r="22" spans="1:12">
      <c r="A22" s="222">
        <v>2020</v>
      </c>
      <c r="B22" s="218">
        <f t="shared" si="0"/>
        <v>0.23333557751962594</v>
      </c>
      <c r="C22" s="217">
        <f t="shared" si="0"/>
        <v>0.04</v>
      </c>
      <c r="D22" s="255">
        <f t="shared" si="0"/>
        <v>0.47776419256741198</v>
      </c>
      <c r="I22" s="248"/>
      <c r="J22" s="248"/>
      <c r="L22" s="249"/>
    </row>
    <row r="23" spans="1:12">
      <c r="A23" s="222">
        <v>2021</v>
      </c>
      <c r="B23" s="218">
        <f t="shared" ref="B23:D42" si="1">SUM(B87)</f>
        <v>0.27333557751962595</v>
      </c>
      <c r="C23" s="217">
        <f t="shared" si="1"/>
        <v>4.3999999999999997E-2</v>
      </c>
      <c r="D23" s="255">
        <f t="shared" si="1"/>
        <v>0.52554061182415313</v>
      </c>
      <c r="I23" s="248"/>
      <c r="J23" s="248"/>
      <c r="L23" s="249"/>
    </row>
    <row r="24" spans="1:12">
      <c r="A24" s="222">
        <v>2022</v>
      </c>
      <c r="B24" s="218">
        <f t="shared" si="1"/>
        <v>0.31733557751962593</v>
      </c>
      <c r="C24" s="217">
        <f t="shared" si="1"/>
        <v>4.8000000000000001E-2</v>
      </c>
      <c r="D24" s="255">
        <f t="shared" si="1"/>
        <v>0.57331703108089449</v>
      </c>
      <c r="I24" s="248"/>
      <c r="J24" s="248"/>
      <c r="L24" s="249"/>
    </row>
    <row r="25" spans="1:12">
      <c r="A25" s="222">
        <v>2023</v>
      </c>
      <c r="B25" s="218">
        <f t="shared" si="1"/>
        <v>0.36533557751962592</v>
      </c>
      <c r="C25" s="217">
        <f t="shared" si="1"/>
        <v>5.1999999999999998E-2</v>
      </c>
      <c r="D25" s="255">
        <f t="shared" si="1"/>
        <v>0.62109345033763563</v>
      </c>
      <c r="I25" s="248"/>
      <c r="J25" s="248"/>
      <c r="L25" s="249"/>
    </row>
    <row r="26" spans="1:12">
      <c r="A26" s="222">
        <v>2024</v>
      </c>
      <c r="B26" s="218">
        <f t="shared" si="1"/>
        <v>0.41733557751962591</v>
      </c>
      <c r="C26" s="217">
        <f t="shared" si="1"/>
        <v>5.6000000000000001E-2</v>
      </c>
      <c r="D26" s="255">
        <f t="shared" si="1"/>
        <v>0.66886986959437678</v>
      </c>
      <c r="I26" s="248"/>
      <c r="J26" s="248"/>
      <c r="L26" s="249"/>
    </row>
    <row r="27" spans="1:12">
      <c r="A27" s="222">
        <v>2025</v>
      </c>
      <c r="B27" s="218">
        <f t="shared" si="1"/>
        <v>0.47333557751962591</v>
      </c>
      <c r="C27" s="217">
        <f t="shared" si="1"/>
        <v>0.06</v>
      </c>
      <c r="D27" s="255">
        <f t="shared" si="1"/>
        <v>0.71664628885111803</v>
      </c>
      <c r="I27" s="248"/>
      <c r="J27" s="248"/>
      <c r="L27" s="249"/>
    </row>
    <row r="28" spans="1:12">
      <c r="A28" s="222">
        <v>2026</v>
      </c>
      <c r="B28" s="218">
        <f t="shared" si="1"/>
        <v>0.5333355775196259</v>
      </c>
      <c r="C28" s="217">
        <f t="shared" si="1"/>
        <v>6.4000000000000001E-2</v>
      </c>
      <c r="D28" s="255">
        <f t="shared" si="1"/>
        <v>0.76442270810785906</v>
      </c>
      <c r="I28" s="248"/>
      <c r="J28" s="248"/>
      <c r="L28" s="249"/>
    </row>
    <row r="29" spans="1:12">
      <c r="A29" s="222">
        <v>2027</v>
      </c>
      <c r="B29" s="218">
        <f t="shared" si="1"/>
        <v>0.59733557751962585</v>
      </c>
      <c r="C29" s="217">
        <f t="shared" si="1"/>
        <v>6.8000000000000005E-2</v>
      </c>
      <c r="D29" s="255">
        <f t="shared" si="1"/>
        <v>0.81219912736460032</v>
      </c>
      <c r="I29" s="248"/>
      <c r="J29" s="248"/>
      <c r="L29" s="249"/>
    </row>
    <row r="30" spans="1:12">
      <c r="A30" s="235">
        <v>2028</v>
      </c>
      <c r="B30" s="218">
        <f t="shared" si="1"/>
        <v>0.66533557751962591</v>
      </c>
      <c r="C30" s="217">
        <f t="shared" si="1"/>
        <v>7.1999999999999995E-2</v>
      </c>
      <c r="D30" s="255">
        <f t="shared" si="1"/>
        <v>0.85997554662134157</v>
      </c>
      <c r="I30" s="248"/>
      <c r="J30" s="248"/>
      <c r="L30" s="249"/>
    </row>
    <row r="31" spans="1:12">
      <c r="A31" s="235">
        <v>2029</v>
      </c>
      <c r="B31" s="218">
        <f t="shared" si="1"/>
        <v>0.73733557751962586</v>
      </c>
      <c r="C31" s="217">
        <f t="shared" si="1"/>
        <v>7.5999999999999998E-2</v>
      </c>
      <c r="D31" s="255">
        <f t="shared" si="1"/>
        <v>0.90775196587808282</v>
      </c>
      <c r="I31" s="248"/>
      <c r="J31" s="248"/>
      <c r="L31" s="249"/>
    </row>
    <row r="32" spans="1:12">
      <c r="A32" s="235">
        <v>2030</v>
      </c>
      <c r="B32" s="218">
        <f t="shared" si="1"/>
        <v>0.81333557751962582</v>
      </c>
      <c r="C32" s="217">
        <f t="shared" si="1"/>
        <v>0.08</v>
      </c>
      <c r="D32" s="255">
        <f t="shared" si="1"/>
        <v>0.95552838513482397</v>
      </c>
      <c r="I32" s="248"/>
      <c r="J32" s="248"/>
      <c r="L32" s="249"/>
    </row>
    <row r="33" spans="1:12">
      <c r="A33" s="235">
        <v>2031</v>
      </c>
      <c r="B33" s="218">
        <f t="shared" si="1"/>
        <v>0.89333557751962578</v>
      </c>
      <c r="C33" s="217">
        <f t="shared" si="1"/>
        <v>8.4000000000000005E-2</v>
      </c>
      <c r="D33" s="255">
        <f t="shared" si="1"/>
        <v>1.0033048043915651</v>
      </c>
      <c r="I33" s="248"/>
      <c r="J33" s="248"/>
      <c r="L33" s="249"/>
    </row>
    <row r="34" spans="1:12">
      <c r="A34" s="235">
        <v>2032</v>
      </c>
      <c r="B34" s="218">
        <f t="shared" si="1"/>
        <v>0.97733557751962574</v>
      </c>
      <c r="C34" s="217">
        <f t="shared" si="1"/>
        <v>8.7999999999999995E-2</v>
      </c>
      <c r="D34" s="255">
        <f t="shared" si="1"/>
        <v>1.0510812236483065</v>
      </c>
      <c r="I34" s="248"/>
      <c r="J34" s="248"/>
      <c r="L34" s="249"/>
    </row>
    <row r="35" spans="1:12">
      <c r="A35" s="235">
        <v>2033</v>
      </c>
      <c r="B35" s="218">
        <f t="shared" si="1"/>
        <v>1.0653355775196258</v>
      </c>
      <c r="C35" s="217">
        <f t="shared" si="1"/>
        <v>9.1999999999999998E-2</v>
      </c>
      <c r="D35" s="255">
        <f t="shared" si="1"/>
        <v>1.0988576429050476</v>
      </c>
      <c r="I35" s="248"/>
      <c r="J35" s="248"/>
      <c r="L35" s="249"/>
    </row>
    <row r="36" spans="1:12">
      <c r="A36" s="235">
        <v>2034</v>
      </c>
      <c r="B36" s="218">
        <f t="shared" si="1"/>
        <v>1.1573355775196259</v>
      </c>
      <c r="C36" s="217">
        <f t="shared" si="1"/>
        <v>9.6000000000000002E-2</v>
      </c>
      <c r="D36" s="255">
        <f t="shared" si="1"/>
        <v>1.146634062161789</v>
      </c>
      <c r="I36" s="248"/>
      <c r="J36" s="248"/>
      <c r="L36" s="249"/>
    </row>
    <row r="37" spans="1:12">
      <c r="A37" s="235">
        <v>2035</v>
      </c>
      <c r="B37" s="218">
        <f t="shared" si="1"/>
        <v>1.253335577519626</v>
      </c>
      <c r="C37" s="217">
        <f t="shared" si="1"/>
        <v>0.1</v>
      </c>
      <c r="D37" s="255">
        <f t="shared" si="1"/>
        <v>1.1944104814185299</v>
      </c>
      <c r="I37" s="248"/>
      <c r="J37" s="248"/>
      <c r="L37" s="249"/>
    </row>
    <row r="38" spans="1:12">
      <c r="A38" s="235">
        <v>2036</v>
      </c>
      <c r="B38" s="218">
        <f t="shared" si="1"/>
        <v>1.3533355775196261</v>
      </c>
      <c r="C38" s="217">
        <f t="shared" si="1"/>
        <v>0.104</v>
      </c>
      <c r="D38" s="255">
        <f t="shared" si="1"/>
        <v>1.242186900675271</v>
      </c>
      <c r="I38" s="248"/>
      <c r="J38" s="248"/>
      <c r="L38" s="249"/>
    </row>
    <row r="39" spans="1:12">
      <c r="A39" s="235">
        <v>2037</v>
      </c>
      <c r="B39" s="218">
        <f t="shared" si="1"/>
        <v>1.4573355775196262</v>
      </c>
      <c r="C39" s="217">
        <f t="shared" si="1"/>
        <v>0.108</v>
      </c>
      <c r="D39" s="255">
        <f t="shared" si="1"/>
        <v>1.2899633199320124</v>
      </c>
      <c r="I39" s="248"/>
      <c r="J39" s="248"/>
      <c r="L39" s="249"/>
    </row>
    <row r="40" spans="1:12">
      <c r="A40" s="235">
        <v>2038</v>
      </c>
      <c r="B40" s="218">
        <f t="shared" si="1"/>
        <v>1.5653355775196263</v>
      </c>
      <c r="C40" s="217">
        <f t="shared" si="1"/>
        <v>0.112</v>
      </c>
      <c r="D40" s="255">
        <f t="shared" si="1"/>
        <v>1.3377397391887536</v>
      </c>
      <c r="I40" s="248"/>
      <c r="J40" s="248"/>
      <c r="L40" s="249"/>
    </row>
    <row r="41" spans="1:12">
      <c r="A41" s="235">
        <v>2039</v>
      </c>
      <c r="B41" s="218">
        <f t="shared" si="1"/>
        <v>1.6773355775196264</v>
      </c>
      <c r="C41" s="217">
        <f t="shared" si="1"/>
        <v>0.11600000000000001</v>
      </c>
      <c r="D41" s="255">
        <f t="shared" si="1"/>
        <v>1.3855161584454947</v>
      </c>
      <c r="I41" s="248"/>
      <c r="J41" s="248"/>
      <c r="L41" s="249"/>
    </row>
    <row r="42" spans="1:12">
      <c r="A42" s="235">
        <v>2040</v>
      </c>
      <c r="B42" s="218">
        <f t="shared" si="1"/>
        <v>1.7933355775196265</v>
      </c>
      <c r="C42" s="217">
        <f t="shared" si="1"/>
        <v>0.12</v>
      </c>
      <c r="D42" s="255">
        <f t="shared" si="1"/>
        <v>1.4332925777022361</v>
      </c>
      <c r="I42" s="248"/>
      <c r="J42" s="248"/>
      <c r="L42" s="249"/>
    </row>
    <row r="43" spans="1:12">
      <c r="A43" s="235">
        <v>2041</v>
      </c>
      <c r="B43" s="218">
        <f t="shared" ref="B43:D52" si="2">SUM(B107)</f>
        <v>1.9133355775196264</v>
      </c>
      <c r="C43" s="217">
        <f t="shared" si="2"/>
        <v>0.124</v>
      </c>
      <c r="D43" s="255">
        <f t="shared" si="2"/>
        <v>1.4810689969589772</v>
      </c>
      <c r="I43" s="248"/>
      <c r="J43" s="248"/>
      <c r="L43" s="249"/>
    </row>
    <row r="44" spans="1:12">
      <c r="A44" s="235">
        <v>2042</v>
      </c>
      <c r="B44" s="218">
        <f t="shared" si="2"/>
        <v>2.0373355775196265</v>
      </c>
      <c r="C44" s="217">
        <f t="shared" si="2"/>
        <v>0.128</v>
      </c>
      <c r="D44" s="255">
        <f t="shared" si="2"/>
        <v>1.5288454162157183</v>
      </c>
      <c r="I44" s="248"/>
      <c r="J44" s="248"/>
      <c r="L44" s="249"/>
    </row>
    <row r="45" spans="1:12">
      <c r="A45" s="235">
        <v>2043</v>
      </c>
      <c r="B45" s="218">
        <f t="shared" si="2"/>
        <v>2.1653355775196266</v>
      </c>
      <c r="C45" s="217">
        <f t="shared" si="2"/>
        <v>0.13200000000000001</v>
      </c>
      <c r="D45" s="255">
        <f t="shared" si="2"/>
        <v>1.5766218354724595</v>
      </c>
      <c r="I45" s="248"/>
      <c r="J45" s="248"/>
      <c r="L45" s="249"/>
    </row>
    <row r="46" spans="1:12">
      <c r="A46" s="235">
        <v>2044</v>
      </c>
      <c r="B46" s="218">
        <f t="shared" si="2"/>
        <v>2.2973355775196267</v>
      </c>
      <c r="C46" s="217">
        <f t="shared" si="2"/>
        <v>0.13600000000000001</v>
      </c>
      <c r="D46" s="255">
        <f t="shared" si="2"/>
        <v>1.6243982547292011</v>
      </c>
      <c r="I46" s="248"/>
      <c r="J46" s="248"/>
      <c r="L46" s="249"/>
    </row>
    <row r="47" spans="1:12">
      <c r="A47" s="235">
        <v>2045</v>
      </c>
      <c r="B47" s="218">
        <f t="shared" si="2"/>
        <v>2.4333355775196268</v>
      </c>
      <c r="C47" s="217">
        <f t="shared" si="2"/>
        <v>0.14000000000000001</v>
      </c>
      <c r="D47" s="255">
        <f t="shared" si="2"/>
        <v>1.6721746739859422</v>
      </c>
      <c r="I47" s="248"/>
      <c r="J47" s="248"/>
      <c r="L47" s="249"/>
    </row>
    <row r="48" spans="1:12">
      <c r="A48" s="235">
        <v>2046</v>
      </c>
      <c r="B48" s="218">
        <f t="shared" si="2"/>
        <v>2.5733355775196269</v>
      </c>
      <c r="C48" s="217">
        <f t="shared" si="2"/>
        <v>0.14399999999999999</v>
      </c>
      <c r="D48" s="255">
        <f t="shared" si="2"/>
        <v>1.7199510932426827</v>
      </c>
      <c r="I48" s="248"/>
      <c r="J48" s="248"/>
      <c r="L48" s="249"/>
    </row>
    <row r="49" spans="1:17">
      <c r="A49" s="235">
        <v>2047</v>
      </c>
      <c r="B49" s="218">
        <f t="shared" si="2"/>
        <v>2.7173355775196271</v>
      </c>
      <c r="C49" s="217">
        <f t="shared" si="2"/>
        <v>0.14799999999999999</v>
      </c>
      <c r="D49" s="255">
        <f t="shared" si="2"/>
        <v>1.7677275124994243</v>
      </c>
      <c r="I49" s="248"/>
      <c r="J49" s="248"/>
      <c r="L49" s="249"/>
    </row>
    <row r="50" spans="1:17">
      <c r="A50" s="235">
        <v>2048</v>
      </c>
      <c r="B50" s="218">
        <f t="shared" si="2"/>
        <v>2.8653355775196272</v>
      </c>
      <c r="C50" s="217">
        <f t="shared" si="2"/>
        <v>0.152</v>
      </c>
      <c r="D50" s="255">
        <f t="shared" si="2"/>
        <v>1.8155039317561652</v>
      </c>
      <c r="I50" s="248"/>
      <c r="J50" s="248"/>
      <c r="L50" s="249"/>
    </row>
    <row r="51" spans="1:17">
      <c r="A51" s="235">
        <v>2049</v>
      </c>
      <c r="B51" s="218">
        <f t="shared" si="2"/>
        <v>3.0173355775196273</v>
      </c>
      <c r="C51" s="217">
        <f t="shared" si="2"/>
        <v>0.156</v>
      </c>
      <c r="D51" s="255">
        <f t="shared" si="2"/>
        <v>1.8632803510129068</v>
      </c>
      <c r="I51" s="248"/>
      <c r="J51" s="248"/>
      <c r="L51" s="249"/>
    </row>
    <row r="52" spans="1:17">
      <c r="A52" s="235">
        <v>2050</v>
      </c>
      <c r="B52" s="218">
        <f t="shared" si="2"/>
        <v>3.1733355775196275</v>
      </c>
      <c r="C52" s="217">
        <f t="shared" si="2"/>
        <v>0.16</v>
      </c>
      <c r="D52" s="255">
        <f t="shared" si="2"/>
        <v>1.9110567702696479</v>
      </c>
      <c r="I52" s="248"/>
      <c r="J52" s="248"/>
      <c r="L52" s="249"/>
    </row>
    <row r="53" spans="1:17">
      <c r="I53" s="248"/>
      <c r="J53" s="248"/>
      <c r="L53" s="249"/>
    </row>
    <row r="61" spans="1:17">
      <c r="A61" s="507"/>
      <c r="B61" s="507"/>
      <c r="C61" s="242"/>
      <c r="D61" s="243"/>
      <c r="E61" s="229" t="s">
        <v>89</v>
      </c>
      <c r="F61" s="230" t="s">
        <v>90</v>
      </c>
      <c r="G61" s="228"/>
      <c r="H61" s="228" t="s">
        <v>91</v>
      </c>
      <c r="I61" s="228" t="s">
        <v>48</v>
      </c>
      <c r="J61" s="231"/>
      <c r="K61" s="231"/>
      <c r="L61" s="231"/>
      <c r="M61" s="231"/>
      <c r="N61" s="231"/>
      <c r="O61" s="231"/>
      <c r="P61" s="232"/>
      <c r="Q61" s="232"/>
    </row>
    <row r="62" spans="1:17">
      <c r="A62" s="507"/>
      <c r="B62" s="507"/>
      <c r="C62" s="242"/>
      <c r="D62" s="243"/>
      <c r="E62" s="231"/>
      <c r="F62" s="231"/>
      <c r="G62" s="231"/>
      <c r="H62" s="244" t="s">
        <v>38</v>
      </c>
      <c r="I62" s="506">
        <v>3</v>
      </c>
      <c r="J62" s="231"/>
      <c r="K62" s="231"/>
      <c r="L62" s="231"/>
      <c r="M62" s="231"/>
      <c r="N62" s="231"/>
      <c r="O62" s="231"/>
      <c r="P62" s="232"/>
      <c r="Q62" s="232"/>
    </row>
    <row r="63" spans="1:17">
      <c r="A63" s="507"/>
      <c r="B63" s="507"/>
      <c r="C63" s="242"/>
      <c r="D63" s="243"/>
      <c r="E63" s="231"/>
      <c r="F63" s="231" t="s">
        <v>92</v>
      </c>
      <c r="G63" s="264"/>
      <c r="H63" s="244" t="s">
        <v>40</v>
      </c>
      <c r="I63" s="506"/>
      <c r="J63" s="231"/>
      <c r="K63" s="231"/>
      <c r="L63" s="231"/>
      <c r="M63" s="231"/>
      <c r="N63" s="231"/>
      <c r="O63" s="231"/>
      <c r="P63" s="232"/>
      <c r="Q63" s="232"/>
    </row>
    <row r="64" spans="1:17">
      <c r="A64" s="507"/>
      <c r="B64" s="507"/>
      <c r="C64" s="242"/>
      <c r="D64" s="243"/>
      <c r="E64" s="231"/>
      <c r="F64" s="231">
        <v>10</v>
      </c>
      <c r="G64" s="264"/>
      <c r="H64" s="244" t="s">
        <v>42</v>
      </c>
      <c r="I64" s="506"/>
      <c r="J64" s="231"/>
      <c r="K64" s="231"/>
      <c r="L64" s="231"/>
      <c r="M64" s="231"/>
      <c r="N64" s="231"/>
      <c r="O64" s="231"/>
      <c r="P64" s="232"/>
      <c r="Q64" s="232"/>
    </row>
    <row r="65" spans="1:17">
      <c r="A65" s="245"/>
      <c r="B65" s="245"/>
      <c r="C65" s="245"/>
      <c r="D65" s="245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2"/>
      <c r="Q65" s="232"/>
    </row>
    <row r="66" spans="1:17">
      <c r="A66" s="246" t="s">
        <v>43</v>
      </c>
      <c r="B66" s="246" t="s">
        <v>44</v>
      </c>
      <c r="C66" s="246" t="s">
        <v>45</v>
      </c>
      <c r="D66" s="246" t="s">
        <v>47</v>
      </c>
      <c r="E66" s="198" t="s">
        <v>48</v>
      </c>
      <c r="F66" s="198" t="s">
        <v>49</v>
      </c>
      <c r="G66" s="198" t="s">
        <v>50</v>
      </c>
      <c r="H66" s="198" t="s">
        <v>51</v>
      </c>
      <c r="I66" s="198" t="s">
        <v>52</v>
      </c>
      <c r="J66" s="198" t="s">
        <v>53</v>
      </c>
      <c r="K66" s="198" t="s">
        <v>93</v>
      </c>
      <c r="L66" s="198" t="s">
        <v>94</v>
      </c>
      <c r="M66" s="198" t="s">
        <v>54</v>
      </c>
      <c r="N66" s="198" t="s">
        <v>55</v>
      </c>
      <c r="O66" s="198" t="s">
        <v>56</v>
      </c>
      <c r="P66" s="198" t="s">
        <v>57</v>
      </c>
      <c r="Q66" s="198" t="s">
        <v>58</v>
      </c>
    </row>
    <row r="67" spans="1:17">
      <c r="A67" s="250">
        <v>2001</v>
      </c>
      <c r="B67" s="251">
        <f t="shared" ref="B67:B82" si="3">SUM(J67/E67)*100</f>
        <v>1.0836394780857617E-3</v>
      </c>
      <c r="C67" s="201">
        <v>0</v>
      </c>
      <c r="D67" s="202">
        <f t="shared" ref="D67:D98" si="4">(SUM(H67/F67))*100</f>
        <v>1.9742220790803693E-3</v>
      </c>
      <c r="E67" s="203">
        <f>(SUM('PRs Analysis'!B10))*1000</f>
        <v>25100599.000000004</v>
      </c>
      <c r="F67" s="204">
        <v>2583296</v>
      </c>
      <c r="G67" s="204">
        <v>2583219</v>
      </c>
      <c r="H67" s="252">
        <f>(SUM('PRs Analysis'!I10))*1000</f>
        <v>51.000000000000014</v>
      </c>
      <c r="I67" s="204"/>
      <c r="J67" s="253">
        <f>(SUM('PRs Analysis'!H10))*1000</f>
        <v>272</v>
      </c>
      <c r="K67" s="265">
        <f>SUM(L67/E67)*100</f>
        <v>2.2071186428658531E-3</v>
      </c>
      <c r="L67" s="252">
        <f>(SUM('PRs Analysis'!N10))*1000</f>
        <v>554</v>
      </c>
      <c r="M67" s="204">
        <f>SUM(E67-J67-L67)</f>
        <v>25099773.000000004</v>
      </c>
      <c r="N67" s="204"/>
      <c r="O67" s="204"/>
      <c r="P67" s="204">
        <v>0</v>
      </c>
      <c r="Q67" s="254">
        <f t="shared" ref="Q67:Q82" si="5">SUM(F67/E67)</f>
        <v>0.10291770327871456</v>
      </c>
    </row>
    <row r="68" spans="1:17">
      <c r="A68" s="250">
        <v>2002</v>
      </c>
      <c r="B68" s="251">
        <f t="shared" si="3"/>
        <v>1.2659286147514003E-3</v>
      </c>
      <c r="C68" s="201">
        <f t="shared" ref="C68:C82" si="6">SUM((B68-B67)/(A68-A67))</f>
        <v>1.8228913666563863E-4</v>
      </c>
      <c r="D68" s="202">
        <f t="shared" si="4"/>
        <v>2.015415690682957E-3</v>
      </c>
      <c r="E68" s="203">
        <f>(SUM('PRs Analysis'!B11))*1000</f>
        <v>25751846.999999996</v>
      </c>
      <c r="F68" s="204">
        <v>2679348</v>
      </c>
      <c r="G68" s="204">
        <v>2679286</v>
      </c>
      <c r="H68" s="252">
        <f>(SUM('PRs Analysis'!I11))*1000</f>
        <v>53.999999999999993</v>
      </c>
      <c r="I68" s="204">
        <f t="shared" ref="I68:I99" si="7">SUM(E68-E67)</f>
        <v>651247.99999999255</v>
      </c>
      <c r="J68" s="253">
        <f>(SUM('PRs Analysis'!H11))*1000</f>
        <v>326</v>
      </c>
      <c r="K68" s="265">
        <f t="shared" ref="K68:K116" si="8">SUM(L68/E68)*100</f>
        <v>3.3279166344845094E-3</v>
      </c>
      <c r="L68" s="252">
        <f>(SUM('PRs Analysis'!N11))*1000</f>
        <v>857</v>
      </c>
      <c r="M68" s="204">
        <f t="shared" ref="M68:M116" si="9">SUM(E68-J68-L68)</f>
        <v>25750663.999999996</v>
      </c>
      <c r="N68" s="204"/>
      <c r="O68" s="204"/>
      <c r="P68" s="204">
        <v>0</v>
      </c>
      <c r="Q68" s="254">
        <f t="shared" si="5"/>
        <v>0.10404488656677714</v>
      </c>
    </row>
    <row r="69" spans="1:17">
      <c r="A69" s="250">
        <v>2003</v>
      </c>
      <c r="B69" s="251">
        <f t="shared" si="3"/>
        <v>1.3318029429257947E-3</v>
      </c>
      <c r="C69" s="201">
        <f t="shared" si="6"/>
        <v>6.5874328174394398E-5</v>
      </c>
      <c r="D69" s="202">
        <f t="shared" si="4"/>
        <v>8.7040600655831867E-4</v>
      </c>
      <c r="E69" s="203">
        <f>(SUM('PRs Analysis'!B12))*1000</f>
        <v>26205078</v>
      </c>
      <c r="F69" s="204">
        <v>2642445</v>
      </c>
      <c r="G69" s="204">
        <v>2642406</v>
      </c>
      <c r="H69" s="252">
        <f>(SUM('PRs Analysis'!I12))*1000</f>
        <v>22.999999999999964</v>
      </c>
      <c r="I69" s="204">
        <f t="shared" si="7"/>
        <v>453231.00000000373</v>
      </c>
      <c r="J69" s="253">
        <f>(SUM('PRs Analysis'!H12))*1000</f>
        <v>349</v>
      </c>
      <c r="K69" s="265">
        <f t="shared" si="8"/>
        <v>4.7509875757668039E-3</v>
      </c>
      <c r="L69" s="252">
        <f>(SUM('PRs Analysis'!N12))*1000</f>
        <v>1245</v>
      </c>
      <c r="M69" s="204">
        <f t="shared" si="9"/>
        <v>26203484</v>
      </c>
      <c r="N69" s="204"/>
      <c r="O69" s="204"/>
      <c r="P69" s="204">
        <v>0</v>
      </c>
      <c r="Q69" s="254">
        <f t="shared" si="5"/>
        <v>0.10083713545901295</v>
      </c>
    </row>
    <row r="70" spans="1:17">
      <c r="A70" s="250">
        <v>2004</v>
      </c>
      <c r="B70" s="251">
        <f t="shared" si="3"/>
        <v>1.4784792888210773E-3</v>
      </c>
      <c r="C70" s="201">
        <f t="shared" si="6"/>
        <v>1.4667634589528257E-4</v>
      </c>
      <c r="D70" s="202">
        <f t="shared" si="4"/>
        <v>1.9262827020198631E-3</v>
      </c>
      <c r="E70" s="203">
        <f>(SUM('PRs Analysis'!B13))*1000</f>
        <v>26987189</v>
      </c>
      <c r="F70" s="204">
        <v>2595673</v>
      </c>
      <c r="G70" s="204">
        <v>2595583</v>
      </c>
      <c r="H70" s="252">
        <f>(SUM('PRs Analysis'!I13))*1000</f>
        <v>50.000000000000043</v>
      </c>
      <c r="I70" s="204">
        <f t="shared" si="7"/>
        <v>782111</v>
      </c>
      <c r="J70" s="253">
        <f>(SUM('PRs Analysis'!H13))*1000</f>
        <v>399</v>
      </c>
      <c r="K70" s="265">
        <f t="shared" si="8"/>
        <v>1.035676594550103E-2</v>
      </c>
      <c r="L70" s="252">
        <f>(SUM('PRs Analysis'!N13))*1000</f>
        <v>2795</v>
      </c>
      <c r="M70" s="204">
        <f t="shared" si="9"/>
        <v>26983995</v>
      </c>
      <c r="N70" s="204"/>
      <c r="O70" s="204"/>
      <c r="P70" s="204">
        <v>0</v>
      </c>
      <c r="Q70" s="254">
        <f t="shared" si="5"/>
        <v>9.6181673459951683E-2</v>
      </c>
    </row>
    <row r="71" spans="1:17">
      <c r="A71" s="250">
        <v>2005</v>
      </c>
      <c r="B71" s="251">
        <f t="shared" si="3"/>
        <v>2.0529919445546572E-3</v>
      </c>
      <c r="C71" s="201">
        <f t="shared" si="6"/>
        <v>5.7451265573357996E-4</v>
      </c>
      <c r="D71" s="202">
        <f t="shared" si="4"/>
        <v>6.7691335714153813E-3</v>
      </c>
      <c r="E71" s="203">
        <f>(SUM('PRs Analysis'!B14))*1000</f>
        <v>27472100</v>
      </c>
      <c r="F71" s="204">
        <v>2437535</v>
      </c>
      <c r="G71" s="204">
        <v>2437312</v>
      </c>
      <c r="H71" s="252">
        <f>(SUM('PRs Analysis'!I14))*1000</f>
        <v>164.99999999999991</v>
      </c>
      <c r="I71" s="204">
        <f t="shared" si="7"/>
        <v>484911</v>
      </c>
      <c r="J71" s="253">
        <f>(SUM('PRs Analysis'!H14))*1000</f>
        <v>564</v>
      </c>
      <c r="K71" s="265">
        <f t="shared" si="8"/>
        <v>2.9357056795803738E-2</v>
      </c>
      <c r="L71" s="252">
        <f>(SUM('PRs Analysis'!N14))*1000</f>
        <v>8064.9999999999991</v>
      </c>
      <c r="M71" s="204">
        <f t="shared" si="9"/>
        <v>27463471</v>
      </c>
      <c r="N71" s="204"/>
      <c r="O71" s="204"/>
      <c r="P71" s="204">
        <v>0</v>
      </c>
      <c r="Q71" s="254">
        <f t="shared" si="5"/>
        <v>8.8727654602305611E-2</v>
      </c>
    </row>
    <row r="72" spans="1:17">
      <c r="A72" s="250">
        <v>2006</v>
      </c>
      <c r="B72" s="251">
        <f t="shared" si="3"/>
        <v>2.9293115736664689E-3</v>
      </c>
      <c r="C72" s="201">
        <f t="shared" si="6"/>
        <v>8.7631962911181166E-4</v>
      </c>
      <c r="D72" s="202">
        <f t="shared" si="4"/>
        <v>1.0424415267521388E-2</v>
      </c>
      <c r="E72" s="203">
        <f>(SUM('PRs Analysis'!B15))*1000</f>
        <v>27549135</v>
      </c>
      <c r="F72" s="204">
        <v>2331066</v>
      </c>
      <c r="G72" s="204">
        <v>2330745</v>
      </c>
      <c r="H72" s="252">
        <f>(SUM('PRs Analysis'!I15))*1000</f>
        <v>243.00000000000011</v>
      </c>
      <c r="I72" s="204">
        <f t="shared" si="7"/>
        <v>77035</v>
      </c>
      <c r="J72" s="253">
        <f>(SUM('PRs Analysis'!H15))*1000</f>
        <v>807</v>
      </c>
      <c r="K72" s="265">
        <f t="shared" si="8"/>
        <v>6.0433839392779486E-2</v>
      </c>
      <c r="L72" s="252">
        <f>(SUM('PRs Analysis'!N15))*1000</f>
        <v>16649</v>
      </c>
      <c r="M72" s="204">
        <f t="shared" si="9"/>
        <v>27531679</v>
      </c>
      <c r="N72" s="204"/>
      <c r="O72" s="204"/>
      <c r="P72" s="204">
        <v>0</v>
      </c>
      <c r="Q72" s="254">
        <f t="shared" si="5"/>
        <v>8.4614852698641899E-2</v>
      </c>
    </row>
    <row r="73" spans="1:17">
      <c r="A73" s="250">
        <v>2007</v>
      </c>
      <c r="B73" s="251">
        <f t="shared" si="3"/>
        <v>4.2690613139991663E-3</v>
      </c>
      <c r="C73" s="201">
        <f t="shared" si="6"/>
        <v>1.3397497403326974E-3</v>
      </c>
      <c r="D73" s="202">
        <f t="shared" si="4"/>
        <v>1.6217682581619167E-2</v>
      </c>
      <c r="E73" s="203">
        <f>(SUM('PRs Analysis'!B16))*1000</f>
        <v>27921828.999999996</v>
      </c>
      <c r="F73" s="204">
        <v>2373952</v>
      </c>
      <c r="G73" s="204">
        <v>2373502</v>
      </c>
      <c r="H73" s="252">
        <f>(SUM('PRs Analysis'!I16))*1000</f>
        <v>384.99999999999989</v>
      </c>
      <c r="I73" s="204">
        <f t="shared" si="7"/>
        <v>372693.99999999627</v>
      </c>
      <c r="J73" s="253">
        <f>(SUM('PRs Analysis'!H16))*1000</f>
        <v>1192</v>
      </c>
      <c r="K73" s="265">
        <f t="shared" si="8"/>
        <v>0.11379627029447106</v>
      </c>
      <c r="L73" s="252">
        <f>(SUM('PRs Analysis'!N16))*1000</f>
        <v>31774</v>
      </c>
      <c r="M73" s="204">
        <f t="shared" si="9"/>
        <v>27888862.999999996</v>
      </c>
      <c r="N73" s="204"/>
      <c r="O73" s="204"/>
      <c r="P73" s="204">
        <v>0</v>
      </c>
      <c r="Q73" s="254">
        <f t="shared" si="5"/>
        <v>8.5021364467205943E-2</v>
      </c>
    </row>
    <row r="74" spans="1:17">
      <c r="A74" s="250">
        <v>2008</v>
      </c>
      <c r="B74" s="251">
        <f t="shared" si="3"/>
        <v>4.7215795033988782E-3</v>
      </c>
      <c r="C74" s="201">
        <f t="shared" si="6"/>
        <v>4.525181893997119E-4</v>
      </c>
      <c r="D74" s="202">
        <f t="shared" si="4"/>
        <v>6.3438550700995978E-3</v>
      </c>
      <c r="E74" s="203">
        <f>(SUM('PRs Analysis'!B17))*1000</f>
        <v>28062643</v>
      </c>
      <c r="F74" s="204">
        <v>2096517</v>
      </c>
      <c r="G74" s="204">
        <v>2096297</v>
      </c>
      <c r="H74" s="252">
        <f>(SUM('PRs Analysis'!I17))*1000</f>
        <v>133</v>
      </c>
      <c r="I74" s="204">
        <f t="shared" si="7"/>
        <v>140814.00000000373</v>
      </c>
      <c r="J74" s="253">
        <f>(SUM('PRs Analysis'!H17))*1000</f>
        <v>1325</v>
      </c>
      <c r="K74" s="265">
        <f t="shared" si="8"/>
        <v>0.16657732487991242</v>
      </c>
      <c r="L74" s="252">
        <f>(SUM('PRs Analysis'!N17))*1000</f>
        <v>46746</v>
      </c>
      <c r="M74" s="204">
        <f t="shared" si="9"/>
        <v>28014572</v>
      </c>
      <c r="N74" s="204"/>
      <c r="O74" s="204"/>
      <c r="P74" s="204">
        <v>0</v>
      </c>
      <c r="Q74" s="254">
        <f t="shared" si="5"/>
        <v>7.4708465628130605E-2</v>
      </c>
    </row>
    <row r="75" spans="1:17">
      <c r="A75" s="250">
        <v>2009</v>
      </c>
      <c r="B75" s="251">
        <f t="shared" si="3"/>
        <v>5.1648227159495734E-3</v>
      </c>
      <c r="C75" s="201">
        <f t="shared" si="6"/>
        <v>4.4324321255069521E-4</v>
      </c>
      <c r="D75" s="202">
        <f t="shared" si="4"/>
        <v>6.5522547434741134E-3</v>
      </c>
      <c r="E75" s="203">
        <f>(SUM('PRs Analysis'!B18))*1000</f>
        <v>28132621</v>
      </c>
      <c r="F75" s="204">
        <v>1953526</v>
      </c>
      <c r="G75" s="204">
        <v>1953344</v>
      </c>
      <c r="H75" s="252">
        <f>(SUM('PRs Analysis'!I18))*1000</f>
        <v>128.00000000000011</v>
      </c>
      <c r="I75" s="204">
        <f t="shared" si="7"/>
        <v>69978</v>
      </c>
      <c r="J75" s="253">
        <f>(SUM('PRs Analysis'!H18))*1000</f>
        <v>1453</v>
      </c>
      <c r="K75" s="265">
        <f t="shared" si="8"/>
        <v>0.21702919184103039</v>
      </c>
      <c r="L75" s="252">
        <f>(SUM('PRs Analysis'!N18))*1000</f>
        <v>61056</v>
      </c>
      <c r="M75" s="204">
        <f t="shared" si="9"/>
        <v>28070112</v>
      </c>
      <c r="N75" s="204"/>
      <c r="O75" s="204"/>
      <c r="P75" s="204">
        <v>0</v>
      </c>
      <c r="Q75" s="254">
        <f t="shared" si="5"/>
        <v>6.9439886173421242E-2</v>
      </c>
    </row>
    <row r="76" spans="1:17">
      <c r="A76" s="250">
        <v>2010</v>
      </c>
      <c r="B76" s="251">
        <f t="shared" si="3"/>
        <v>5.455032817519855E-3</v>
      </c>
      <c r="C76" s="201">
        <f t="shared" si="6"/>
        <v>2.9021010157028165E-4</v>
      </c>
      <c r="D76" s="202">
        <f t="shared" si="4"/>
        <v>4.5586331394394629E-3</v>
      </c>
      <c r="E76" s="203">
        <f>(SUM('PRs Analysis'!B19))*1000</f>
        <v>28285805.999999996</v>
      </c>
      <c r="F76" s="204">
        <v>1974276</v>
      </c>
      <c r="G76" s="204">
        <v>1974020</v>
      </c>
      <c r="H76" s="252">
        <f>(SUM('PRs Analysis'!I19))*1000</f>
        <v>89.999999999999858</v>
      </c>
      <c r="I76" s="204">
        <f t="shared" si="7"/>
        <v>153184.99999999627</v>
      </c>
      <c r="J76" s="253">
        <f>(SUM('PRs Analysis'!H19))*1000</f>
        <v>1543</v>
      </c>
      <c r="K76" s="265">
        <f t="shared" si="8"/>
        <v>0.29023037208131885</v>
      </c>
      <c r="L76" s="252">
        <f>(SUM('PRs Analysis'!N19))*1000</f>
        <v>82094</v>
      </c>
      <c r="M76" s="204">
        <f t="shared" si="9"/>
        <v>28202168.999999996</v>
      </c>
      <c r="N76" s="204"/>
      <c r="O76" s="204"/>
      <c r="P76" s="204">
        <v>0</v>
      </c>
      <c r="Q76" s="254">
        <f t="shared" si="5"/>
        <v>6.9797410050821962E-2</v>
      </c>
    </row>
    <row r="77" spans="1:17">
      <c r="A77" s="250">
        <v>2011</v>
      </c>
      <c r="B77" s="251">
        <f t="shared" si="3"/>
        <v>9.2187136637866592E-3</v>
      </c>
      <c r="C77" s="201">
        <f t="shared" si="6"/>
        <v>3.7636808462668042E-3</v>
      </c>
      <c r="D77" s="202">
        <f t="shared" si="4"/>
        <v>5.6627215135122512E-2</v>
      </c>
      <c r="E77" s="203">
        <f>(SUM('PRs Analysis'!B20))*1000</f>
        <v>28311976.000000004</v>
      </c>
      <c r="F77" s="204">
        <v>1884253</v>
      </c>
      <c r="G77" s="204">
        <v>1883045</v>
      </c>
      <c r="H77" s="252">
        <f>(SUM('PRs Analysis'!I20))*1000</f>
        <v>1067</v>
      </c>
      <c r="I77" s="204">
        <f t="shared" si="7"/>
        <v>26170.000000007451</v>
      </c>
      <c r="J77" s="253">
        <f>(SUM('PRs Analysis'!H20))*1000</f>
        <v>2610</v>
      </c>
      <c r="K77" s="265">
        <f t="shared" si="8"/>
        <v>0.36133472280422951</v>
      </c>
      <c r="L77" s="252">
        <f>(SUM('PRs Analysis'!N20))*1000</f>
        <v>102301</v>
      </c>
      <c r="M77" s="204">
        <f t="shared" si="9"/>
        <v>28207065.000000004</v>
      </c>
      <c r="N77" s="204">
        <f t="shared" ref="N77:N116" ca="1" si="10">SUM(O77+P77)</f>
        <v>2583270</v>
      </c>
      <c r="O77" s="204">
        <f t="shared" ref="O77:O116" ca="1" si="11">OFFSET(G77,-$F$64,0,1,1)</f>
        <v>2583219</v>
      </c>
      <c r="P77" s="204">
        <f t="shared" ref="P77:P116" ca="1" si="12">OFFSET(H77,-$F$64,0,1,1)</f>
        <v>51.000000000000014</v>
      </c>
      <c r="Q77" s="254">
        <f t="shared" si="5"/>
        <v>6.6553214088624538E-2</v>
      </c>
    </row>
    <row r="78" spans="1:17">
      <c r="A78" s="250">
        <v>2012</v>
      </c>
      <c r="B78" s="251">
        <f t="shared" si="3"/>
        <v>1.4475926782500006E-2</v>
      </c>
      <c r="C78" s="201">
        <f t="shared" si="6"/>
        <v>5.2572131187133466E-3</v>
      </c>
      <c r="D78" s="202">
        <f t="shared" si="4"/>
        <v>7.6645524520776623E-2</v>
      </c>
      <c r="E78" s="203">
        <f>(SUM('PRs Analysis'!B21))*1000</f>
        <v>28543941</v>
      </c>
      <c r="F78" s="204">
        <v>1985765</v>
      </c>
      <c r="G78" s="204">
        <v>1983638</v>
      </c>
      <c r="H78" s="252">
        <f>(SUM('PRs Analysis'!I21))*1000</f>
        <v>1521.9999999999998</v>
      </c>
      <c r="I78" s="204">
        <f t="shared" si="7"/>
        <v>231964.99999999627</v>
      </c>
      <c r="J78" s="253">
        <f>(SUM('PRs Analysis'!H21))*1000</f>
        <v>4132</v>
      </c>
      <c r="K78" s="265">
        <f t="shared" si="8"/>
        <v>0.438867218790846</v>
      </c>
      <c r="L78" s="252">
        <f>(SUM('PRs Analysis'!N21))*1000</f>
        <v>125270</v>
      </c>
      <c r="M78" s="204">
        <f t="shared" si="9"/>
        <v>28414539</v>
      </c>
      <c r="N78" s="204">
        <f t="shared" ca="1" si="10"/>
        <v>2679340</v>
      </c>
      <c r="O78" s="204">
        <f t="shared" ca="1" si="11"/>
        <v>2679286</v>
      </c>
      <c r="P78" s="204">
        <f t="shared" ca="1" si="12"/>
        <v>53.999999999999993</v>
      </c>
      <c r="Q78" s="254">
        <f t="shared" si="5"/>
        <v>6.9568704615806207E-2</v>
      </c>
    </row>
    <row r="79" spans="1:17">
      <c r="A79" s="250">
        <v>2013</v>
      </c>
      <c r="B79" s="251">
        <f t="shared" si="3"/>
        <v>2.1617860645360358E-2</v>
      </c>
      <c r="C79" s="201">
        <f t="shared" si="6"/>
        <v>7.1419338628603522E-3</v>
      </c>
      <c r="D79" s="202">
        <f t="shared" si="4"/>
        <v>9.6689159155001411E-2</v>
      </c>
      <c r="E79" s="203">
        <f>(SUM('PRs Analysis'!B22))*1000</f>
        <v>28934408.000000004</v>
      </c>
      <c r="F79" s="204">
        <v>2195696</v>
      </c>
      <c r="G79" s="204">
        <v>2192831</v>
      </c>
      <c r="H79" s="252">
        <f>(SUM('PRs Analysis'!I22))*1000</f>
        <v>2123</v>
      </c>
      <c r="I79" s="204">
        <f t="shared" si="7"/>
        <v>390467.00000000373</v>
      </c>
      <c r="J79" s="253">
        <f>(SUM('PRs Analysis'!H22))*1000</f>
        <v>6255</v>
      </c>
      <c r="K79" s="265">
        <f t="shared" si="8"/>
        <v>0.53069342217058657</v>
      </c>
      <c r="L79" s="252">
        <f>(SUM('PRs Analysis'!N22))*1000</f>
        <v>153553</v>
      </c>
      <c r="M79" s="204">
        <f t="shared" si="9"/>
        <v>28774600.000000004</v>
      </c>
      <c r="N79" s="204">
        <f t="shared" ca="1" si="10"/>
        <v>2642429</v>
      </c>
      <c r="O79" s="204">
        <f t="shared" ca="1" si="11"/>
        <v>2642406</v>
      </c>
      <c r="P79" s="204">
        <f t="shared" ca="1" si="12"/>
        <v>22.999999999999964</v>
      </c>
      <c r="Q79" s="254">
        <f t="shared" si="5"/>
        <v>7.5885292002518243E-2</v>
      </c>
    </row>
    <row r="80" spans="1:17">
      <c r="A80" s="250">
        <v>2014</v>
      </c>
      <c r="B80" s="251">
        <f t="shared" si="3"/>
        <v>5.5197773916824566E-2</v>
      </c>
      <c r="C80" s="201">
        <f t="shared" si="6"/>
        <v>3.3579913271464208E-2</v>
      </c>
      <c r="D80" s="202">
        <f t="shared" si="4"/>
        <v>0.41564682923651364</v>
      </c>
      <c r="E80" s="203">
        <f>(SUM('PRs Analysis'!B23))*1000</f>
        <v>29363503</v>
      </c>
      <c r="F80" s="204">
        <v>2394581</v>
      </c>
      <c r="G80" s="204">
        <v>2387410</v>
      </c>
      <c r="H80" s="252">
        <f>(SUM('PRs Analysis'!I23))*1000</f>
        <v>9953</v>
      </c>
      <c r="I80" s="204">
        <f t="shared" si="7"/>
        <v>429094.99999999627</v>
      </c>
      <c r="J80" s="253">
        <f>(SUM('PRs Analysis'!H23))*1000</f>
        <v>16207.999999999998</v>
      </c>
      <c r="K80" s="265">
        <f t="shared" si="8"/>
        <v>0.64071715149244968</v>
      </c>
      <c r="L80" s="252">
        <f>(SUM('PRs Analysis'!N23))*1000</f>
        <v>188137</v>
      </c>
      <c r="M80" s="204">
        <f t="shared" si="9"/>
        <v>29159158</v>
      </c>
      <c r="N80" s="204">
        <f t="shared" ca="1" si="10"/>
        <v>2595633</v>
      </c>
      <c r="O80" s="204">
        <f t="shared" ca="1" si="11"/>
        <v>2595583</v>
      </c>
      <c r="P80" s="204">
        <f t="shared" ca="1" si="12"/>
        <v>50.000000000000043</v>
      </c>
      <c r="Q80" s="254">
        <f t="shared" si="5"/>
        <v>8.1549568523891711E-2</v>
      </c>
    </row>
    <row r="81" spans="1:17">
      <c r="A81" s="250">
        <v>2015</v>
      </c>
      <c r="B81" s="251">
        <f t="shared" si="3"/>
        <v>8.2172891322468522E-2</v>
      </c>
      <c r="C81" s="201">
        <f t="shared" si="6"/>
        <v>2.6975117405643956E-2</v>
      </c>
      <c r="D81" s="202">
        <f t="shared" si="4"/>
        <v>0.33058209225583407</v>
      </c>
      <c r="E81" s="203">
        <f>(SUM('PRs Analysis'!B24))*1000</f>
        <v>29940531.000000004</v>
      </c>
      <c r="F81" s="204">
        <v>2539460</v>
      </c>
      <c r="G81" s="204">
        <v>2529449</v>
      </c>
      <c r="H81" s="252">
        <f>(SUM('PRs Analysis'!I24))*1000</f>
        <v>8395.0000000000036</v>
      </c>
      <c r="I81" s="204">
        <f t="shared" si="7"/>
        <v>577028.00000000373</v>
      </c>
      <c r="J81" s="253">
        <f>(SUM('PRs Analysis'!H24))*1000</f>
        <v>24603</v>
      </c>
      <c r="K81" s="265">
        <f t="shared" si="8"/>
        <v>0.81857265657713285</v>
      </c>
      <c r="L81" s="252">
        <f>(SUM('PRs Analysis'!N24))*1000</f>
        <v>245085</v>
      </c>
      <c r="M81" s="204">
        <f t="shared" si="9"/>
        <v>29670843.000000004</v>
      </c>
      <c r="N81" s="204">
        <f t="shared" ca="1" si="10"/>
        <v>2437477</v>
      </c>
      <c r="O81" s="204">
        <f t="shared" ca="1" si="11"/>
        <v>2437312</v>
      </c>
      <c r="P81" s="204">
        <f t="shared" ca="1" si="12"/>
        <v>164.99999999999991</v>
      </c>
      <c r="Q81" s="254">
        <f t="shared" si="5"/>
        <v>8.4816799007338906E-2</v>
      </c>
    </row>
    <row r="82" spans="1:17">
      <c r="A82" s="250">
        <v>2016</v>
      </c>
      <c r="B82" s="251">
        <f t="shared" si="3"/>
        <v>0.10975423442104723</v>
      </c>
      <c r="C82" s="201">
        <f t="shared" si="6"/>
        <v>2.7581343098578709E-2</v>
      </c>
      <c r="D82" s="202">
        <f t="shared" si="4"/>
        <v>0.34142267826006256</v>
      </c>
      <c r="E82" s="203">
        <f>(SUM('PRs Analysis'!B25))*1000</f>
        <v>30462606</v>
      </c>
      <c r="F82" s="204">
        <v>2586530</v>
      </c>
      <c r="G82" s="204">
        <v>2575532</v>
      </c>
      <c r="H82" s="252">
        <f>(SUM('PRs Analysis'!I25))*1000</f>
        <v>8830.9999999999964</v>
      </c>
      <c r="I82" s="204">
        <f t="shared" si="7"/>
        <v>522074.99999999627</v>
      </c>
      <c r="J82" s="253">
        <f>(SUM('PRs Analysis'!H25))*1000</f>
        <v>33434</v>
      </c>
      <c r="K82" s="265">
        <f t="shared" si="8"/>
        <v>1.045783804576667</v>
      </c>
      <c r="L82" s="252">
        <f>(SUM('PRs Analysis'!N25))*1000</f>
        <v>318573</v>
      </c>
      <c r="M82" s="204">
        <f t="shared" si="9"/>
        <v>30110599</v>
      </c>
      <c r="N82" s="204">
        <f t="shared" ca="1" si="10"/>
        <v>2330988</v>
      </c>
      <c r="O82" s="204">
        <f t="shared" ca="1" si="11"/>
        <v>2330745</v>
      </c>
      <c r="P82" s="204">
        <f t="shared" ca="1" si="12"/>
        <v>243.00000000000011</v>
      </c>
      <c r="Q82" s="254">
        <f t="shared" si="5"/>
        <v>8.4908362731671738E-2</v>
      </c>
    </row>
    <row r="83" spans="1:17">
      <c r="A83" s="256">
        <v>2017</v>
      </c>
      <c r="B83" s="257">
        <f t="shared" ref="B83:B116" si="13">SUM(B82+C82)</f>
        <v>0.13733557751962594</v>
      </c>
      <c r="C83" s="208">
        <v>2.8000000000000001E-2</v>
      </c>
      <c r="D83" s="209">
        <f t="shared" si="4"/>
        <v>0.33443493479718833</v>
      </c>
      <c r="E83" s="210">
        <f>IF($I$62=1,'Nº Cars Projection'!B5, IF($I$62=2,'Nº Cars Projection'!D5, IF($I$62=3,'Nº Cars Projection'!F5)))</f>
        <v>30812830</v>
      </c>
      <c r="F83" s="210">
        <f t="shared" ref="F83:F116" si="14">SUM($Q$84*E83)</f>
        <v>2579752.1437860662</v>
      </c>
      <c r="G83" s="210">
        <f t="shared" ref="G83:G116" si="15">SUM(F83-H83)</f>
        <v>2571124.5513860662</v>
      </c>
      <c r="H83" s="210">
        <f t="shared" ref="H83:H116" si="16">SUM(IF(C83&lt;C82,(F83*$C$62)/100,(C83*E83)/100))</f>
        <v>8627.5923999999995</v>
      </c>
      <c r="I83" s="210">
        <f t="shared" si="7"/>
        <v>350224</v>
      </c>
      <c r="J83" s="210">
        <f t="shared" ref="J83:J116" si="17">SUM(E83*B83)/100</f>
        <v>42316.978030640559</v>
      </c>
      <c r="K83" s="266">
        <f t="shared" si="8"/>
        <v>1.1444631459968828</v>
      </c>
      <c r="L83" s="210">
        <f>SUM(J83/12%)</f>
        <v>352641.48358867131</v>
      </c>
      <c r="M83" s="211">
        <f t="shared" si="9"/>
        <v>30417871.53838069</v>
      </c>
      <c r="N83" s="210">
        <f t="shared" ca="1" si="10"/>
        <v>2373887</v>
      </c>
      <c r="O83" s="211">
        <f t="shared" ca="1" si="11"/>
        <v>2373502</v>
      </c>
      <c r="P83" s="211">
        <f t="shared" ca="1" si="12"/>
        <v>384.99999999999989</v>
      </c>
      <c r="Q83" s="258" t="s">
        <v>65</v>
      </c>
    </row>
    <row r="84" spans="1:17">
      <c r="A84" s="256">
        <v>2018</v>
      </c>
      <c r="B84" s="257">
        <f t="shared" si="13"/>
        <v>0.16533557751962594</v>
      </c>
      <c r="C84" s="208">
        <v>3.2000000000000001E-2</v>
      </c>
      <c r="D84" s="209">
        <f t="shared" si="4"/>
        <v>0.38221135405392959</v>
      </c>
      <c r="E84" s="210">
        <f>IF($I$62=1,'Nº Cars Projection'!B6, IF($I$62=2,'Nº Cars Projection'!D6, IF($I$62=3,'Nº Cars Projection'!F6)))</f>
        <v>30775220</v>
      </c>
      <c r="F84" s="210">
        <f t="shared" si="14"/>
        <v>2576603.310065574</v>
      </c>
      <c r="G84" s="210">
        <f t="shared" si="15"/>
        <v>2566755.2396655739</v>
      </c>
      <c r="H84" s="210">
        <f t="shared" si="16"/>
        <v>9848.0704000000005</v>
      </c>
      <c r="I84" s="210">
        <f t="shared" si="7"/>
        <v>-37610</v>
      </c>
      <c r="J84" s="210">
        <f t="shared" si="17"/>
        <v>50882.387719935417</v>
      </c>
      <c r="K84" s="266">
        <f t="shared" si="8"/>
        <v>1.3777964793302158</v>
      </c>
      <c r="L84" s="210">
        <f t="shared" ref="L84:L116" si="18">SUM(J84/12%)</f>
        <v>424019.89766612847</v>
      </c>
      <c r="M84" s="211">
        <f t="shared" si="9"/>
        <v>30300317.714613933</v>
      </c>
      <c r="N84" s="210">
        <f t="shared" ca="1" si="10"/>
        <v>2096430</v>
      </c>
      <c r="O84" s="211">
        <f t="shared" ca="1" si="11"/>
        <v>2096297</v>
      </c>
      <c r="P84" s="211">
        <f t="shared" ca="1" si="12"/>
        <v>133</v>
      </c>
      <c r="Q84" s="258">
        <f>AVERAGE(Q67:Q82)</f>
        <v>8.3723310834677184E-2</v>
      </c>
    </row>
    <row r="85" spans="1:17">
      <c r="A85" s="256">
        <v>2019</v>
      </c>
      <c r="B85" s="257">
        <f t="shared" si="13"/>
        <v>0.19733557751962594</v>
      </c>
      <c r="C85" s="208">
        <v>3.5999999999999997E-2</v>
      </c>
      <c r="D85" s="209">
        <f t="shared" si="4"/>
        <v>0.42998777331067078</v>
      </c>
      <c r="E85" s="210">
        <f>IF($I$62=1,'Nº Cars Projection'!B7, IF($I$62=2,'Nº Cars Projection'!D7, IF($I$62=3,'Nº Cars Projection'!F7)))</f>
        <v>30737610</v>
      </c>
      <c r="F85" s="210">
        <f t="shared" si="14"/>
        <v>2573454.4763450818</v>
      </c>
      <c r="G85" s="210">
        <f t="shared" si="15"/>
        <v>2562388.936745082</v>
      </c>
      <c r="H85" s="210">
        <f t="shared" si="16"/>
        <v>11065.5396</v>
      </c>
      <c r="I85" s="210">
        <f t="shared" si="7"/>
        <v>-37610</v>
      </c>
      <c r="J85" s="210">
        <f t="shared" si="17"/>
        <v>60656.240209230295</v>
      </c>
      <c r="K85" s="266">
        <f t="shared" si="8"/>
        <v>1.6444631459968828</v>
      </c>
      <c r="L85" s="210">
        <f t="shared" si="18"/>
        <v>505468.66841025249</v>
      </c>
      <c r="M85" s="211">
        <f t="shared" si="9"/>
        <v>30171485.091380518</v>
      </c>
      <c r="N85" s="210">
        <f t="shared" ca="1" si="10"/>
        <v>1953472</v>
      </c>
      <c r="O85" s="211">
        <f t="shared" ca="1" si="11"/>
        <v>1953344</v>
      </c>
      <c r="P85" s="211">
        <f t="shared" ca="1" si="12"/>
        <v>128.00000000000011</v>
      </c>
      <c r="Q85" s="259"/>
    </row>
    <row r="86" spans="1:17">
      <c r="A86" s="256">
        <v>2020</v>
      </c>
      <c r="B86" s="257">
        <f t="shared" si="13"/>
        <v>0.23333557751962594</v>
      </c>
      <c r="C86" s="208">
        <v>0.04</v>
      </c>
      <c r="D86" s="209">
        <f t="shared" si="4"/>
        <v>0.47776419256741198</v>
      </c>
      <c r="E86" s="210">
        <f>IF($I$62=1,'Nº Cars Projection'!B8, IF($I$62=2,'Nº Cars Projection'!D8, IF($I$62=3,'Nº Cars Projection'!F8)))</f>
        <v>30700000</v>
      </c>
      <c r="F86" s="210">
        <f t="shared" si="14"/>
        <v>2570305.6426245896</v>
      </c>
      <c r="G86" s="210">
        <f t="shared" si="15"/>
        <v>2558025.6426245896</v>
      </c>
      <c r="H86" s="210">
        <f t="shared" si="16"/>
        <v>12280</v>
      </c>
      <c r="I86" s="210">
        <f t="shared" si="7"/>
        <v>-37610</v>
      </c>
      <c r="J86" s="210">
        <f t="shared" si="17"/>
        <v>71634.02229852516</v>
      </c>
      <c r="K86" s="266">
        <f t="shared" si="8"/>
        <v>1.9444631459968826</v>
      </c>
      <c r="L86" s="210">
        <f t="shared" si="18"/>
        <v>596950.18582104298</v>
      </c>
      <c r="M86" s="211">
        <f t="shared" si="9"/>
        <v>30031415.791880433</v>
      </c>
      <c r="N86" s="210">
        <f t="shared" ca="1" si="10"/>
        <v>1974110</v>
      </c>
      <c r="O86" s="211">
        <f t="shared" ca="1" si="11"/>
        <v>1974020</v>
      </c>
      <c r="P86" s="211">
        <f t="shared" ca="1" si="12"/>
        <v>89.999999999999858</v>
      </c>
      <c r="Q86" s="260"/>
    </row>
    <row r="87" spans="1:17">
      <c r="A87" s="256">
        <v>2021</v>
      </c>
      <c r="B87" s="257">
        <f t="shared" si="13"/>
        <v>0.27333557751962595</v>
      </c>
      <c r="C87" s="208">
        <v>4.3999999999999997E-2</v>
      </c>
      <c r="D87" s="209">
        <f t="shared" si="4"/>
        <v>0.52554061182415313</v>
      </c>
      <c r="E87" s="210">
        <f>IF($I$62=1,'Nº Cars Projection'!B9, IF($I$62=2,'Nº Cars Projection'!D9, IF($I$62=3,'Nº Cars Projection'!F9)))</f>
        <v>30720000</v>
      </c>
      <c r="F87" s="210">
        <f t="shared" si="14"/>
        <v>2571980.1088412832</v>
      </c>
      <c r="G87" s="210">
        <f t="shared" si="15"/>
        <v>2558463.3088412834</v>
      </c>
      <c r="H87" s="210">
        <f t="shared" si="16"/>
        <v>13516.8</v>
      </c>
      <c r="I87" s="210">
        <f t="shared" si="7"/>
        <v>20000</v>
      </c>
      <c r="J87" s="210">
        <f t="shared" si="17"/>
        <v>83968.689414029082</v>
      </c>
      <c r="K87" s="266">
        <f t="shared" si="8"/>
        <v>2.2777964793302163</v>
      </c>
      <c r="L87" s="210">
        <f t="shared" si="18"/>
        <v>699739.07845024241</v>
      </c>
      <c r="M87" s="211">
        <f t="shared" si="9"/>
        <v>29936292.232135728</v>
      </c>
      <c r="N87" s="210">
        <f t="shared" ca="1" si="10"/>
        <v>1884112</v>
      </c>
      <c r="O87" s="211">
        <f t="shared" ca="1" si="11"/>
        <v>1883045</v>
      </c>
      <c r="P87" s="211">
        <f t="shared" ca="1" si="12"/>
        <v>1067</v>
      </c>
      <c r="Q87" s="260"/>
    </row>
    <row r="88" spans="1:17">
      <c r="A88" s="256">
        <v>2022</v>
      </c>
      <c r="B88" s="257">
        <f t="shared" si="13"/>
        <v>0.31733557751962593</v>
      </c>
      <c r="C88" s="208">
        <v>4.8000000000000001E-2</v>
      </c>
      <c r="D88" s="209">
        <f t="shared" si="4"/>
        <v>0.57331703108089449</v>
      </c>
      <c r="E88" s="210">
        <f>IF($I$62=1,'Nº Cars Projection'!B10, IF($I$62=2,'Nº Cars Projection'!D10, IF($I$62=3,'Nº Cars Projection'!F10)))</f>
        <v>30740000</v>
      </c>
      <c r="F88" s="210">
        <f t="shared" si="14"/>
        <v>2573654.5750579764</v>
      </c>
      <c r="G88" s="210">
        <f t="shared" si="15"/>
        <v>2558899.3750579762</v>
      </c>
      <c r="H88" s="210">
        <f t="shared" si="16"/>
        <v>14755.2</v>
      </c>
      <c r="I88" s="210">
        <f t="shared" si="7"/>
        <v>20000</v>
      </c>
      <c r="J88" s="210">
        <f t="shared" si="17"/>
        <v>97548.95652953301</v>
      </c>
      <c r="K88" s="266">
        <f t="shared" si="8"/>
        <v>2.644463145996883</v>
      </c>
      <c r="L88" s="210">
        <f t="shared" si="18"/>
        <v>812907.97107944184</v>
      </c>
      <c r="M88" s="211">
        <f t="shared" si="9"/>
        <v>29829543.072391026</v>
      </c>
      <c r="N88" s="210">
        <f t="shared" ca="1" si="10"/>
        <v>1985160</v>
      </c>
      <c r="O88" s="211">
        <f t="shared" ca="1" si="11"/>
        <v>1983638</v>
      </c>
      <c r="P88" s="211">
        <f t="shared" ca="1" si="12"/>
        <v>1521.9999999999998</v>
      </c>
      <c r="Q88" s="259"/>
    </row>
    <row r="89" spans="1:17">
      <c r="A89" s="256">
        <v>2023</v>
      </c>
      <c r="B89" s="257">
        <f t="shared" si="13"/>
        <v>0.36533557751962592</v>
      </c>
      <c r="C89" s="208">
        <v>5.1999999999999998E-2</v>
      </c>
      <c r="D89" s="209">
        <f t="shared" si="4"/>
        <v>0.62109345033763563</v>
      </c>
      <c r="E89" s="210">
        <f>IF($I$62=1,'Nº Cars Projection'!B11, IF($I$62=2,'Nº Cars Projection'!D11, IF($I$62=3,'Nº Cars Projection'!F11)))</f>
        <v>30760000</v>
      </c>
      <c r="F89" s="210">
        <f t="shared" si="14"/>
        <v>2575329.04127467</v>
      </c>
      <c r="G89" s="210">
        <f t="shared" si="15"/>
        <v>2559333.8412746699</v>
      </c>
      <c r="H89" s="210">
        <f t="shared" si="16"/>
        <v>15995.2</v>
      </c>
      <c r="I89" s="210">
        <f t="shared" si="7"/>
        <v>20000</v>
      </c>
      <c r="J89" s="210">
        <f t="shared" si="17"/>
        <v>112377.22364503692</v>
      </c>
      <c r="K89" s="266">
        <f t="shared" si="8"/>
        <v>3.0444631459968825</v>
      </c>
      <c r="L89" s="210">
        <f t="shared" si="18"/>
        <v>936476.86370864103</v>
      </c>
      <c r="M89" s="211">
        <f t="shared" si="9"/>
        <v>29711145.912646323</v>
      </c>
      <c r="N89" s="210">
        <f t="shared" ca="1" si="10"/>
        <v>2194954</v>
      </c>
      <c r="O89" s="211">
        <f t="shared" ca="1" si="11"/>
        <v>2192831</v>
      </c>
      <c r="P89" s="211">
        <f t="shared" ca="1" si="12"/>
        <v>2123</v>
      </c>
      <c r="Q89" s="259"/>
    </row>
    <row r="90" spans="1:17">
      <c r="A90" s="256">
        <v>2024</v>
      </c>
      <c r="B90" s="257">
        <f t="shared" si="13"/>
        <v>0.41733557751962591</v>
      </c>
      <c r="C90" s="208">
        <v>5.6000000000000001E-2</v>
      </c>
      <c r="D90" s="209">
        <f t="shared" si="4"/>
        <v>0.66886986959437678</v>
      </c>
      <c r="E90" s="210">
        <f>IF($I$62=1,'Nº Cars Projection'!B12, IF($I$62=2,'Nº Cars Projection'!D12, IF($I$62=3,'Nº Cars Projection'!F12)))</f>
        <v>30780000</v>
      </c>
      <c r="F90" s="210">
        <f t="shared" si="14"/>
        <v>2577003.5074913637</v>
      </c>
      <c r="G90" s="210">
        <f t="shared" si="15"/>
        <v>2559766.7074913639</v>
      </c>
      <c r="H90" s="210">
        <f t="shared" si="16"/>
        <v>17236.8</v>
      </c>
      <c r="I90" s="210">
        <f t="shared" si="7"/>
        <v>20000</v>
      </c>
      <c r="J90" s="210">
        <f t="shared" si="17"/>
        <v>128455.89076054085</v>
      </c>
      <c r="K90" s="266">
        <f t="shared" si="8"/>
        <v>3.4777964793302156</v>
      </c>
      <c r="L90" s="210">
        <f t="shared" si="18"/>
        <v>1070465.7563378403</v>
      </c>
      <c r="M90" s="211">
        <f t="shared" si="9"/>
        <v>29581078.352901619</v>
      </c>
      <c r="N90" s="210">
        <f t="shared" ca="1" si="10"/>
        <v>2397363</v>
      </c>
      <c r="O90" s="211">
        <f t="shared" ca="1" si="11"/>
        <v>2387410</v>
      </c>
      <c r="P90" s="211">
        <f t="shared" ca="1" si="12"/>
        <v>9953</v>
      </c>
      <c r="Q90" s="259"/>
    </row>
    <row r="91" spans="1:17">
      <c r="A91" s="256">
        <v>2025</v>
      </c>
      <c r="B91" s="257">
        <f t="shared" si="13"/>
        <v>0.47333557751962591</v>
      </c>
      <c r="C91" s="208">
        <v>0.06</v>
      </c>
      <c r="D91" s="209">
        <f t="shared" si="4"/>
        <v>0.71664628885111803</v>
      </c>
      <c r="E91" s="210">
        <f>IF($I$62=1,'Nº Cars Projection'!B13, IF($I$62=2,'Nº Cars Projection'!D13, IF($I$62=3,'Nº Cars Projection'!F13)))</f>
        <v>30800000</v>
      </c>
      <c r="F91" s="210">
        <f t="shared" si="14"/>
        <v>2578677.9737080573</v>
      </c>
      <c r="G91" s="210">
        <f t="shared" si="15"/>
        <v>2560197.9737080573</v>
      </c>
      <c r="H91" s="210">
        <f t="shared" si="16"/>
        <v>18480</v>
      </c>
      <c r="I91" s="210">
        <f t="shared" si="7"/>
        <v>20000</v>
      </c>
      <c r="J91" s="210">
        <f t="shared" si="17"/>
        <v>145787.35787604479</v>
      </c>
      <c r="K91" s="266">
        <f t="shared" si="8"/>
        <v>3.9444631459968833</v>
      </c>
      <c r="L91" s="210">
        <f t="shared" si="18"/>
        <v>1214894.64896704</v>
      </c>
      <c r="M91" s="211">
        <f t="shared" si="9"/>
        <v>29439317.993156917</v>
      </c>
      <c r="N91" s="210">
        <f t="shared" ca="1" si="10"/>
        <v>2537844</v>
      </c>
      <c r="O91" s="211">
        <f t="shared" ca="1" si="11"/>
        <v>2529449</v>
      </c>
      <c r="P91" s="211">
        <f t="shared" ca="1" si="12"/>
        <v>8395.0000000000036</v>
      </c>
      <c r="Q91" s="259"/>
    </row>
    <row r="92" spans="1:17">
      <c r="A92" s="256">
        <v>2026</v>
      </c>
      <c r="B92" s="257">
        <f t="shared" si="13"/>
        <v>0.5333355775196259</v>
      </c>
      <c r="C92" s="208">
        <v>6.4000000000000001E-2</v>
      </c>
      <c r="D92" s="209">
        <f t="shared" si="4"/>
        <v>0.76442270810785906</v>
      </c>
      <c r="E92" s="210">
        <f>IF($I$62=1,'Nº Cars Projection'!B14, IF($I$62=2,'Nº Cars Projection'!D14, IF($I$62=3,'Nº Cars Projection'!F14)))</f>
        <v>30840000</v>
      </c>
      <c r="F92" s="210">
        <f t="shared" si="14"/>
        <v>2582026.9061414446</v>
      </c>
      <c r="G92" s="210">
        <f t="shared" si="15"/>
        <v>2562289.3061414445</v>
      </c>
      <c r="H92" s="210">
        <f t="shared" si="16"/>
        <v>19737.599999999999</v>
      </c>
      <c r="I92" s="210">
        <f t="shared" si="7"/>
        <v>40000</v>
      </c>
      <c r="J92" s="210">
        <f t="shared" si="17"/>
        <v>164480.69210705263</v>
      </c>
      <c r="K92" s="266">
        <f t="shared" si="8"/>
        <v>4.4444631459968829</v>
      </c>
      <c r="L92" s="210">
        <f t="shared" si="18"/>
        <v>1370672.4342254386</v>
      </c>
      <c r="M92" s="211">
        <f t="shared" si="9"/>
        <v>29304846.873667508</v>
      </c>
      <c r="N92" s="210">
        <f t="shared" ca="1" si="10"/>
        <v>2584363</v>
      </c>
      <c r="O92" s="211">
        <f t="shared" ca="1" si="11"/>
        <v>2575532</v>
      </c>
      <c r="P92" s="211">
        <f t="shared" ca="1" si="12"/>
        <v>8830.9999999999964</v>
      </c>
      <c r="Q92" s="259"/>
    </row>
    <row r="93" spans="1:17">
      <c r="A93" s="256">
        <v>2027</v>
      </c>
      <c r="B93" s="257">
        <f t="shared" si="13"/>
        <v>0.59733557751962585</v>
      </c>
      <c r="C93" s="208">
        <v>6.8000000000000005E-2</v>
      </c>
      <c r="D93" s="209">
        <f t="shared" si="4"/>
        <v>0.81219912736460032</v>
      </c>
      <c r="E93" s="210">
        <f>IF($I$62=1,'Nº Cars Projection'!B15, IF($I$62=2,'Nº Cars Projection'!D15, IF($I$62=3,'Nº Cars Projection'!F15)))</f>
        <v>30880000</v>
      </c>
      <c r="F93" s="210">
        <f t="shared" si="14"/>
        <v>2585375.8385748314</v>
      </c>
      <c r="G93" s="210">
        <f t="shared" si="15"/>
        <v>2564377.4385748315</v>
      </c>
      <c r="H93" s="210">
        <f t="shared" si="16"/>
        <v>20998.400000000001</v>
      </c>
      <c r="I93" s="210">
        <f t="shared" si="7"/>
        <v>40000</v>
      </c>
      <c r="J93" s="210">
        <f t="shared" si="17"/>
        <v>184457.22633806046</v>
      </c>
      <c r="K93" s="266">
        <f t="shared" si="8"/>
        <v>4.9777964793302152</v>
      </c>
      <c r="L93" s="210">
        <f t="shared" si="18"/>
        <v>1537143.5528171705</v>
      </c>
      <c r="M93" s="211">
        <f t="shared" si="9"/>
        <v>29158399.220844772</v>
      </c>
      <c r="N93" s="210">
        <f t="shared" ca="1" si="10"/>
        <v>2579752.1437860662</v>
      </c>
      <c r="O93" s="211">
        <f t="shared" ca="1" si="11"/>
        <v>2571124.5513860662</v>
      </c>
      <c r="P93" s="211">
        <f t="shared" ca="1" si="12"/>
        <v>8627.5923999999995</v>
      </c>
      <c r="Q93" s="261"/>
    </row>
    <row r="94" spans="1:17">
      <c r="A94" s="256">
        <v>2028</v>
      </c>
      <c r="B94" s="257">
        <f t="shared" si="13"/>
        <v>0.66533557751962591</v>
      </c>
      <c r="C94" s="208">
        <v>7.1999999999999995E-2</v>
      </c>
      <c r="D94" s="209">
        <f t="shared" si="4"/>
        <v>0.85997554662134157</v>
      </c>
      <c r="E94" s="210">
        <f>IF($I$62=1,'Nº Cars Projection'!B16, IF($I$62=2,'Nº Cars Projection'!D16, IF($I$62=3,'Nº Cars Projection'!F16)))</f>
        <v>30920000</v>
      </c>
      <c r="F94" s="210">
        <f t="shared" si="14"/>
        <v>2588724.7710082186</v>
      </c>
      <c r="G94" s="210">
        <f t="shared" si="15"/>
        <v>2566462.3710082187</v>
      </c>
      <c r="H94" s="210">
        <f t="shared" si="16"/>
        <v>22262.400000000001</v>
      </c>
      <c r="I94" s="210">
        <f t="shared" si="7"/>
        <v>40000</v>
      </c>
      <c r="J94" s="210">
        <f t="shared" si="17"/>
        <v>205721.76056906834</v>
      </c>
      <c r="K94" s="266">
        <f t="shared" si="8"/>
        <v>5.5444631459968834</v>
      </c>
      <c r="L94" s="210">
        <f t="shared" si="18"/>
        <v>1714348.0047422363</v>
      </c>
      <c r="M94" s="211">
        <f t="shared" si="9"/>
        <v>28999930.234688696</v>
      </c>
      <c r="N94" s="210">
        <f t="shared" ca="1" si="10"/>
        <v>2576603.310065574</v>
      </c>
      <c r="O94" s="211">
        <f t="shared" ca="1" si="11"/>
        <v>2566755.2396655739</v>
      </c>
      <c r="P94" s="211">
        <f t="shared" ca="1" si="12"/>
        <v>9848.0704000000005</v>
      </c>
      <c r="Q94" s="261"/>
    </row>
    <row r="95" spans="1:17">
      <c r="A95" s="256">
        <v>2029</v>
      </c>
      <c r="B95" s="257">
        <f t="shared" si="13"/>
        <v>0.73733557751962586</v>
      </c>
      <c r="C95" s="208">
        <v>7.5999999999999998E-2</v>
      </c>
      <c r="D95" s="209">
        <f t="shared" si="4"/>
        <v>0.90775196587808282</v>
      </c>
      <c r="E95" s="210">
        <f>IF($I$62=1,'Nº Cars Projection'!B17, IF($I$62=2,'Nº Cars Projection'!D17, IF($I$62=3,'Nº Cars Projection'!F17)))</f>
        <v>30960000</v>
      </c>
      <c r="F95" s="210">
        <f t="shared" si="14"/>
        <v>2592073.7034416054</v>
      </c>
      <c r="G95" s="210">
        <f t="shared" si="15"/>
        <v>2568544.1034416053</v>
      </c>
      <c r="H95" s="210">
        <f t="shared" si="16"/>
        <v>23529.599999999999</v>
      </c>
      <c r="I95" s="210">
        <f t="shared" si="7"/>
        <v>40000</v>
      </c>
      <c r="J95" s="210">
        <f t="shared" si="17"/>
        <v>228279.09480007616</v>
      </c>
      <c r="K95" s="266">
        <f t="shared" si="8"/>
        <v>6.1444631459968821</v>
      </c>
      <c r="L95" s="210">
        <f t="shared" si="18"/>
        <v>1902325.7900006347</v>
      </c>
      <c r="M95" s="211">
        <f t="shared" si="9"/>
        <v>28829395.115199286</v>
      </c>
      <c r="N95" s="210">
        <f t="shared" ca="1" si="10"/>
        <v>2573454.4763450818</v>
      </c>
      <c r="O95" s="211">
        <f t="shared" ca="1" si="11"/>
        <v>2562388.936745082</v>
      </c>
      <c r="P95" s="211">
        <f t="shared" ca="1" si="12"/>
        <v>11065.5396</v>
      </c>
      <c r="Q95" s="259"/>
    </row>
    <row r="96" spans="1:17">
      <c r="A96" s="256">
        <v>2030</v>
      </c>
      <c r="B96" s="257">
        <f t="shared" si="13"/>
        <v>0.81333557751962582</v>
      </c>
      <c r="C96" s="208">
        <v>0.08</v>
      </c>
      <c r="D96" s="209">
        <f t="shared" si="4"/>
        <v>0.95552838513482397</v>
      </c>
      <c r="E96" s="210">
        <f>IF($I$62=1,'Nº Cars Projection'!B18, IF($I$62=2,'Nº Cars Projection'!D18, IF($I$62=3,'Nº Cars Projection'!F18)))</f>
        <v>31000000</v>
      </c>
      <c r="F96" s="210">
        <f t="shared" si="14"/>
        <v>2595422.6358749927</v>
      </c>
      <c r="G96" s="210">
        <f t="shared" si="15"/>
        <v>2570622.6358749927</v>
      </c>
      <c r="H96" s="210">
        <f t="shared" si="16"/>
        <v>24800</v>
      </c>
      <c r="I96" s="210">
        <f t="shared" si="7"/>
        <v>40000</v>
      </c>
      <c r="J96" s="210">
        <f t="shared" si="17"/>
        <v>252134.02903108401</v>
      </c>
      <c r="K96" s="266">
        <f t="shared" si="8"/>
        <v>6.7777964793302141</v>
      </c>
      <c r="L96" s="210">
        <f t="shared" si="18"/>
        <v>2101116.9085923666</v>
      </c>
      <c r="M96" s="211">
        <f t="shared" si="9"/>
        <v>28646749.062376551</v>
      </c>
      <c r="N96" s="210">
        <f t="shared" ca="1" si="10"/>
        <v>2570305.6426245896</v>
      </c>
      <c r="O96" s="211">
        <f t="shared" ca="1" si="11"/>
        <v>2558025.6426245896</v>
      </c>
      <c r="P96" s="211">
        <f t="shared" ca="1" si="12"/>
        <v>12280</v>
      </c>
      <c r="Q96" s="262"/>
    </row>
    <row r="97" spans="1:17">
      <c r="A97" s="256">
        <v>2031</v>
      </c>
      <c r="B97" s="257">
        <f t="shared" si="13"/>
        <v>0.89333557751962578</v>
      </c>
      <c r="C97" s="208">
        <v>8.4000000000000005E-2</v>
      </c>
      <c r="D97" s="209">
        <f t="shared" si="4"/>
        <v>1.0033048043915651</v>
      </c>
      <c r="E97" s="210">
        <f>IF($I$62=1,'Nº Cars Projection'!B19, IF($I$62=2,'Nº Cars Projection'!D19, IF($I$62=3,'Nº Cars Projection'!F19)))</f>
        <v>30200000</v>
      </c>
      <c r="F97" s="210">
        <f t="shared" si="14"/>
        <v>2528443.9872072511</v>
      </c>
      <c r="G97" s="210">
        <f t="shared" si="15"/>
        <v>2503075.9872072511</v>
      </c>
      <c r="H97" s="210">
        <f t="shared" si="16"/>
        <v>25368</v>
      </c>
      <c r="I97" s="210">
        <f t="shared" si="7"/>
        <v>-800000</v>
      </c>
      <c r="J97" s="210">
        <f t="shared" si="17"/>
        <v>269787.34441092698</v>
      </c>
      <c r="K97" s="266">
        <f t="shared" si="8"/>
        <v>7.4444631459968829</v>
      </c>
      <c r="L97" s="210">
        <f t="shared" si="18"/>
        <v>2248227.8700910583</v>
      </c>
      <c r="M97" s="211">
        <f t="shared" si="9"/>
        <v>27681984.785498016</v>
      </c>
      <c r="N97" s="210">
        <f t="shared" ca="1" si="10"/>
        <v>2571980.1088412832</v>
      </c>
      <c r="O97" s="211">
        <f t="shared" ca="1" si="11"/>
        <v>2558463.3088412834</v>
      </c>
      <c r="P97" s="211">
        <f t="shared" ca="1" si="12"/>
        <v>13516.8</v>
      </c>
      <c r="Q97" s="261"/>
    </row>
    <row r="98" spans="1:17">
      <c r="A98" s="256">
        <v>2032</v>
      </c>
      <c r="B98" s="257">
        <f t="shared" si="13"/>
        <v>0.97733557751962574</v>
      </c>
      <c r="C98" s="208">
        <v>8.7999999999999995E-2</v>
      </c>
      <c r="D98" s="209">
        <f t="shared" si="4"/>
        <v>1.0510812236483065</v>
      </c>
      <c r="E98" s="210">
        <f>IF($I$62=1,'Nº Cars Projection'!B20, IF($I$62=2,'Nº Cars Projection'!D20, IF($I$62=3,'Nº Cars Projection'!F20)))</f>
        <v>29400000</v>
      </c>
      <c r="F98" s="210">
        <f t="shared" si="14"/>
        <v>2461465.3385395091</v>
      </c>
      <c r="G98" s="210">
        <f t="shared" si="15"/>
        <v>2435593.3385395091</v>
      </c>
      <c r="H98" s="210">
        <f t="shared" si="16"/>
        <v>25872</v>
      </c>
      <c r="I98" s="210">
        <f t="shared" si="7"/>
        <v>-800000</v>
      </c>
      <c r="J98" s="210">
        <f t="shared" si="17"/>
        <v>287336.65979076998</v>
      </c>
      <c r="K98" s="266">
        <f t="shared" si="8"/>
        <v>8.1444631459968821</v>
      </c>
      <c r="L98" s="210">
        <f t="shared" si="18"/>
        <v>2394472.164923083</v>
      </c>
      <c r="M98" s="211">
        <f t="shared" si="9"/>
        <v>26718191.175286148</v>
      </c>
      <c r="N98" s="210">
        <f t="shared" ca="1" si="10"/>
        <v>2573654.5750579764</v>
      </c>
      <c r="O98" s="211">
        <f t="shared" ca="1" si="11"/>
        <v>2558899.3750579762</v>
      </c>
      <c r="P98" s="211">
        <f t="shared" ca="1" si="12"/>
        <v>14755.2</v>
      </c>
      <c r="Q98" s="259"/>
    </row>
    <row r="99" spans="1:17">
      <c r="A99" s="256">
        <v>2033</v>
      </c>
      <c r="B99" s="257">
        <f t="shared" si="13"/>
        <v>1.0653355775196258</v>
      </c>
      <c r="C99" s="208">
        <v>9.1999999999999998E-2</v>
      </c>
      <c r="D99" s="209">
        <f t="shared" ref="D99:D116" si="19">(SUM(H99/F99))*100</f>
        <v>1.0988576429050476</v>
      </c>
      <c r="E99" s="210">
        <f>IF($I$62=1,'Nº Cars Projection'!B21, IF($I$62=2,'Nº Cars Projection'!D21, IF($I$62=3,'Nº Cars Projection'!F21)))</f>
        <v>28600000</v>
      </c>
      <c r="F99" s="210">
        <f t="shared" si="14"/>
        <v>2394486.6898717675</v>
      </c>
      <c r="G99" s="210">
        <f t="shared" si="15"/>
        <v>2368174.6898717675</v>
      </c>
      <c r="H99" s="210">
        <f t="shared" si="16"/>
        <v>26312</v>
      </c>
      <c r="I99" s="210">
        <f t="shared" si="7"/>
        <v>-800000</v>
      </c>
      <c r="J99" s="210">
        <f t="shared" si="17"/>
        <v>304685.97517061298</v>
      </c>
      <c r="K99" s="266">
        <f t="shared" si="8"/>
        <v>8.8777964793302164</v>
      </c>
      <c r="L99" s="210">
        <f t="shared" si="18"/>
        <v>2539049.7930884417</v>
      </c>
      <c r="M99" s="211">
        <f t="shared" si="9"/>
        <v>25756264.231740944</v>
      </c>
      <c r="N99" s="210">
        <f t="shared" ca="1" si="10"/>
        <v>2575329.04127467</v>
      </c>
      <c r="O99" s="211">
        <f t="shared" ca="1" si="11"/>
        <v>2559333.8412746699</v>
      </c>
      <c r="P99" s="211">
        <f t="shared" ca="1" si="12"/>
        <v>15995.2</v>
      </c>
      <c r="Q99" s="259"/>
    </row>
    <row r="100" spans="1:17">
      <c r="A100" s="256">
        <v>2034</v>
      </c>
      <c r="B100" s="257">
        <f t="shared" si="13"/>
        <v>1.1573355775196259</v>
      </c>
      <c r="C100" s="208">
        <v>9.6000000000000002E-2</v>
      </c>
      <c r="D100" s="209">
        <f t="shared" si="19"/>
        <v>1.146634062161789</v>
      </c>
      <c r="E100" s="210">
        <f>IF($I$62=1,'Nº Cars Projection'!B22, IF($I$62=2,'Nº Cars Projection'!D22, IF($I$62=3,'Nº Cars Projection'!F22)))</f>
        <v>27800000</v>
      </c>
      <c r="F100" s="210">
        <f t="shared" si="14"/>
        <v>2327508.0412040255</v>
      </c>
      <c r="G100" s="210">
        <f t="shared" si="15"/>
        <v>2300820.0412040255</v>
      </c>
      <c r="H100" s="210">
        <f t="shared" si="16"/>
        <v>26688</v>
      </c>
      <c r="I100" s="210">
        <f t="shared" ref="I100:I116" si="20">SUM(E100-E99)</f>
        <v>-800000</v>
      </c>
      <c r="J100" s="210">
        <f t="shared" si="17"/>
        <v>321739.29055045603</v>
      </c>
      <c r="K100" s="266">
        <f t="shared" si="8"/>
        <v>9.6444631459968839</v>
      </c>
      <c r="L100" s="210">
        <f t="shared" si="18"/>
        <v>2681160.7545871339</v>
      </c>
      <c r="M100" s="211">
        <f t="shared" si="9"/>
        <v>24797099.954862412</v>
      </c>
      <c r="N100" s="210">
        <f t="shared" ca="1" si="10"/>
        <v>2577003.5074913637</v>
      </c>
      <c r="O100" s="211">
        <f t="shared" ca="1" si="11"/>
        <v>2559766.7074913639</v>
      </c>
      <c r="P100" s="211">
        <f t="shared" ca="1" si="12"/>
        <v>17236.8</v>
      </c>
      <c r="Q100" s="259"/>
    </row>
    <row r="101" spans="1:17">
      <c r="A101" s="256">
        <v>2035</v>
      </c>
      <c r="B101" s="257">
        <f t="shared" si="13"/>
        <v>1.253335577519626</v>
      </c>
      <c r="C101" s="208">
        <v>0.1</v>
      </c>
      <c r="D101" s="209">
        <f t="shared" si="19"/>
        <v>1.1944104814185299</v>
      </c>
      <c r="E101" s="210">
        <f>IF($I$62=1,'Nº Cars Projection'!B23, IF($I$62=2,'Nº Cars Projection'!D23, IF($I$62=3,'Nº Cars Projection'!F23)))</f>
        <v>27000000</v>
      </c>
      <c r="F101" s="210">
        <f t="shared" si="14"/>
        <v>2260529.3925362839</v>
      </c>
      <c r="G101" s="210">
        <f t="shared" si="15"/>
        <v>2233529.3925362839</v>
      </c>
      <c r="H101" s="210">
        <f t="shared" si="16"/>
        <v>27000</v>
      </c>
      <c r="I101" s="210">
        <f t="shared" si="20"/>
        <v>-800000</v>
      </c>
      <c r="J101" s="210">
        <f t="shared" si="17"/>
        <v>338400.60593029903</v>
      </c>
      <c r="K101" s="266">
        <f t="shared" si="8"/>
        <v>10.444463145996883</v>
      </c>
      <c r="L101" s="210">
        <f t="shared" si="18"/>
        <v>2820005.0494191586</v>
      </c>
      <c r="M101" s="211">
        <f t="shared" si="9"/>
        <v>23841594.344650544</v>
      </c>
      <c r="N101" s="210">
        <f t="shared" ca="1" si="10"/>
        <v>2578677.9737080573</v>
      </c>
      <c r="O101" s="211">
        <f t="shared" ca="1" si="11"/>
        <v>2560197.9737080573</v>
      </c>
      <c r="P101" s="211">
        <f t="shared" ca="1" si="12"/>
        <v>18480</v>
      </c>
      <c r="Q101" s="259"/>
    </row>
    <row r="102" spans="1:17">
      <c r="A102" s="256">
        <v>2036</v>
      </c>
      <c r="B102" s="257">
        <f t="shared" si="13"/>
        <v>1.3533355775196261</v>
      </c>
      <c r="C102" s="208">
        <v>0.104</v>
      </c>
      <c r="D102" s="209">
        <f t="shared" si="19"/>
        <v>1.242186900675271</v>
      </c>
      <c r="E102" s="210">
        <f>IF($I$62=1,'Nº Cars Projection'!B24, IF($I$62=2,'Nº Cars Projection'!D24, IF($I$62=3,'Nº Cars Projection'!F24)))</f>
        <v>26200000</v>
      </c>
      <c r="F102" s="210">
        <f t="shared" si="14"/>
        <v>2193550.7438685424</v>
      </c>
      <c r="G102" s="210">
        <f t="shared" si="15"/>
        <v>2166302.7438685424</v>
      </c>
      <c r="H102" s="210">
        <f t="shared" si="16"/>
        <v>27248</v>
      </c>
      <c r="I102" s="210">
        <f t="shared" si="20"/>
        <v>-800000</v>
      </c>
      <c r="J102" s="210">
        <f t="shared" si="17"/>
        <v>354573.92131014203</v>
      </c>
      <c r="K102" s="266">
        <f t="shared" si="8"/>
        <v>11.277796479330217</v>
      </c>
      <c r="L102" s="210">
        <f t="shared" si="18"/>
        <v>2954782.6775845168</v>
      </c>
      <c r="M102" s="211">
        <f t="shared" si="9"/>
        <v>22890643.401105341</v>
      </c>
      <c r="N102" s="210">
        <f t="shared" ca="1" si="10"/>
        <v>2582026.9061414446</v>
      </c>
      <c r="O102" s="211">
        <f t="shared" ca="1" si="11"/>
        <v>2562289.3061414445</v>
      </c>
      <c r="P102" s="211">
        <f t="shared" ca="1" si="12"/>
        <v>19737.599999999999</v>
      </c>
      <c r="Q102" s="259"/>
    </row>
    <row r="103" spans="1:17">
      <c r="A103" s="256">
        <v>2037</v>
      </c>
      <c r="B103" s="257">
        <f t="shared" si="13"/>
        <v>1.4573355775196262</v>
      </c>
      <c r="C103" s="208">
        <v>0.108</v>
      </c>
      <c r="D103" s="209">
        <f t="shared" si="19"/>
        <v>1.2899633199320124</v>
      </c>
      <c r="E103" s="210">
        <f>IF($I$62=1,'Nº Cars Projection'!B25, IF($I$62=2,'Nº Cars Projection'!D25, IF($I$62=3,'Nº Cars Projection'!F25)))</f>
        <v>25400000</v>
      </c>
      <c r="F103" s="210">
        <f t="shared" si="14"/>
        <v>2126572.0952008003</v>
      </c>
      <c r="G103" s="210">
        <f t="shared" si="15"/>
        <v>2099140.0952008003</v>
      </c>
      <c r="H103" s="210">
        <f t="shared" si="16"/>
        <v>27432</v>
      </c>
      <c r="I103" s="210">
        <f t="shared" si="20"/>
        <v>-800000</v>
      </c>
      <c r="J103" s="210">
        <f t="shared" si="17"/>
        <v>370163.23668998503</v>
      </c>
      <c r="K103" s="266">
        <f t="shared" si="8"/>
        <v>12.144463145996884</v>
      </c>
      <c r="L103" s="210">
        <f t="shared" si="18"/>
        <v>3084693.6390832085</v>
      </c>
      <c r="M103" s="211">
        <f t="shared" si="9"/>
        <v>21945143.124226809</v>
      </c>
      <c r="N103" s="210">
        <f t="shared" ca="1" si="10"/>
        <v>2585375.8385748314</v>
      </c>
      <c r="O103" s="211">
        <f t="shared" ca="1" si="11"/>
        <v>2564377.4385748315</v>
      </c>
      <c r="P103" s="211">
        <f t="shared" ca="1" si="12"/>
        <v>20998.400000000001</v>
      </c>
      <c r="Q103" s="259"/>
    </row>
    <row r="104" spans="1:17">
      <c r="A104" s="256">
        <v>2038</v>
      </c>
      <c r="B104" s="257">
        <f t="shared" si="13"/>
        <v>1.5653355775196263</v>
      </c>
      <c r="C104" s="208">
        <v>0.112</v>
      </c>
      <c r="D104" s="209">
        <f t="shared" si="19"/>
        <v>1.3377397391887536</v>
      </c>
      <c r="E104" s="210">
        <f>IF($I$62=1,'Nº Cars Projection'!B26, IF($I$62=2,'Nº Cars Projection'!D26, IF($I$62=3,'Nº Cars Projection'!F26)))</f>
        <v>24600000</v>
      </c>
      <c r="F104" s="210">
        <f t="shared" si="14"/>
        <v>2059593.4465330588</v>
      </c>
      <c r="G104" s="210">
        <f t="shared" si="15"/>
        <v>2032041.4465330588</v>
      </c>
      <c r="H104" s="210">
        <f t="shared" si="16"/>
        <v>27552</v>
      </c>
      <c r="I104" s="210">
        <f t="shared" si="20"/>
        <v>-800000</v>
      </c>
      <c r="J104" s="210">
        <f t="shared" si="17"/>
        <v>385072.55206982809</v>
      </c>
      <c r="K104" s="266">
        <f t="shared" si="8"/>
        <v>13.044463145996888</v>
      </c>
      <c r="L104" s="210">
        <f t="shared" si="18"/>
        <v>3208937.9339152342</v>
      </c>
      <c r="M104" s="211">
        <f t="shared" si="9"/>
        <v>21005989.514014937</v>
      </c>
      <c r="N104" s="210">
        <f t="shared" ca="1" si="10"/>
        <v>2588724.7710082186</v>
      </c>
      <c r="O104" s="211">
        <f t="shared" ca="1" si="11"/>
        <v>2566462.3710082187</v>
      </c>
      <c r="P104" s="211">
        <f t="shared" ca="1" si="12"/>
        <v>22262.400000000001</v>
      </c>
      <c r="Q104" s="259"/>
    </row>
    <row r="105" spans="1:17">
      <c r="A105" s="256">
        <v>2039</v>
      </c>
      <c r="B105" s="257">
        <f t="shared" si="13"/>
        <v>1.6773355775196264</v>
      </c>
      <c r="C105" s="208">
        <v>0.11600000000000001</v>
      </c>
      <c r="D105" s="209">
        <f t="shared" si="19"/>
        <v>1.3855161584454947</v>
      </c>
      <c r="E105" s="210">
        <f>IF($I$62=1,'Nº Cars Projection'!B27, IF($I$62=2,'Nº Cars Projection'!D27, IF($I$62=3,'Nº Cars Projection'!F27)))</f>
        <v>23800000</v>
      </c>
      <c r="F105" s="210">
        <f t="shared" si="14"/>
        <v>1992614.797865317</v>
      </c>
      <c r="G105" s="210">
        <f t="shared" si="15"/>
        <v>1965006.797865317</v>
      </c>
      <c r="H105" s="210">
        <f t="shared" si="16"/>
        <v>27608</v>
      </c>
      <c r="I105" s="210">
        <f t="shared" si="20"/>
        <v>-800000</v>
      </c>
      <c r="J105" s="210">
        <f t="shared" si="17"/>
        <v>399205.86744967109</v>
      </c>
      <c r="K105" s="266">
        <f t="shared" si="8"/>
        <v>13.977796479330221</v>
      </c>
      <c r="L105" s="210">
        <f t="shared" si="18"/>
        <v>3326715.5620805924</v>
      </c>
      <c r="M105" s="211">
        <f t="shared" si="9"/>
        <v>20074078.570469737</v>
      </c>
      <c r="N105" s="210">
        <f t="shared" ca="1" si="10"/>
        <v>2592073.7034416054</v>
      </c>
      <c r="O105" s="211">
        <f t="shared" ca="1" si="11"/>
        <v>2568544.1034416053</v>
      </c>
      <c r="P105" s="211">
        <f t="shared" ca="1" si="12"/>
        <v>23529.599999999999</v>
      </c>
      <c r="Q105" s="259"/>
    </row>
    <row r="106" spans="1:17">
      <c r="A106" s="256">
        <v>2040</v>
      </c>
      <c r="B106" s="257">
        <f t="shared" si="13"/>
        <v>1.7933355775196265</v>
      </c>
      <c r="C106" s="208">
        <v>0.12</v>
      </c>
      <c r="D106" s="209">
        <f t="shared" si="19"/>
        <v>1.4332925777022361</v>
      </c>
      <c r="E106" s="210">
        <f>IF($I$62=1,'Nº Cars Projection'!B28, IF($I$62=2,'Nº Cars Projection'!D28, IF($I$62=3,'Nº Cars Projection'!F28)))</f>
        <v>23000000</v>
      </c>
      <c r="F106" s="210">
        <f t="shared" si="14"/>
        <v>1925636.1491975752</v>
      </c>
      <c r="G106" s="210">
        <f t="shared" si="15"/>
        <v>1898036.1491975752</v>
      </c>
      <c r="H106" s="210">
        <f t="shared" si="16"/>
        <v>27600</v>
      </c>
      <c r="I106" s="210">
        <f t="shared" si="20"/>
        <v>-800000</v>
      </c>
      <c r="J106" s="210">
        <f t="shared" si="17"/>
        <v>412467.18282951409</v>
      </c>
      <c r="K106" s="266">
        <f t="shared" si="8"/>
        <v>14.944463145996886</v>
      </c>
      <c r="L106" s="210">
        <f t="shared" si="18"/>
        <v>3437226.5235792841</v>
      </c>
      <c r="M106" s="211">
        <f t="shared" si="9"/>
        <v>19150306.293591201</v>
      </c>
      <c r="N106" s="210">
        <f t="shared" ca="1" si="10"/>
        <v>2595422.6358749927</v>
      </c>
      <c r="O106" s="211">
        <f t="shared" ca="1" si="11"/>
        <v>2570622.6358749927</v>
      </c>
      <c r="P106" s="211">
        <f t="shared" ca="1" si="12"/>
        <v>24800</v>
      </c>
      <c r="Q106" s="259"/>
    </row>
    <row r="107" spans="1:17">
      <c r="A107" s="256">
        <v>2041</v>
      </c>
      <c r="B107" s="257">
        <f t="shared" si="13"/>
        <v>1.9133355775196264</v>
      </c>
      <c r="C107" s="208">
        <v>0.124</v>
      </c>
      <c r="D107" s="209">
        <f t="shared" si="19"/>
        <v>1.4810689969589772</v>
      </c>
      <c r="E107" s="210">
        <f>IF($I$62=1,'Nº Cars Projection'!B29, IF($I$62=2,'Nº Cars Projection'!D29, IF($I$62=3,'Nº Cars Projection'!F29)))</f>
        <v>23220000</v>
      </c>
      <c r="F107" s="210">
        <f t="shared" si="14"/>
        <v>1944055.2775812042</v>
      </c>
      <c r="G107" s="210">
        <f t="shared" si="15"/>
        <v>1915262.4775812041</v>
      </c>
      <c r="H107" s="210">
        <f t="shared" si="16"/>
        <v>28792.799999999999</v>
      </c>
      <c r="I107" s="210">
        <f t="shared" si="20"/>
        <v>220000</v>
      </c>
      <c r="J107" s="210">
        <f t="shared" si="17"/>
        <v>444276.52110005723</v>
      </c>
      <c r="K107" s="266">
        <f t="shared" si="8"/>
        <v>15.944463145996886</v>
      </c>
      <c r="L107" s="210">
        <f t="shared" si="18"/>
        <v>3702304.3425004771</v>
      </c>
      <c r="M107" s="211">
        <f t="shared" si="9"/>
        <v>19073419.136399467</v>
      </c>
      <c r="N107" s="210">
        <f t="shared" ca="1" si="10"/>
        <v>2528443.9872072511</v>
      </c>
      <c r="O107" s="211">
        <f t="shared" ca="1" si="11"/>
        <v>2503075.9872072511</v>
      </c>
      <c r="P107" s="211">
        <f t="shared" ca="1" si="12"/>
        <v>25368</v>
      </c>
      <c r="Q107" s="259"/>
    </row>
    <row r="108" spans="1:17">
      <c r="A108" s="256">
        <v>2042</v>
      </c>
      <c r="B108" s="257">
        <f t="shared" si="13"/>
        <v>2.0373355775196265</v>
      </c>
      <c r="C108" s="208">
        <v>0.128</v>
      </c>
      <c r="D108" s="209">
        <f t="shared" si="19"/>
        <v>1.5288454162157183</v>
      </c>
      <c r="E108" s="210">
        <f>IF($I$62=1,'Nº Cars Projection'!B30, IF($I$62=2,'Nº Cars Projection'!D30, IF($I$62=3,'Nº Cars Projection'!F30)))</f>
        <v>23440000</v>
      </c>
      <c r="F108" s="210">
        <f t="shared" si="14"/>
        <v>1962474.4059648332</v>
      </c>
      <c r="G108" s="210">
        <f t="shared" si="15"/>
        <v>1932471.2059648333</v>
      </c>
      <c r="H108" s="210">
        <f t="shared" si="16"/>
        <v>30003.200000000001</v>
      </c>
      <c r="I108" s="210">
        <f t="shared" si="20"/>
        <v>220000</v>
      </c>
      <c r="J108" s="210">
        <f t="shared" si="17"/>
        <v>477551.45937060041</v>
      </c>
      <c r="K108" s="266">
        <f t="shared" si="8"/>
        <v>16.97779647933022</v>
      </c>
      <c r="L108" s="210">
        <f t="shared" si="18"/>
        <v>3979595.4947550036</v>
      </c>
      <c r="M108" s="211">
        <f t="shared" si="9"/>
        <v>18982853.045874394</v>
      </c>
      <c r="N108" s="210">
        <f t="shared" ca="1" si="10"/>
        <v>2461465.3385395091</v>
      </c>
      <c r="O108" s="211">
        <f t="shared" ca="1" si="11"/>
        <v>2435593.3385395091</v>
      </c>
      <c r="P108" s="211">
        <f t="shared" ca="1" si="12"/>
        <v>25872</v>
      </c>
      <c r="Q108" s="263"/>
    </row>
    <row r="109" spans="1:17">
      <c r="A109" s="256">
        <v>2043</v>
      </c>
      <c r="B109" s="257">
        <f t="shared" si="13"/>
        <v>2.1653355775196266</v>
      </c>
      <c r="C109" s="208">
        <v>0.13200000000000001</v>
      </c>
      <c r="D109" s="209">
        <f t="shared" si="19"/>
        <v>1.5766218354724595</v>
      </c>
      <c r="E109" s="210">
        <f>IF($I$62=1,'Nº Cars Projection'!B31, IF($I$62=2,'Nº Cars Projection'!D31, IF($I$62=3,'Nº Cars Projection'!F31)))</f>
        <v>23660000</v>
      </c>
      <c r="F109" s="210">
        <f t="shared" si="14"/>
        <v>1980893.5343484622</v>
      </c>
      <c r="G109" s="210">
        <f t="shared" si="15"/>
        <v>1949662.3343484623</v>
      </c>
      <c r="H109" s="210">
        <f t="shared" si="16"/>
        <v>31231.200000000001</v>
      </c>
      <c r="I109" s="210">
        <f t="shared" si="20"/>
        <v>220000</v>
      </c>
      <c r="J109" s="210">
        <f t="shared" si="17"/>
        <v>512318.39764114365</v>
      </c>
      <c r="K109" s="266">
        <f t="shared" si="8"/>
        <v>18.04446314599689</v>
      </c>
      <c r="L109" s="210">
        <f t="shared" si="18"/>
        <v>4269319.9803428641</v>
      </c>
      <c r="M109" s="211">
        <f t="shared" si="9"/>
        <v>18878361.62201599</v>
      </c>
      <c r="N109" s="210">
        <f t="shared" ca="1" si="10"/>
        <v>2394486.6898717675</v>
      </c>
      <c r="O109" s="211">
        <f t="shared" ca="1" si="11"/>
        <v>2368174.6898717675</v>
      </c>
      <c r="P109" s="211">
        <f t="shared" ca="1" si="12"/>
        <v>26312</v>
      </c>
      <c r="Q109" s="259"/>
    </row>
    <row r="110" spans="1:17">
      <c r="A110" s="256">
        <v>2044</v>
      </c>
      <c r="B110" s="257">
        <f t="shared" si="13"/>
        <v>2.2973355775196267</v>
      </c>
      <c r="C110" s="208">
        <v>0.13600000000000001</v>
      </c>
      <c r="D110" s="209">
        <f t="shared" si="19"/>
        <v>1.6243982547292011</v>
      </c>
      <c r="E110" s="210">
        <f>IF($I$62=1,'Nº Cars Projection'!B32, IF($I$62=2,'Nº Cars Projection'!D32, IF($I$62=3,'Nº Cars Projection'!F32)))</f>
        <v>23880000</v>
      </c>
      <c r="F110" s="210">
        <f t="shared" si="14"/>
        <v>1999312.662732091</v>
      </c>
      <c r="G110" s="210">
        <f t="shared" si="15"/>
        <v>1966835.862732091</v>
      </c>
      <c r="H110" s="210">
        <f t="shared" si="16"/>
        <v>32476.800000000003</v>
      </c>
      <c r="I110" s="210">
        <f t="shared" si="20"/>
        <v>220000</v>
      </c>
      <c r="J110" s="210">
        <f t="shared" si="17"/>
        <v>548603.7359116869</v>
      </c>
      <c r="K110" s="266">
        <f t="shared" si="8"/>
        <v>19.144463145996891</v>
      </c>
      <c r="L110" s="210">
        <f t="shared" si="18"/>
        <v>4571697.7992640575</v>
      </c>
      <c r="M110" s="211">
        <f t="shared" si="9"/>
        <v>18759698.464824256</v>
      </c>
      <c r="N110" s="210">
        <f t="shared" ca="1" si="10"/>
        <v>2327508.0412040255</v>
      </c>
      <c r="O110" s="211">
        <f t="shared" ca="1" si="11"/>
        <v>2300820.0412040255</v>
      </c>
      <c r="P110" s="211">
        <f t="shared" ca="1" si="12"/>
        <v>26688</v>
      </c>
      <c r="Q110" s="259"/>
    </row>
    <row r="111" spans="1:17">
      <c r="A111" s="256">
        <v>2045</v>
      </c>
      <c r="B111" s="257">
        <f t="shared" si="13"/>
        <v>2.4333355775196268</v>
      </c>
      <c r="C111" s="208">
        <v>0.14000000000000001</v>
      </c>
      <c r="D111" s="209">
        <f t="shared" si="19"/>
        <v>1.6721746739859422</v>
      </c>
      <c r="E111" s="210">
        <f>IF($I$62=1,'Nº Cars Projection'!B33, IF($I$62=2,'Nº Cars Projection'!D33, IF($I$62=3,'Nº Cars Projection'!F33)))</f>
        <v>24100000</v>
      </c>
      <c r="F111" s="210">
        <f t="shared" si="14"/>
        <v>2017731.7911157201</v>
      </c>
      <c r="G111" s="210">
        <f t="shared" si="15"/>
        <v>1983991.7911157201</v>
      </c>
      <c r="H111" s="210">
        <f t="shared" si="16"/>
        <v>33740.000000000007</v>
      </c>
      <c r="I111" s="210">
        <f t="shared" si="20"/>
        <v>220000</v>
      </c>
      <c r="J111" s="210">
        <f t="shared" si="17"/>
        <v>586433.87418223009</v>
      </c>
      <c r="K111" s="266">
        <f t="shared" si="8"/>
        <v>20.277796479330224</v>
      </c>
      <c r="L111" s="210">
        <f t="shared" si="18"/>
        <v>4886948.951518584</v>
      </c>
      <c r="M111" s="211">
        <f t="shared" si="9"/>
        <v>18626617.174299184</v>
      </c>
      <c r="N111" s="210">
        <f t="shared" ca="1" si="10"/>
        <v>2260529.3925362839</v>
      </c>
      <c r="O111" s="211">
        <f t="shared" ca="1" si="11"/>
        <v>2233529.3925362839</v>
      </c>
      <c r="P111" s="211">
        <f t="shared" ca="1" si="12"/>
        <v>27000</v>
      </c>
      <c r="Q111" s="259"/>
    </row>
    <row r="112" spans="1:17">
      <c r="A112" s="256">
        <v>2046</v>
      </c>
      <c r="B112" s="257">
        <f t="shared" si="13"/>
        <v>2.5733355775196269</v>
      </c>
      <c r="C112" s="208">
        <v>0.14399999999999999</v>
      </c>
      <c r="D112" s="209">
        <f t="shared" si="19"/>
        <v>1.7199510932426827</v>
      </c>
      <c r="E112" s="210">
        <f>IF($I$62=1,'Nº Cars Projection'!B34, IF($I$62=2,'Nº Cars Projection'!D34, IF($I$62=3,'Nº Cars Projection'!F34)))</f>
        <v>24320000</v>
      </c>
      <c r="F112" s="210">
        <f t="shared" si="14"/>
        <v>2036150.9194993491</v>
      </c>
      <c r="G112" s="210">
        <f t="shared" si="15"/>
        <v>2001130.119499349</v>
      </c>
      <c r="H112" s="210">
        <f t="shared" si="16"/>
        <v>35020.799999999996</v>
      </c>
      <c r="I112" s="210">
        <f t="shared" si="20"/>
        <v>220000</v>
      </c>
      <c r="J112" s="210">
        <f t="shared" si="17"/>
        <v>625835.21245277335</v>
      </c>
      <c r="K112" s="266">
        <f t="shared" si="8"/>
        <v>21.444463145996895</v>
      </c>
      <c r="L112" s="210">
        <f t="shared" si="18"/>
        <v>5215293.4371064445</v>
      </c>
      <c r="M112" s="211">
        <f t="shared" si="9"/>
        <v>18478871.350440782</v>
      </c>
      <c r="N112" s="210">
        <f t="shared" ca="1" si="10"/>
        <v>2193550.7438685424</v>
      </c>
      <c r="O112" s="211">
        <f t="shared" ca="1" si="11"/>
        <v>2166302.7438685424</v>
      </c>
      <c r="P112" s="211">
        <f t="shared" ca="1" si="12"/>
        <v>27248</v>
      </c>
      <c r="Q112" s="259"/>
    </row>
    <row r="113" spans="1:17">
      <c r="A113" s="256">
        <v>2047</v>
      </c>
      <c r="B113" s="257">
        <f t="shared" si="13"/>
        <v>2.7173355775196271</v>
      </c>
      <c r="C113" s="208">
        <v>0.14799999999999999</v>
      </c>
      <c r="D113" s="209">
        <f t="shared" si="19"/>
        <v>1.7677275124994243</v>
      </c>
      <c r="E113" s="210">
        <f>IF($I$62=1,'Nº Cars Projection'!B35, IF($I$62=2,'Nº Cars Projection'!D35, IF($I$62=3,'Nº Cars Projection'!F35)))</f>
        <v>24540000</v>
      </c>
      <c r="F113" s="210">
        <f t="shared" si="14"/>
        <v>2054570.0478829781</v>
      </c>
      <c r="G113" s="210">
        <f t="shared" si="15"/>
        <v>2018250.8478829782</v>
      </c>
      <c r="H113" s="210">
        <f t="shared" si="16"/>
        <v>36319.199999999997</v>
      </c>
      <c r="I113" s="210">
        <f t="shared" si="20"/>
        <v>220000</v>
      </c>
      <c r="J113" s="210">
        <f t="shared" si="17"/>
        <v>666834.15072331647</v>
      </c>
      <c r="K113" s="266">
        <f t="shared" si="8"/>
        <v>22.644463145996891</v>
      </c>
      <c r="L113" s="210">
        <f t="shared" si="18"/>
        <v>5556951.256027637</v>
      </c>
      <c r="M113" s="211">
        <f t="shared" si="9"/>
        <v>18316214.593249045</v>
      </c>
      <c r="N113" s="210">
        <f t="shared" ca="1" si="10"/>
        <v>2126572.0952008003</v>
      </c>
      <c r="O113" s="211">
        <f t="shared" ca="1" si="11"/>
        <v>2099140.0952008003</v>
      </c>
      <c r="P113" s="211">
        <f t="shared" ca="1" si="12"/>
        <v>27432</v>
      </c>
      <c r="Q113" s="259"/>
    </row>
    <row r="114" spans="1:17">
      <c r="A114" s="256">
        <v>2048</v>
      </c>
      <c r="B114" s="257">
        <f t="shared" si="13"/>
        <v>2.8653355775196272</v>
      </c>
      <c r="C114" s="208">
        <v>0.152</v>
      </c>
      <c r="D114" s="209">
        <f t="shared" si="19"/>
        <v>1.8155039317561652</v>
      </c>
      <c r="E114" s="210">
        <f>IF($I$62=1,'Nº Cars Projection'!B36, IF($I$62=2,'Nº Cars Projection'!D36, IF($I$62=3,'Nº Cars Projection'!F36)))</f>
        <v>24760000</v>
      </c>
      <c r="F114" s="210">
        <f t="shared" si="14"/>
        <v>2072989.1762666071</v>
      </c>
      <c r="G114" s="210">
        <f t="shared" si="15"/>
        <v>2035353.9762666072</v>
      </c>
      <c r="H114" s="210">
        <f t="shared" si="16"/>
        <v>37635.199999999997</v>
      </c>
      <c r="I114" s="210">
        <f t="shared" si="20"/>
        <v>220000</v>
      </c>
      <c r="J114" s="210">
        <f t="shared" si="17"/>
        <v>709457.08899385971</v>
      </c>
      <c r="K114" s="266">
        <f t="shared" si="8"/>
        <v>23.877796479330229</v>
      </c>
      <c r="L114" s="210">
        <f t="shared" si="18"/>
        <v>5912142.4082821645</v>
      </c>
      <c r="M114" s="211">
        <f t="shared" si="9"/>
        <v>18138400.502723977</v>
      </c>
      <c r="N114" s="210">
        <f t="shared" ca="1" si="10"/>
        <v>2059593.4465330588</v>
      </c>
      <c r="O114" s="211">
        <f t="shared" ca="1" si="11"/>
        <v>2032041.4465330588</v>
      </c>
      <c r="P114" s="211">
        <f t="shared" ca="1" si="12"/>
        <v>27552</v>
      </c>
      <c r="Q114" s="259"/>
    </row>
    <row r="115" spans="1:17">
      <c r="A115" s="256">
        <v>2049</v>
      </c>
      <c r="B115" s="257">
        <f t="shared" si="13"/>
        <v>3.0173355775196273</v>
      </c>
      <c r="C115" s="208">
        <v>0.156</v>
      </c>
      <c r="D115" s="209">
        <f t="shared" si="19"/>
        <v>1.8632803510129068</v>
      </c>
      <c r="E115" s="210">
        <f>IF($I$62=1,'Nº Cars Projection'!B37, IF($I$62=2,'Nº Cars Projection'!D37, IF($I$62=3,'Nº Cars Projection'!F37)))</f>
        <v>24980000</v>
      </c>
      <c r="F115" s="210">
        <f t="shared" si="14"/>
        <v>2091408.3046502362</v>
      </c>
      <c r="G115" s="210">
        <f t="shared" si="15"/>
        <v>2052439.5046502361</v>
      </c>
      <c r="H115" s="210">
        <f t="shared" si="16"/>
        <v>38968.800000000003</v>
      </c>
      <c r="I115" s="210">
        <f t="shared" si="20"/>
        <v>220000</v>
      </c>
      <c r="J115" s="210">
        <f t="shared" si="17"/>
        <v>753730.42726440297</v>
      </c>
      <c r="K115" s="266">
        <f t="shared" si="8"/>
        <v>25.144463145996898</v>
      </c>
      <c r="L115" s="210">
        <f t="shared" si="18"/>
        <v>6281086.8938700249</v>
      </c>
      <c r="M115" s="211">
        <f t="shared" si="9"/>
        <v>17945182.678865571</v>
      </c>
      <c r="N115" s="210">
        <f t="shared" ca="1" si="10"/>
        <v>1992614.797865317</v>
      </c>
      <c r="O115" s="211">
        <f t="shared" ca="1" si="11"/>
        <v>1965006.797865317</v>
      </c>
      <c r="P115" s="211">
        <f t="shared" ca="1" si="12"/>
        <v>27608</v>
      </c>
      <c r="Q115" s="259"/>
    </row>
    <row r="116" spans="1:17">
      <c r="A116" s="256">
        <v>2050</v>
      </c>
      <c r="B116" s="257">
        <f t="shared" si="13"/>
        <v>3.1733355775196275</v>
      </c>
      <c r="C116" s="208">
        <v>0.16</v>
      </c>
      <c r="D116" s="209">
        <f t="shared" si="19"/>
        <v>1.9110567702696479</v>
      </c>
      <c r="E116" s="210">
        <f>IF($I$62=1,'Nº Cars Projection'!B38, IF($I$62=2,'Nº Cars Projection'!D38, IF($I$62=3,'Nº Cars Projection'!F38)))</f>
        <v>25200000</v>
      </c>
      <c r="F116" s="210">
        <f t="shared" si="14"/>
        <v>2109827.4330338649</v>
      </c>
      <c r="G116" s="210">
        <f t="shared" si="15"/>
        <v>2069507.4330338649</v>
      </c>
      <c r="H116" s="210">
        <f t="shared" si="16"/>
        <v>40320</v>
      </c>
      <c r="I116" s="210">
        <f t="shared" si="20"/>
        <v>220000</v>
      </c>
      <c r="J116" s="210">
        <f t="shared" si="17"/>
        <v>799680.56553494616</v>
      </c>
      <c r="K116" s="266">
        <f t="shared" si="8"/>
        <v>26.444463145996899</v>
      </c>
      <c r="L116" s="210">
        <f t="shared" si="18"/>
        <v>6664004.7127912184</v>
      </c>
      <c r="M116" s="211">
        <f t="shared" si="9"/>
        <v>17736314.721673835</v>
      </c>
      <c r="N116" s="210">
        <f t="shared" ca="1" si="10"/>
        <v>1925636.1491975752</v>
      </c>
      <c r="O116" s="211">
        <f t="shared" ca="1" si="11"/>
        <v>1898036.1491975752</v>
      </c>
      <c r="P116" s="211">
        <f t="shared" ca="1" si="12"/>
        <v>27600</v>
      </c>
      <c r="Q116" s="259"/>
    </row>
  </sheetData>
  <customSheetViews>
    <customSheetView guid="{6CD3DBEE-3ADC-5D4E-9E8E-2656A4A55EE6}">
      <selection activeCell="E3" sqref="E3"/>
      <pageMargins left="0" right="0" top="0" bottom="0" header="0" footer="0"/>
    </customSheetView>
  </customSheetViews>
  <mergeCells count="6">
    <mergeCell ref="B1:D1"/>
    <mergeCell ref="I62:I64"/>
    <mergeCell ref="A63:B63"/>
    <mergeCell ref="A64:B64"/>
    <mergeCell ref="A61:B61"/>
    <mergeCell ref="A62:B62"/>
  </mergeCells>
  <conditionalFormatting sqref="C3:C52">
    <cfRule type="dataBar" priority="5">
      <dataBar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{BBDACB4C-B01D-3447-BCFE-E109394D14D4}</x14:id>
        </ext>
      </extLst>
    </cfRule>
    <cfRule type="dataBar" priority="6">
      <dataBar>
        <cfvo type="percent" val="0"/>
        <cfvo type="percent" val="1"/>
        <color rgb="FF638EC6"/>
      </dataBar>
      <extLst>
        <ext xmlns:x14="http://schemas.microsoft.com/office/spreadsheetml/2009/9/main" uri="{B025F937-C7B1-47D3-B67F-A62EFF666E3E}">
          <x14:id>{A46B7366-D76C-B942-BC28-CA5857F040CF}</x14:id>
        </ext>
      </extLst>
    </cfRule>
  </conditionalFormatting>
  <conditionalFormatting sqref="B3:B52">
    <cfRule type="dataBar" priority="3">
      <dataBar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{FD6EA825-D665-B148-8020-2B1E7AF392AD}</x14:id>
        </ext>
      </extLst>
    </cfRule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{2B75B154-69E1-814C-9A2B-F893B3C1128A}</x14:id>
        </ext>
      </extLst>
    </cfRule>
  </conditionalFormatting>
  <conditionalFormatting sqref="D3:D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{B761FC8B-C99E-814C-A726-56807F1E9F44}</x14:id>
        </ext>
      </extLst>
    </cfRule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{E1BD66E3-4C16-A544-881A-C75428643B88}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DACB4C-B01D-3447-BCFE-E109394D14D4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A46B7366-D76C-B942-BC28-CA5857F040CF}">
            <x14:dataBar minLength="0" maxLength="100" gradient="0">
              <x14:cfvo type="percent">
                <xm:f>0</xm:f>
              </x14:cfvo>
              <x14:cfvo type="percent">
                <xm:f>1</xm:f>
              </x14:cfvo>
              <x14:negativeFillColor rgb="FFFF0000"/>
              <x14:axisColor rgb="FF000000"/>
            </x14:dataBar>
          </x14:cfRule>
          <xm:sqref>C3:C52</xm:sqref>
        </x14:conditionalFormatting>
        <x14:conditionalFormatting xmlns:xm="http://schemas.microsoft.com/office/excel/2006/main">
          <x14:cfRule type="dataBar" id="{FD6EA825-D665-B148-8020-2B1E7AF392AD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2B75B154-69E1-814C-9A2B-F893B3C112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B3:B52</xm:sqref>
        </x14:conditionalFormatting>
        <x14:conditionalFormatting xmlns:xm="http://schemas.microsoft.com/office/excel/2006/main">
          <x14:cfRule type="dataBar" id="{B761FC8B-C99E-814C-A726-56807F1E9F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BD66E3-4C16-A544-881A-C75428643B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3"/>
  <sheetViews>
    <sheetView zoomScale="40" zoomScaleNormal="40" workbookViewId="0">
      <selection activeCell="I167" sqref="I167"/>
    </sheetView>
  </sheetViews>
  <sheetFormatPr defaultColWidth="9" defaultRowHeight="14.4"/>
  <cols>
    <col min="1" max="1" width="31.09765625" style="225" bestFit="1" customWidth="1"/>
    <col min="2" max="2" width="23.59765625" style="225" bestFit="1" customWidth="1"/>
    <col min="3" max="3" width="12.59765625" style="225" customWidth="1"/>
    <col min="4" max="4" width="31.3984375" style="225" bestFit="1" customWidth="1"/>
    <col min="5" max="5" width="22.5" style="225" customWidth="1"/>
    <col min="6" max="6" width="30" style="225" customWidth="1"/>
    <col min="7" max="7" width="24.3984375" style="225" customWidth="1"/>
    <col min="8" max="8" width="23" style="225" bestFit="1" customWidth="1"/>
    <col min="9" max="9" width="22.8984375" style="225" customWidth="1"/>
    <col min="10" max="10" width="13.19921875" style="225" customWidth="1"/>
    <col min="11" max="11" width="30.3984375" style="225" bestFit="1" customWidth="1"/>
    <col min="12" max="18" width="10" style="225" customWidth="1"/>
    <col min="19" max="19" width="5.8984375" style="225" bestFit="1" customWidth="1"/>
    <col min="20" max="20" width="10.09765625" style="225" bestFit="1" customWidth="1"/>
    <col min="21" max="21" width="8.09765625" style="226" bestFit="1" customWidth="1"/>
    <col min="22" max="22" width="17.59765625" style="226" bestFit="1" customWidth="1"/>
    <col min="23" max="23" width="17.09765625" style="227" bestFit="1" customWidth="1"/>
    <col min="24" max="24" width="6.59765625" style="225" bestFit="1" customWidth="1"/>
    <col min="25" max="25" width="9.5" style="225" customWidth="1"/>
    <col min="26" max="26" width="15.3984375" style="225" bestFit="1" customWidth="1"/>
    <col min="27" max="27" width="16" style="225" bestFit="1" customWidth="1"/>
    <col min="28" max="28" width="11.09765625" style="225" bestFit="1" customWidth="1"/>
    <col min="29" max="29" width="8.59765625" style="225" bestFit="1" customWidth="1"/>
    <col min="30" max="30" width="17.3984375" style="225" bestFit="1" customWidth="1"/>
    <col min="31" max="31" width="16.5" style="225" bestFit="1" customWidth="1"/>
    <col min="32" max="32" width="19.09765625" style="225" bestFit="1" customWidth="1"/>
    <col min="33" max="33" width="9.59765625" style="225" bestFit="1" customWidth="1"/>
    <col min="34" max="34" width="9" style="225" bestFit="1" customWidth="1"/>
    <col min="35" max="35" width="7.8984375" style="225" bestFit="1" customWidth="1"/>
    <col min="36" max="36" width="10.5" style="225" bestFit="1" customWidth="1"/>
    <col min="37" max="37" width="11.5" style="225" bestFit="1" customWidth="1"/>
    <col min="38" max="38" width="10.8984375" style="225" bestFit="1" customWidth="1"/>
    <col min="39" max="39" width="24.09765625" style="225" bestFit="1" customWidth="1"/>
    <col min="40" max="1031" width="10" style="225" customWidth="1"/>
    <col min="1032" max="16384" width="9" style="225"/>
  </cols>
  <sheetData>
    <row r="1" spans="1:7" ht="16.5" customHeight="1" thickBot="1">
      <c r="B1" s="503" t="s">
        <v>95</v>
      </c>
      <c r="C1" s="504"/>
      <c r="D1" s="504"/>
      <c r="E1" s="505"/>
    </row>
    <row r="2" spans="1:7">
      <c r="A2" s="11" t="s">
        <v>43</v>
      </c>
      <c r="B2" s="299" t="s">
        <v>78</v>
      </c>
      <c r="C2" s="299" t="s">
        <v>76</v>
      </c>
      <c r="D2" s="299" t="s">
        <v>96</v>
      </c>
      <c r="E2" s="299" t="s">
        <v>88</v>
      </c>
      <c r="F2" s="233"/>
      <c r="G2" s="233"/>
    </row>
    <row r="3" spans="1:7">
      <c r="A3" s="220">
        <v>2001</v>
      </c>
      <c r="B3" s="224">
        <f t="shared" ref="B3:E22" si="0">SUM(B67)</f>
        <v>1.0836394780857617E-3</v>
      </c>
      <c r="C3" s="223">
        <f t="shared" si="0"/>
        <v>0</v>
      </c>
      <c r="D3" s="223">
        <f t="shared" si="0"/>
        <v>0</v>
      </c>
      <c r="E3" s="221">
        <f t="shared" si="0"/>
        <v>1.9742220790803693E-3</v>
      </c>
      <c r="F3" s="234"/>
      <c r="G3" s="234"/>
    </row>
    <row r="4" spans="1:7">
      <c r="A4" s="220">
        <v>2002</v>
      </c>
      <c r="B4" s="224">
        <f t="shared" si="0"/>
        <v>1.2659286147514003E-3</v>
      </c>
      <c r="C4" s="223">
        <f t="shared" si="0"/>
        <v>1.8228913666563863E-4</v>
      </c>
      <c r="D4" s="223">
        <f t="shared" si="0"/>
        <v>1.8228913666563863E-4</v>
      </c>
      <c r="E4" s="221">
        <f t="shared" si="0"/>
        <v>2.015415690682957E-3</v>
      </c>
      <c r="F4" s="234"/>
      <c r="G4" s="234"/>
    </row>
    <row r="5" spans="1:7">
      <c r="A5" s="220">
        <v>2003</v>
      </c>
      <c r="B5" s="224">
        <f t="shared" si="0"/>
        <v>1.3318029429257947E-3</v>
      </c>
      <c r="C5" s="223">
        <f t="shared" si="0"/>
        <v>6.5874328174394398E-5</v>
      </c>
      <c r="D5" s="223">
        <f t="shared" si="0"/>
        <v>-1.1641480849124424E-4</v>
      </c>
      <c r="E5" s="221">
        <f t="shared" si="0"/>
        <v>8.7040600655831867E-4</v>
      </c>
      <c r="F5" s="234"/>
      <c r="G5" s="234"/>
    </row>
    <row r="6" spans="1:7">
      <c r="A6" s="220">
        <v>2004</v>
      </c>
      <c r="B6" s="224">
        <f t="shared" si="0"/>
        <v>1.4784792888210773E-3</v>
      </c>
      <c r="C6" s="223">
        <f t="shared" si="0"/>
        <v>1.4667634589528257E-4</v>
      </c>
      <c r="D6" s="223">
        <f t="shared" si="0"/>
        <v>8.0802017720888169E-5</v>
      </c>
      <c r="E6" s="221">
        <f t="shared" si="0"/>
        <v>1.9262827020198631E-3</v>
      </c>
      <c r="F6" s="234"/>
      <c r="G6" s="234"/>
    </row>
    <row r="7" spans="1:7">
      <c r="A7" s="220">
        <v>2005</v>
      </c>
      <c r="B7" s="224">
        <f t="shared" si="0"/>
        <v>2.0529919445546572E-3</v>
      </c>
      <c r="C7" s="223">
        <f t="shared" si="0"/>
        <v>5.7451265573357996E-4</v>
      </c>
      <c r="D7" s="223">
        <f t="shared" si="0"/>
        <v>4.2783630983829739E-4</v>
      </c>
      <c r="E7" s="221">
        <f t="shared" si="0"/>
        <v>6.7691335714153813E-3</v>
      </c>
      <c r="F7" s="234"/>
      <c r="G7" s="234"/>
    </row>
    <row r="8" spans="1:7">
      <c r="A8" s="220">
        <v>2006</v>
      </c>
      <c r="B8" s="224">
        <f t="shared" si="0"/>
        <v>2.9293115736664689E-3</v>
      </c>
      <c r="C8" s="223">
        <f t="shared" si="0"/>
        <v>8.7631962911181166E-4</v>
      </c>
      <c r="D8" s="223">
        <f t="shared" si="0"/>
        <v>3.018069733782317E-4</v>
      </c>
      <c r="E8" s="221">
        <f t="shared" si="0"/>
        <v>1.0424415267521388E-2</v>
      </c>
      <c r="F8" s="234"/>
      <c r="G8" s="234"/>
    </row>
    <row r="9" spans="1:7">
      <c r="A9" s="220">
        <v>2007</v>
      </c>
      <c r="B9" s="224">
        <f t="shared" si="0"/>
        <v>4.2690613139991663E-3</v>
      </c>
      <c r="C9" s="223">
        <f t="shared" si="0"/>
        <v>1.3397497403326974E-3</v>
      </c>
      <c r="D9" s="223">
        <f t="shared" si="0"/>
        <v>4.6343011122088572E-4</v>
      </c>
      <c r="E9" s="221">
        <f t="shared" si="0"/>
        <v>1.6217682581619167E-2</v>
      </c>
      <c r="F9" s="234"/>
      <c r="G9" s="234"/>
    </row>
    <row r="10" spans="1:7">
      <c r="A10" s="220">
        <v>2008</v>
      </c>
      <c r="B10" s="224">
        <f t="shared" si="0"/>
        <v>4.7215795033988782E-3</v>
      </c>
      <c r="C10" s="223">
        <f t="shared" si="0"/>
        <v>4.525181893997119E-4</v>
      </c>
      <c r="D10" s="223">
        <f t="shared" si="0"/>
        <v>-8.8723155093298547E-4</v>
      </c>
      <c r="E10" s="221">
        <f t="shared" si="0"/>
        <v>6.3438550700995978E-3</v>
      </c>
      <c r="F10" s="234"/>
      <c r="G10" s="234"/>
    </row>
    <row r="11" spans="1:7">
      <c r="A11" s="220">
        <v>2009</v>
      </c>
      <c r="B11" s="224">
        <f t="shared" si="0"/>
        <v>5.1648227159495734E-3</v>
      </c>
      <c r="C11" s="223">
        <f t="shared" si="0"/>
        <v>4.4324321255069521E-4</v>
      </c>
      <c r="D11" s="223">
        <f t="shared" si="0"/>
        <v>-9.2749768490166945E-6</v>
      </c>
      <c r="E11" s="221">
        <f t="shared" si="0"/>
        <v>6.5522547434741134E-3</v>
      </c>
      <c r="F11" s="234"/>
      <c r="G11" s="234"/>
    </row>
    <row r="12" spans="1:7">
      <c r="A12" s="220">
        <v>2010</v>
      </c>
      <c r="B12" s="224">
        <f t="shared" si="0"/>
        <v>5.455032817519855E-3</v>
      </c>
      <c r="C12" s="223">
        <f t="shared" si="0"/>
        <v>2.9021010157028165E-4</v>
      </c>
      <c r="D12" s="223">
        <f t="shared" si="0"/>
        <v>-1.5303311098041356E-4</v>
      </c>
      <c r="E12" s="221">
        <f t="shared" si="0"/>
        <v>4.5586331394394629E-3</v>
      </c>
      <c r="F12" s="234"/>
      <c r="G12" s="234"/>
    </row>
    <row r="13" spans="1:7">
      <c r="A13" s="220">
        <v>2011</v>
      </c>
      <c r="B13" s="224">
        <f t="shared" si="0"/>
        <v>9.2187136637866592E-3</v>
      </c>
      <c r="C13" s="223">
        <f t="shared" si="0"/>
        <v>3.7636808462668042E-3</v>
      </c>
      <c r="D13" s="223">
        <f t="shared" si="0"/>
        <v>3.4734707446965225E-3</v>
      </c>
      <c r="E13" s="221">
        <f t="shared" si="0"/>
        <v>5.6627215135122512E-2</v>
      </c>
      <c r="F13" s="234"/>
      <c r="G13" s="234"/>
    </row>
    <row r="14" spans="1:7">
      <c r="A14" s="220">
        <v>2012</v>
      </c>
      <c r="B14" s="224">
        <f t="shared" si="0"/>
        <v>1.4475926782500006E-2</v>
      </c>
      <c r="C14" s="223">
        <f t="shared" si="0"/>
        <v>5.2572131187133466E-3</v>
      </c>
      <c r="D14" s="223">
        <f t="shared" si="0"/>
        <v>1.4935322724465424E-3</v>
      </c>
      <c r="E14" s="221">
        <f t="shared" si="0"/>
        <v>7.6645524520776623E-2</v>
      </c>
      <c r="F14" s="234"/>
      <c r="G14" s="234"/>
    </row>
    <row r="15" spans="1:7">
      <c r="A15" s="220">
        <v>2013</v>
      </c>
      <c r="B15" s="224">
        <f t="shared" si="0"/>
        <v>2.1617860645360358E-2</v>
      </c>
      <c r="C15" s="223">
        <f t="shared" si="0"/>
        <v>7.1419338628603522E-3</v>
      </c>
      <c r="D15" s="223">
        <f t="shared" si="0"/>
        <v>1.8847207441470056E-3</v>
      </c>
      <c r="E15" s="221">
        <f t="shared" si="0"/>
        <v>9.6689159155001411E-2</v>
      </c>
      <c r="F15" s="234"/>
      <c r="G15" s="234"/>
    </row>
    <row r="16" spans="1:7">
      <c r="A16" s="220">
        <v>2014</v>
      </c>
      <c r="B16" s="224">
        <f t="shared" si="0"/>
        <v>5.5197773916824566E-2</v>
      </c>
      <c r="C16" s="223">
        <f t="shared" si="0"/>
        <v>3.3579913271464208E-2</v>
      </c>
      <c r="D16" s="223">
        <f t="shared" si="0"/>
        <v>2.6437979408603856E-2</v>
      </c>
      <c r="E16" s="221">
        <f t="shared" si="0"/>
        <v>0.41564682923651364</v>
      </c>
      <c r="F16" s="234"/>
      <c r="G16" s="234"/>
    </row>
    <row r="17" spans="1:7">
      <c r="A17" s="220">
        <v>2015</v>
      </c>
      <c r="B17" s="224">
        <f t="shared" si="0"/>
        <v>8.2172891322468522E-2</v>
      </c>
      <c r="C17" s="223">
        <f t="shared" si="0"/>
        <v>2.6975117405643956E-2</v>
      </c>
      <c r="D17" s="223">
        <f t="shared" si="0"/>
        <v>-6.6047958658202524E-3</v>
      </c>
      <c r="E17" s="221">
        <f t="shared" si="0"/>
        <v>0.33058209225583407</v>
      </c>
      <c r="F17" s="234"/>
      <c r="G17" s="234"/>
    </row>
    <row r="18" spans="1:7">
      <c r="A18" s="220">
        <v>2016</v>
      </c>
      <c r="B18" s="224">
        <f t="shared" si="0"/>
        <v>0.10975423442104723</v>
      </c>
      <c r="C18" s="223">
        <f t="shared" si="0"/>
        <v>2.7581343098578709E-2</v>
      </c>
      <c r="D18" s="223">
        <f t="shared" si="0"/>
        <v>6.0622569293475315E-4</v>
      </c>
      <c r="E18" s="221">
        <f t="shared" si="0"/>
        <v>0.34142267826006256</v>
      </c>
      <c r="F18" s="234"/>
      <c r="G18" s="234"/>
    </row>
    <row r="19" spans="1:7">
      <c r="A19" s="222">
        <v>2017</v>
      </c>
      <c r="B19" s="218">
        <f t="shared" si="0"/>
        <v>0.13733557751962594</v>
      </c>
      <c r="C19" s="217">
        <f t="shared" si="0"/>
        <v>2.7581343098578709E-2</v>
      </c>
      <c r="D19" s="217">
        <f t="shared" si="0"/>
        <v>0</v>
      </c>
      <c r="E19" s="219">
        <f t="shared" si="0"/>
        <v>0.3294344528854305</v>
      </c>
    </row>
    <row r="20" spans="1:7">
      <c r="A20" s="222">
        <v>2018</v>
      </c>
      <c r="B20" s="218">
        <f t="shared" si="0"/>
        <v>0.16491692061820465</v>
      </c>
      <c r="C20" s="217">
        <f t="shared" si="0"/>
        <v>2.7581343098578709E-2</v>
      </c>
      <c r="D20" s="217">
        <f t="shared" si="0"/>
        <v>0</v>
      </c>
      <c r="E20" s="219">
        <f t="shared" si="0"/>
        <v>0.32943445288543044</v>
      </c>
    </row>
    <row r="21" spans="1:7">
      <c r="A21" s="222">
        <v>2019</v>
      </c>
      <c r="B21" s="218">
        <f t="shared" si="0"/>
        <v>0.19249826371678336</v>
      </c>
      <c r="C21" s="217">
        <f t="shared" si="0"/>
        <v>2.7581343098578709E-2</v>
      </c>
      <c r="D21" s="217">
        <f t="shared" si="0"/>
        <v>0</v>
      </c>
      <c r="E21" s="219">
        <f t="shared" si="0"/>
        <v>0.32943445288543044</v>
      </c>
    </row>
    <row r="22" spans="1:7">
      <c r="A22" s="222">
        <v>2020</v>
      </c>
      <c r="B22" s="218">
        <f t="shared" si="0"/>
        <v>0.22007960681536207</v>
      </c>
      <c r="C22" s="217">
        <f t="shared" si="0"/>
        <v>2.7581343098578709E-2</v>
      </c>
      <c r="D22" s="217">
        <f t="shared" si="0"/>
        <v>0</v>
      </c>
      <c r="E22" s="219">
        <f t="shared" si="0"/>
        <v>0.32943445288543044</v>
      </c>
    </row>
    <row r="23" spans="1:7">
      <c r="A23" s="222">
        <v>2021</v>
      </c>
      <c r="B23" s="218">
        <f t="shared" ref="B23:E42" si="1">SUM(B87)</f>
        <v>0.24766094991394078</v>
      </c>
      <c r="C23" s="217">
        <f t="shared" si="1"/>
        <v>2.7581343098578709E-2</v>
      </c>
      <c r="D23" s="217">
        <f t="shared" si="1"/>
        <v>0</v>
      </c>
      <c r="E23" s="219">
        <f t="shared" si="1"/>
        <v>0.32943445288543044</v>
      </c>
    </row>
    <row r="24" spans="1:7">
      <c r="A24" s="222">
        <v>2022</v>
      </c>
      <c r="B24" s="218">
        <f t="shared" si="1"/>
        <v>0.27524229301251946</v>
      </c>
      <c r="C24" s="217">
        <f t="shared" si="1"/>
        <v>2.7581343098578681E-2</v>
      </c>
      <c r="D24" s="217">
        <f t="shared" si="1"/>
        <v>-2.7755575615628914E-17</v>
      </c>
      <c r="E24" s="219">
        <f t="shared" si="1"/>
        <v>0.32943445288543011</v>
      </c>
    </row>
    <row r="25" spans="1:7">
      <c r="A25" s="222">
        <v>2023</v>
      </c>
      <c r="B25" s="218">
        <f t="shared" si="1"/>
        <v>0.30282363611109814</v>
      </c>
      <c r="C25" s="217">
        <f t="shared" si="1"/>
        <v>2.7581343098578681E-2</v>
      </c>
      <c r="D25" s="217">
        <f t="shared" si="1"/>
        <v>0</v>
      </c>
      <c r="E25" s="219">
        <f t="shared" si="1"/>
        <v>0.32943445288543016</v>
      </c>
    </row>
    <row r="26" spans="1:7">
      <c r="A26" s="222">
        <v>2024</v>
      </c>
      <c r="B26" s="218">
        <f t="shared" si="1"/>
        <v>0.33040497920967682</v>
      </c>
      <c r="C26" s="217">
        <f t="shared" si="1"/>
        <v>2.7581343098578681E-2</v>
      </c>
      <c r="D26" s="217">
        <f t="shared" si="1"/>
        <v>0</v>
      </c>
      <c r="E26" s="219">
        <f t="shared" si="1"/>
        <v>0.32943445288543011</v>
      </c>
    </row>
    <row r="27" spans="1:7">
      <c r="A27" s="222">
        <v>2025</v>
      </c>
      <c r="B27" s="218">
        <f t="shared" si="1"/>
        <v>0.3579863223082555</v>
      </c>
      <c r="C27" s="217">
        <f t="shared" si="1"/>
        <v>2.7581343098578681E-2</v>
      </c>
      <c r="D27" s="217">
        <f t="shared" si="1"/>
        <v>0</v>
      </c>
      <c r="E27" s="219">
        <f t="shared" si="1"/>
        <v>0.32943445288543011</v>
      </c>
    </row>
    <row r="28" spans="1:7">
      <c r="A28" s="222">
        <v>2026</v>
      </c>
      <c r="B28" s="218">
        <f t="shared" si="1"/>
        <v>0.38556766540683418</v>
      </c>
      <c r="C28" s="217">
        <f t="shared" si="1"/>
        <v>2.7581343098578681E-2</v>
      </c>
      <c r="D28" s="217">
        <f t="shared" si="1"/>
        <v>0</v>
      </c>
      <c r="E28" s="219">
        <f t="shared" si="1"/>
        <v>0.32943445288543011</v>
      </c>
    </row>
    <row r="29" spans="1:7">
      <c r="A29" s="222">
        <v>2027</v>
      </c>
      <c r="B29" s="218">
        <f t="shared" si="1"/>
        <v>0.41314900850541286</v>
      </c>
      <c r="C29" s="217">
        <f t="shared" si="1"/>
        <v>2.7581343098578681E-2</v>
      </c>
      <c r="D29" s="217">
        <f t="shared" si="1"/>
        <v>0</v>
      </c>
      <c r="E29" s="219">
        <f t="shared" si="1"/>
        <v>0.32943445288543016</v>
      </c>
    </row>
    <row r="30" spans="1:7">
      <c r="A30" s="235">
        <v>2028</v>
      </c>
      <c r="B30" s="218">
        <f t="shared" si="1"/>
        <v>0.44073035160399154</v>
      </c>
      <c r="C30" s="217">
        <f t="shared" si="1"/>
        <v>2.7581343098578681E-2</v>
      </c>
      <c r="D30" s="217">
        <f t="shared" si="1"/>
        <v>0</v>
      </c>
      <c r="E30" s="219">
        <f t="shared" si="1"/>
        <v>0.32943445288543011</v>
      </c>
    </row>
    <row r="31" spans="1:7">
      <c r="A31" s="235">
        <v>2029</v>
      </c>
      <c r="B31" s="218">
        <f t="shared" si="1"/>
        <v>0.46831169470257022</v>
      </c>
      <c r="C31" s="217">
        <f t="shared" si="1"/>
        <v>2.7581343098578681E-2</v>
      </c>
      <c r="D31" s="217">
        <f t="shared" si="1"/>
        <v>0</v>
      </c>
      <c r="E31" s="219">
        <f t="shared" si="1"/>
        <v>0.32943445288543011</v>
      </c>
    </row>
    <row r="32" spans="1:7">
      <c r="A32" s="235">
        <v>2030</v>
      </c>
      <c r="B32" s="218">
        <f t="shared" si="1"/>
        <v>0.49589303780114891</v>
      </c>
      <c r="C32" s="217">
        <f t="shared" si="1"/>
        <v>2.7581343098578681E-2</v>
      </c>
      <c r="D32" s="217">
        <f t="shared" si="1"/>
        <v>0</v>
      </c>
      <c r="E32" s="219">
        <f t="shared" si="1"/>
        <v>0.32943445288543011</v>
      </c>
    </row>
    <row r="33" spans="1:5">
      <c r="A33" s="235">
        <v>2031</v>
      </c>
      <c r="B33" s="218">
        <f t="shared" si="1"/>
        <v>0.64501848872077017</v>
      </c>
      <c r="C33" s="217">
        <f t="shared" si="1"/>
        <v>0.14912545091962126</v>
      </c>
      <c r="D33" s="217">
        <f t="shared" si="1"/>
        <v>0.12154410782104258</v>
      </c>
      <c r="E33" s="219">
        <f t="shared" si="1"/>
        <v>1.781170016246602</v>
      </c>
    </row>
    <row r="34" spans="1:5">
      <c r="A34" s="235">
        <v>2032</v>
      </c>
      <c r="B34" s="218">
        <f t="shared" si="1"/>
        <v>0.88318557514350426</v>
      </c>
      <c r="C34" s="217">
        <f t="shared" si="1"/>
        <v>0.2381670864227341</v>
      </c>
      <c r="D34" s="217">
        <f t="shared" si="1"/>
        <v>8.9041635503112837E-2</v>
      </c>
      <c r="E34" s="219">
        <f t="shared" si="1"/>
        <v>2.8446926435222646</v>
      </c>
    </row>
    <row r="35" spans="1:5">
      <c r="A35" s="235">
        <v>2033</v>
      </c>
      <c r="B35" s="218">
        <f t="shared" si="1"/>
        <v>1.2000000000000162</v>
      </c>
      <c r="C35" s="217">
        <f t="shared" si="1"/>
        <v>0.3168144248565119</v>
      </c>
      <c r="D35" s="217">
        <f t="shared" si="1"/>
        <v>7.8647338433777803E-2</v>
      </c>
      <c r="E35" s="219">
        <f t="shared" si="1"/>
        <v>3.7840646971320107</v>
      </c>
    </row>
    <row r="36" spans="1:5">
      <c r="A36" s="235">
        <v>2034</v>
      </c>
      <c r="B36" s="218">
        <f t="shared" si="1"/>
        <v>1.6139619095019853</v>
      </c>
      <c r="C36" s="217">
        <f t="shared" si="1"/>
        <v>0.41396190950196909</v>
      </c>
      <c r="D36" s="217">
        <f t="shared" si="1"/>
        <v>9.7147484645457194E-2</v>
      </c>
      <c r="E36" s="219">
        <f t="shared" si="1"/>
        <v>4.9444044361718085</v>
      </c>
    </row>
    <row r="37" spans="1:5">
      <c r="A37" s="235">
        <v>2035</v>
      </c>
      <c r="B37" s="218">
        <f t="shared" si="1"/>
        <v>2.1423995175666266</v>
      </c>
      <c r="C37" s="217">
        <f t="shared" si="1"/>
        <v>0.52843760806464135</v>
      </c>
      <c r="D37" s="217">
        <f t="shared" si="1"/>
        <v>0.11447569856267226</v>
      </c>
      <c r="E37" s="219">
        <f t="shared" si="1"/>
        <v>6.3117141784814477</v>
      </c>
    </row>
    <row r="38" spans="1:5">
      <c r="A38" s="235">
        <v>2036</v>
      </c>
      <c r="B38" s="218">
        <f t="shared" si="1"/>
        <v>2.7972572619877139</v>
      </c>
      <c r="C38" s="217">
        <f t="shared" si="1"/>
        <v>0.65485774442108724</v>
      </c>
      <c r="D38" s="217">
        <f t="shared" si="1"/>
        <v>0.12642013635644589</v>
      </c>
      <c r="E38" s="219">
        <f t="shared" si="1"/>
        <v>7.8216895377464333</v>
      </c>
    </row>
    <row r="39" spans="1:5">
      <c r="A39" s="235">
        <v>2037</v>
      </c>
      <c r="B39" s="218">
        <f t="shared" si="1"/>
        <v>3.5795955520444322</v>
      </c>
      <c r="C39" s="217">
        <f t="shared" si="1"/>
        <v>0.7823382900567184</v>
      </c>
      <c r="D39" s="217">
        <f t="shared" si="1"/>
        <v>0.12748054563563116</v>
      </c>
      <c r="E39" s="219">
        <f t="shared" si="1"/>
        <v>9.344330536587945</v>
      </c>
    </row>
    <row r="40" spans="1:5">
      <c r="A40" s="235">
        <v>2038</v>
      </c>
      <c r="B40" s="218">
        <f t="shared" si="1"/>
        <v>4.4743561402970604</v>
      </c>
      <c r="C40" s="217">
        <f t="shared" si="1"/>
        <v>0.89476058825262816</v>
      </c>
      <c r="D40" s="217">
        <f t="shared" si="1"/>
        <v>0.11242229819590976</v>
      </c>
      <c r="E40" s="219">
        <f t="shared" si="1"/>
        <v>10.687114249691486</v>
      </c>
    </row>
    <row r="41" spans="1:5">
      <c r="A41" s="235">
        <v>2039</v>
      </c>
      <c r="B41" s="218">
        <f t="shared" si="1"/>
        <v>5.4480654534421697</v>
      </c>
      <c r="C41" s="217">
        <f t="shared" si="1"/>
        <v>0.97370931314510933</v>
      </c>
      <c r="D41" s="217">
        <f t="shared" si="1"/>
        <v>7.894872489248117E-2</v>
      </c>
      <c r="E41" s="219">
        <f t="shared" si="1"/>
        <v>11.630086094753562</v>
      </c>
    </row>
    <row r="42" spans="1:5">
      <c r="A42" s="235">
        <v>2040</v>
      </c>
      <c r="B42" s="218">
        <f t="shared" si="1"/>
        <v>6.4520050784085825</v>
      </c>
      <c r="C42" s="217">
        <f t="shared" si="1"/>
        <v>1.0039396249664128</v>
      </c>
      <c r="D42" s="217">
        <f t="shared" si="1"/>
        <v>3.0230311821303424E-2</v>
      </c>
      <c r="E42" s="219">
        <f t="shared" si="1"/>
        <v>11.991160107712714</v>
      </c>
    </row>
    <row r="43" spans="1:5">
      <c r="A43" s="235">
        <v>2041</v>
      </c>
      <c r="B43" s="218">
        <f t="shared" ref="B43:E52" si="2">SUM(B107)</f>
        <v>7.4311200138388758</v>
      </c>
      <c r="C43" s="217">
        <f t="shared" si="2"/>
        <v>0.97911493543029327</v>
      </c>
      <c r="D43" s="217">
        <f t="shared" si="2"/>
        <v>-2.4824689536119493E-2</v>
      </c>
      <c r="E43" s="219">
        <f t="shared" si="2"/>
        <v>12.000000000000002</v>
      </c>
    </row>
    <row r="44" spans="1:5">
      <c r="A44" s="235">
        <v>2042</v>
      </c>
      <c r="B44" s="218">
        <f t="shared" si="2"/>
        <v>8.3355789751184322</v>
      </c>
      <c r="C44" s="217">
        <f t="shared" si="2"/>
        <v>0.90445896127955638</v>
      </c>
      <c r="D44" s="217">
        <f t="shared" si="2"/>
        <v>-7.4655974150736881E-2</v>
      </c>
      <c r="E44" s="219">
        <f t="shared" si="2"/>
        <v>12.000000000000002</v>
      </c>
    </row>
    <row r="45" spans="1:5">
      <c r="A45" s="235">
        <v>2043</v>
      </c>
      <c r="B45" s="218">
        <f t="shared" si="2"/>
        <v>9.1301377764120879</v>
      </c>
      <c r="C45" s="217">
        <f t="shared" si="2"/>
        <v>0.79455880129365575</v>
      </c>
      <c r="D45" s="217">
        <f t="shared" si="2"/>
        <v>-0.10990015998590064</v>
      </c>
      <c r="E45" s="219">
        <f t="shared" si="2"/>
        <v>12.000000000000002</v>
      </c>
    </row>
    <row r="46" spans="1:5">
      <c r="A46" s="235">
        <v>2044</v>
      </c>
      <c r="B46" s="218">
        <f t="shared" si="2"/>
        <v>9.7979256565417341</v>
      </c>
      <c r="C46" s="217">
        <f t="shared" si="2"/>
        <v>0.66778788012964618</v>
      </c>
      <c r="D46" s="217">
        <f t="shared" si="2"/>
        <v>-0.12677092116400956</v>
      </c>
      <c r="E46" s="219">
        <f t="shared" si="2"/>
        <v>12.000000000000002</v>
      </c>
    </row>
    <row r="47" spans="1:5">
      <c r="A47" s="235">
        <v>2045</v>
      </c>
      <c r="B47" s="218">
        <f t="shared" si="2"/>
        <v>10.338601699082401</v>
      </c>
      <c r="C47" s="217">
        <f t="shared" si="2"/>
        <v>0.54067604254066737</v>
      </c>
      <c r="D47" s="217">
        <f t="shared" si="2"/>
        <v>-0.12711183758897882</v>
      </c>
      <c r="E47" s="219">
        <f t="shared" si="2"/>
        <v>12</v>
      </c>
    </row>
    <row r="48" spans="1:5">
      <c r="A48" s="235">
        <v>2046</v>
      </c>
      <c r="B48" s="218">
        <f t="shared" si="2"/>
        <v>10.763281704551577</v>
      </c>
      <c r="C48" s="217">
        <f t="shared" si="2"/>
        <v>0.42468000546917573</v>
      </c>
      <c r="D48" s="217">
        <f t="shared" si="2"/>
        <v>-0.11599603707149164</v>
      </c>
      <c r="E48" s="219">
        <f t="shared" si="2"/>
        <v>12.000000000000002</v>
      </c>
    </row>
    <row r="49" spans="1:16">
      <c r="A49" s="235">
        <v>2047</v>
      </c>
      <c r="B49" s="218">
        <f t="shared" si="2"/>
        <v>11.088972463196814</v>
      </c>
      <c r="C49" s="217">
        <f t="shared" si="2"/>
        <v>0.32569075864523711</v>
      </c>
      <c r="D49" s="217">
        <f t="shared" si="2"/>
        <v>-9.8989246823938615E-2</v>
      </c>
      <c r="E49" s="219">
        <f t="shared" si="2"/>
        <v>12.000000000000002</v>
      </c>
    </row>
    <row r="50" spans="1:16">
      <c r="A50" s="235">
        <v>2048</v>
      </c>
      <c r="B50" s="218">
        <f t="shared" si="2"/>
        <v>11.334197971534364</v>
      </c>
      <c r="C50" s="217">
        <f t="shared" si="2"/>
        <v>0.24522550833754941</v>
      </c>
      <c r="D50" s="217">
        <f t="shared" si="2"/>
        <v>-8.0465250307687697E-2</v>
      </c>
      <c r="E50" s="219">
        <f t="shared" si="2"/>
        <v>12.000000000000002</v>
      </c>
    </row>
    <row r="51" spans="1:16">
      <c r="A51" s="235">
        <v>2049</v>
      </c>
      <c r="B51" s="218">
        <f t="shared" si="2"/>
        <v>11.516294310465277</v>
      </c>
      <c r="C51" s="217">
        <f t="shared" si="2"/>
        <v>0.18209633893091315</v>
      </c>
      <c r="D51" s="217">
        <f t="shared" si="2"/>
        <v>-6.3129169406636265E-2</v>
      </c>
      <c r="E51" s="219">
        <f t="shared" si="2"/>
        <v>12.000000000000002</v>
      </c>
    </row>
    <row r="52" spans="1:16">
      <c r="A52" s="235">
        <v>2050</v>
      </c>
      <c r="B52" s="218">
        <f t="shared" si="2"/>
        <v>11.650124816238119</v>
      </c>
      <c r="C52" s="217">
        <f t="shared" si="2"/>
        <v>0.13383050577284195</v>
      </c>
      <c r="D52" s="217">
        <f t="shared" si="2"/>
        <v>-4.8265833158071203E-2</v>
      </c>
      <c r="E52" s="219">
        <f t="shared" si="2"/>
        <v>12.000000000000002</v>
      </c>
    </row>
    <row r="53" spans="1:16">
      <c r="A53" s="237"/>
      <c r="B53" s="238"/>
      <c r="C53" s="238"/>
      <c r="D53" s="238"/>
    </row>
    <row r="54" spans="1:16">
      <c r="A54" s="237"/>
      <c r="B54" s="238"/>
      <c r="C54" s="238"/>
      <c r="D54" s="238"/>
    </row>
    <row r="55" spans="1:16">
      <c r="A55" s="237"/>
      <c r="B55" s="238"/>
      <c r="C55" s="238"/>
      <c r="D55" s="238"/>
    </row>
    <row r="56" spans="1:16">
      <c r="A56" s="237"/>
      <c r="B56" s="238"/>
      <c r="C56" s="238"/>
      <c r="D56" s="238"/>
    </row>
    <row r="57" spans="1:16">
      <c r="A57" s="237"/>
      <c r="B57" s="238"/>
      <c r="C57" s="238"/>
      <c r="D57" s="238"/>
    </row>
    <row r="58" spans="1:16">
      <c r="A58" s="237"/>
      <c r="B58" s="238"/>
      <c r="C58" s="238"/>
      <c r="D58" s="238"/>
    </row>
    <row r="61" spans="1:16">
      <c r="J61" s="226"/>
      <c r="K61" s="226"/>
      <c r="L61" s="227"/>
    </row>
    <row r="62" spans="1:16">
      <c r="A62" s="508" t="s">
        <v>37</v>
      </c>
      <c r="B62" s="508"/>
      <c r="C62" s="228">
        <v>12</v>
      </c>
      <c r="D62" s="228"/>
      <c r="E62" s="228"/>
      <c r="F62" s="231"/>
      <c r="G62" s="231"/>
      <c r="H62" s="231"/>
      <c r="I62" s="231" t="s">
        <v>38</v>
      </c>
      <c r="J62" s="506">
        <v>3</v>
      </c>
      <c r="K62" s="231"/>
      <c r="L62" s="231"/>
      <c r="M62" s="231"/>
      <c r="N62" s="232"/>
      <c r="O62" s="232"/>
      <c r="P62" s="232"/>
    </row>
    <row r="63" spans="1:16">
      <c r="A63" s="509" t="s">
        <v>39</v>
      </c>
      <c r="B63" s="509"/>
      <c r="C63" s="228">
        <v>2033</v>
      </c>
      <c r="D63" s="228"/>
      <c r="E63" s="228"/>
      <c r="F63" s="231"/>
      <c r="G63" s="231" t="s">
        <v>92</v>
      </c>
      <c r="H63" s="231" t="s">
        <v>97</v>
      </c>
      <c r="I63" s="231" t="s">
        <v>40</v>
      </c>
      <c r="J63" s="506"/>
      <c r="K63" s="231"/>
      <c r="L63" s="231"/>
      <c r="M63" s="231"/>
      <c r="N63" s="232"/>
      <c r="O63" s="232"/>
      <c r="P63" s="232"/>
    </row>
    <row r="64" spans="1:16">
      <c r="A64" s="509" t="s">
        <v>41</v>
      </c>
      <c r="B64" s="509"/>
      <c r="C64" s="228">
        <v>13.1</v>
      </c>
      <c r="D64" s="228"/>
      <c r="E64" s="228"/>
      <c r="F64" s="231"/>
      <c r="G64" s="231">
        <v>10</v>
      </c>
      <c r="H64" s="231">
        <v>100</v>
      </c>
      <c r="I64" s="231" t="s">
        <v>42</v>
      </c>
      <c r="J64" s="506"/>
      <c r="K64" s="231"/>
      <c r="L64" s="231"/>
      <c r="M64" s="231"/>
      <c r="N64" s="232"/>
      <c r="O64" s="232"/>
      <c r="P64" s="232"/>
    </row>
    <row r="65" spans="1:16">
      <c r="A65" s="231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2"/>
      <c r="O65" s="232"/>
      <c r="P65" s="232"/>
    </row>
    <row r="66" spans="1:16">
      <c r="A66" s="198" t="s">
        <v>43</v>
      </c>
      <c r="B66" s="198" t="s">
        <v>44</v>
      </c>
      <c r="C66" s="198" t="s">
        <v>45</v>
      </c>
      <c r="D66" s="198" t="s">
        <v>46</v>
      </c>
      <c r="E66" s="198" t="s">
        <v>47</v>
      </c>
      <c r="F66" s="198" t="s">
        <v>48</v>
      </c>
      <c r="G66" s="198" t="s">
        <v>49</v>
      </c>
      <c r="H66" s="198" t="s">
        <v>50</v>
      </c>
      <c r="I66" s="198" t="s">
        <v>51</v>
      </c>
      <c r="J66" s="198" t="s">
        <v>52</v>
      </c>
      <c r="K66" s="198" t="s">
        <v>53</v>
      </c>
      <c r="L66" s="198" t="s">
        <v>54</v>
      </c>
      <c r="M66" s="198" t="s">
        <v>55</v>
      </c>
      <c r="N66" s="198" t="s">
        <v>56</v>
      </c>
      <c r="O66" s="198" t="s">
        <v>57</v>
      </c>
      <c r="P66" s="198" t="s">
        <v>58</v>
      </c>
    </row>
    <row r="67" spans="1:16">
      <c r="A67" s="199">
        <v>2001</v>
      </c>
      <c r="B67" s="200">
        <f t="shared" ref="B67:B82" si="3">SUM(K67/F67)*100</f>
        <v>1.0836394780857617E-3</v>
      </c>
      <c r="C67" s="201">
        <v>0</v>
      </c>
      <c r="D67" s="201">
        <v>0</v>
      </c>
      <c r="E67" s="202">
        <f t="shared" ref="E67:E98" si="4">(SUM(I67/G67))*100</f>
        <v>1.9742220790803693E-3</v>
      </c>
      <c r="F67" s="203">
        <f>(SUM('PRs Analysis'!B10))*1000</f>
        <v>25100599.000000004</v>
      </c>
      <c r="G67" s="204">
        <v>2583296</v>
      </c>
      <c r="H67" s="204">
        <v>2583219</v>
      </c>
      <c r="I67" s="203">
        <f>(SUM('PRs Analysis'!I10))*1000</f>
        <v>51.000000000000014</v>
      </c>
      <c r="J67" s="204"/>
      <c r="K67" s="203">
        <f>(SUM('PRs Analysis'!H10))*1000</f>
        <v>272</v>
      </c>
      <c r="L67" s="204">
        <f t="shared" ref="L67:L82" si="5">SUM(F67-K67)</f>
        <v>25100327.000000004</v>
      </c>
      <c r="M67" s="204"/>
      <c r="N67" s="204"/>
      <c r="O67" s="204">
        <v>0</v>
      </c>
      <c r="P67" s="205">
        <f t="shared" ref="P67:P82" si="6">SUM(G67/F67)</f>
        <v>0.10291770327871456</v>
      </c>
    </row>
    <row r="68" spans="1:16">
      <c r="A68" s="199">
        <v>2002</v>
      </c>
      <c r="B68" s="200">
        <f t="shared" si="3"/>
        <v>1.2659286147514003E-3</v>
      </c>
      <c r="C68" s="201">
        <f t="shared" ref="C68:C116" si="7">SUM((B68-B67)/(A68-A67))</f>
        <v>1.8228913666563863E-4</v>
      </c>
      <c r="D68" s="201">
        <f t="shared" ref="D68:D116" si="8">SUM(C68-C67)</f>
        <v>1.8228913666563863E-4</v>
      </c>
      <c r="E68" s="202">
        <f t="shared" si="4"/>
        <v>2.015415690682957E-3</v>
      </c>
      <c r="F68" s="203">
        <f>(SUM('PRs Analysis'!B11))*1000</f>
        <v>25751846.999999996</v>
      </c>
      <c r="G68" s="204">
        <v>2679348</v>
      </c>
      <c r="H68" s="204">
        <v>2679286</v>
      </c>
      <c r="I68" s="203">
        <f>(SUM('PRs Analysis'!I11))*1000</f>
        <v>53.999999999999993</v>
      </c>
      <c r="J68" s="204">
        <f t="shared" ref="J68:J99" si="9">SUM(F68-F67)</f>
        <v>651247.99999999255</v>
      </c>
      <c r="K68" s="203">
        <f>(SUM('PRs Analysis'!H11))*1000</f>
        <v>326</v>
      </c>
      <c r="L68" s="204">
        <f t="shared" si="5"/>
        <v>25751520.999999996</v>
      </c>
      <c r="M68" s="204"/>
      <c r="N68" s="204"/>
      <c r="O68" s="204">
        <v>0</v>
      </c>
      <c r="P68" s="205">
        <f t="shared" si="6"/>
        <v>0.10404488656677714</v>
      </c>
    </row>
    <row r="69" spans="1:16">
      <c r="A69" s="199">
        <v>2003</v>
      </c>
      <c r="B69" s="200">
        <f t="shared" si="3"/>
        <v>1.3318029429257947E-3</v>
      </c>
      <c r="C69" s="201">
        <f t="shared" si="7"/>
        <v>6.5874328174394398E-5</v>
      </c>
      <c r="D69" s="201">
        <f t="shared" si="8"/>
        <v>-1.1641480849124424E-4</v>
      </c>
      <c r="E69" s="202">
        <f t="shared" si="4"/>
        <v>8.7040600655831867E-4</v>
      </c>
      <c r="F69" s="203">
        <f>(SUM('PRs Analysis'!B12))*1000</f>
        <v>26205078</v>
      </c>
      <c r="G69" s="204">
        <v>2642445</v>
      </c>
      <c r="H69" s="204">
        <v>2642406</v>
      </c>
      <c r="I69" s="203">
        <f>(SUM('PRs Analysis'!I12))*1000</f>
        <v>22.999999999999964</v>
      </c>
      <c r="J69" s="204">
        <f t="shared" si="9"/>
        <v>453231.00000000373</v>
      </c>
      <c r="K69" s="203">
        <f>(SUM('PRs Analysis'!H12))*1000</f>
        <v>349</v>
      </c>
      <c r="L69" s="204">
        <f t="shared" si="5"/>
        <v>26204729</v>
      </c>
      <c r="M69" s="204"/>
      <c r="N69" s="204"/>
      <c r="O69" s="204">
        <v>0</v>
      </c>
      <c r="P69" s="205">
        <f t="shared" si="6"/>
        <v>0.10083713545901295</v>
      </c>
    </row>
    <row r="70" spans="1:16">
      <c r="A70" s="199">
        <v>2004</v>
      </c>
      <c r="B70" s="200">
        <f t="shared" si="3"/>
        <v>1.4784792888210773E-3</v>
      </c>
      <c r="C70" s="201">
        <f t="shared" si="7"/>
        <v>1.4667634589528257E-4</v>
      </c>
      <c r="D70" s="201">
        <f t="shared" si="8"/>
        <v>8.0802017720888169E-5</v>
      </c>
      <c r="E70" s="202">
        <f t="shared" si="4"/>
        <v>1.9262827020198631E-3</v>
      </c>
      <c r="F70" s="203">
        <f>(SUM('PRs Analysis'!B13))*1000</f>
        <v>26987189</v>
      </c>
      <c r="G70" s="204">
        <v>2595673</v>
      </c>
      <c r="H70" s="204">
        <v>2595583</v>
      </c>
      <c r="I70" s="203">
        <f>(SUM('PRs Analysis'!I13))*1000</f>
        <v>50.000000000000043</v>
      </c>
      <c r="J70" s="204">
        <f t="shared" si="9"/>
        <v>782111</v>
      </c>
      <c r="K70" s="203">
        <f>(SUM('PRs Analysis'!H13))*1000</f>
        <v>399</v>
      </c>
      <c r="L70" s="204">
        <f t="shared" si="5"/>
        <v>26986790</v>
      </c>
      <c r="M70" s="204"/>
      <c r="N70" s="204"/>
      <c r="O70" s="204">
        <v>0</v>
      </c>
      <c r="P70" s="205">
        <f t="shared" si="6"/>
        <v>9.6181673459951683E-2</v>
      </c>
    </row>
    <row r="71" spans="1:16">
      <c r="A71" s="199">
        <v>2005</v>
      </c>
      <c r="B71" s="200">
        <f t="shared" si="3"/>
        <v>2.0529919445546572E-3</v>
      </c>
      <c r="C71" s="201">
        <f t="shared" si="7"/>
        <v>5.7451265573357996E-4</v>
      </c>
      <c r="D71" s="201">
        <f t="shared" si="8"/>
        <v>4.2783630983829739E-4</v>
      </c>
      <c r="E71" s="202">
        <f t="shared" si="4"/>
        <v>6.7691335714153813E-3</v>
      </c>
      <c r="F71" s="203">
        <f>(SUM('PRs Analysis'!B14))*1000</f>
        <v>27472100</v>
      </c>
      <c r="G71" s="204">
        <v>2437535</v>
      </c>
      <c r="H71" s="204">
        <v>2437312</v>
      </c>
      <c r="I71" s="203">
        <f>(SUM('PRs Analysis'!I14))*1000</f>
        <v>164.99999999999991</v>
      </c>
      <c r="J71" s="204">
        <f t="shared" si="9"/>
        <v>484911</v>
      </c>
      <c r="K71" s="203">
        <f>(SUM('PRs Analysis'!H14))*1000</f>
        <v>564</v>
      </c>
      <c r="L71" s="204">
        <f t="shared" si="5"/>
        <v>27471536</v>
      </c>
      <c r="M71" s="204"/>
      <c r="N71" s="204"/>
      <c r="O71" s="204">
        <v>0</v>
      </c>
      <c r="P71" s="205">
        <f t="shared" si="6"/>
        <v>8.8727654602305611E-2</v>
      </c>
    </row>
    <row r="72" spans="1:16">
      <c r="A72" s="199">
        <v>2006</v>
      </c>
      <c r="B72" s="200">
        <f t="shared" si="3"/>
        <v>2.9293115736664689E-3</v>
      </c>
      <c r="C72" s="201">
        <f t="shared" si="7"/>
        <v>8.7631962911181166E-4</v>
      </c>
      <c r="D72" s="201">
        <f t="shared" si="8"/>
        <v>3.018069733782317E-4</v>
      </c>
      <c r="E72" s="202">
        <f t="shared" si="4"/>
        <v>1.0424415267521388E-2</v>
      </c>
      <c r="F72" s="203">
        <f>(SUM('PRs Analysis'!B15))*1000</f>
        <v>27549135</v>
      </c>
      <c r="G72" s="204">
        <v>2331066</v>
      </c>
      <c r="H72" s="204">
        <v>2330745</v>
      </c>
      <c r="I72" s="203">
        <f>(SUM('PRs Analysis'!I15))*1000</f>
        <v>243.00000000000011</v>
      </c>
      <c r="J72" s="204">
        <f t="shared" si="9"/>
        <v>77035</v>
      </c>
      <c r="K72" s="203">
        <f>(SUM('PRs Analysis'!H15))*1000</f>
        <v>807</v>
      </c>
      <c r="L72" s="204">
        <f t="shared" si="5"/>
        <v>27548328</v>
      </c>
      <c r="M72" s="204"/>
      <c r="N72" s="204"/>
      <c r="O72" s="204">
        <v>0</v>
      </c>
      <c r="P72" s="205">
        <f t="shared" si="6"/>
        <v>8.4614852698641899E-2</v>
      </c>
    </row>
    <row r="73" spans="1:16">
      <c r="A73" s="199">
        <v>2007</v>
      </c>
      <c r="B73" s="200">
        <f t="shared" si="3"/>
        <v>4.2690613139991663E-3</v>
      </c>
      <c r="C73" s="201">
        <f t="shared" si="7"/>
        <v>1.3397497403326974E-3</v>
      </c>
      <c r="D73" s="201">
        <f t="shared" si="8"/>
        <v>4.6343011122088572E-4</v>
      </c>
      <c r="E73" s="202">
        <f t="shared" si="4"/>
        <v>1.6217682581619167E-2</v>
      </c>
      <c r="F73" s="203">
        <f>(SUM('PRs Analysis'!B16))*1000</f>
        <v>27921828.999999996</v>
      </c>
      <c r="G73" s="204">
        <v>2373952</v>
      </c>
      <c r="H73" s="204">
        <v>2373502</v>
      </c>
      <c r="I73" s="203">
        <f>(SUM('PRs Analysis'!I16))*1000</f>
        <v>384.99999999999989</v>
      </c>
      <c r="J73" s="204">
        <f t="shared" si="9"/>
        <v>372693.99999999627</v>
      </c>
      <c r="K73" s="203">
        <f>(SUM('PRs Analysis'!H16))*1000</f>
        <v>1192</v>
      </c>
      <c r="L73" s="204">
        <f t="shared" si="5"/>
        <v>27920636.999999996</v>
      </c>
      <c r="M73" s="204"/>
      <c r="N73" s="204"/>
      <c r="O73" s="204">
        <v>0</v>
      </c>
      <c r="P73" s="205">
        <f t="shared" si="6"/>
        <v>8.5021364467205943E-2</v>
      </c>
    </row>
    <row r="74" spans="1:16">
      <c r="A74" s="199">
        <v>2008</v>
      </c>
      <c r="B74" s="200">
        <f t="shared" si="3"/>
        <v>4.7215795033988782E-3</v>
      </c>
      <c r="C74" s="201">
        <f t="shared" si="7"/>
        <v>4.525181893997119E-4</v>
      </c>
      <c r="D74" s="201">
        <f t="shared" si="8"/>
        <v>-8.8723155093298547E-4</v>
      </c>
      <c r="E74" s="202">
        <f t="shared" si="4"/>
        <v>6.3438550700995978E-3</v>
      </c>
      <c r="F74" s="203">
        <f>(SUM('PRs Analysis'!B17))*1000</f>
        <v>28062643</v>
      </c>
      <c r="G74" s="204">
        <v>2096517</v>
      </c>
      <c r="H74" s="204">
        <v>2096297</v>
      </c>
      <c r="I74" s="203">
        <f>(SUM('PRs Analysis'!I17))*1000</f>
        <v>133</v>
      </c>
      <c r="J74" s="204">
        <f t="shared" si="9"/>
        <v>140814.00000000373</v>
      </c>
      <c r="K74" s="203">
        <f>(SUM('PRs Analysis'!H17))*1000</f>
        <v>1325</v>
      </c>
      <c r="L74" s="204">
        <f t="shared" si="5"/>
        <v>28061318</v>
      </c>
      <c r="M74" s="204"/>
      <c r="N74" s="204"/>
      <c r="O74" s="204">
        <v>0</v>
      </c>
      <c r="P74" s="205">
        <f t="shared" si="6"/>
        <v>7.4708465628130605E-2</v>
      </c>
    </row>
    <row r="75" spans="1:16">
      <c r="A75" s="199">
        <v>2009</v>
      </c>
      <c r="B75" s="200">
        <f t="shared" si="3"/>
        <v>5.1648227159495734E-3</v>
      </c>
      <c r="C75" s="201">
        <f t="shared" si="7"/>
        <v>4.4324321255069521E-4</v>
      </c>
      <c r="D75" s="201">
        <f t="shared" si="8"/>
        <v>-9.2749768490166945E-6</v>
      </c>
      <c r="E75" s="202">
        <f t="shared" si="4"/>
        <v>6.5522547434741134E-3</v>
      </c>
      <c r="F75" s="203">
        <f>(SUM('PRs Analysis'!B18))*1000</f>
        <v>28132621</v>
      </c>
      <c r="G75" s="204">
        <v>1953526</v>
      </c>
      <c r="H75" s="204">
        <v>1953344</v>
      </c>
      <c r="I75" s="203">
        <f>(SUM('PRs Analysis'!I18))*1000</f>
        <v>128.00000000000011</v>
      </c>
      <c r="J75" s="204">
        <f t="shared" si="9"/>
        <v>69978</v>
      </c>
      <c r="K75" s="203">
        <f>(SUM('PRs Analysis'!H18))*1000</f>
        <v>1453</v>
      </c>
      <c r="L75" s="204">
        <f t="shared" si="5"/>
        <v>28131168</v>
      </c>
      <c r="M75" s="204"/>
      <c r="N75" s="204"/>
      <c r="O75" s="204">
        <v>0</v>
      </c>
      <c r="P75" s="205">
        <f t="shared" si="6"/>
        <v>6.9439886173421242E-2</v>
      </c>
    </row>
    <row r="76" spans="1:16">
      <c r="A76" s="199">
        <v>2010</v>
      </c>
      <c r="B76" s="200">
        <f t="shared" si="3"/>
        <v>5.455032817519855E-3</v>
      </c>
      <c r="C76" s="201">
        <f t="shared" si="7"/>
        <v>2.9021010157028165E-4</v>
      </c>
      <c r="D76" s="201">
        <f t="shared" si="8"/>
        <v>-1.5303311098041356E-4</v>
      </c>
      <c r="E76" s="202">
        <f t="shared" si="4"/>
        <v>4.5586331394394629E-3</v>
      </c>
      <c r="F76" s="203">
        <f>(SUM('PRs Analysis'!B19))*1000</f>
        <v>28285805.999999996</v>
      </c>
      <c r="G76" s="204">
        <v>1974276</v>
      </c>
      <c r="H76" s="204">
        <v>1974020</v>
      </c>
      <c r="I76" s="203">
        <f>(SUM('PRs Analysis'!I19))*1000</f>
        <v>89.999999999999858</v>
      </c>
      <c r="J76" s="204">
        <f t="shared" si="9"/>
        <v>153184.99999999627</v>
      </c>
      <c r="K76" s="203">
        <f>(SUM('PRs Analysis'!H19))*1000</f>
        <v>1543</v>
      </c>
      <c r="L76" s="204">
        <f t="shared" si="5"/>
        <v>28284262.999999996</v>
      </c>
      <c r="M76" s="204"/>
      <c r="N76" s="204"/>
      <c r="O76" s="204">
        <v>0</v>
      </c>
      <c r="P76" s="205">
        <f t="shared" si="6"/>
        <v>6.9797410050821962E-2</v>
      </c>
    </row>
    <row r="77" spans="1:16">
      <c r="A77" s="199">
        <v>2011</v>
      </c>
      <c r="B77" s="200">
        <f t="shared" si="3"/>
        <v>9.2187136637866592E-3</v>
      </c>
      <c r="C77" s="201">
        <f t="shared" si="7"/>
        <v>3.7636808462668042E-3</v>
      </c>
      <c r="D77" s="201">
        <f t="shared" si="8"/>
        <v>3.4734707446965225E-3</v>
      </c>
      <c r="E77" s="202">
        <f t="shared" si="4"/>
        <v>5.6627215135122512E-2</v>
      </c>
      <c r="F77" s="203">
        <f>(SUM('PRs Analysis'!B20))*1000</f>
        <v>28311976.000000004</v>
      </c>
      <c r="G77" s="204">
        <v>1884253</v>
      </c>
      <c r="H77" s="204">
        <v>1883045</v>
      </c>
      <c r="I77" s="203">
        <f>(SUM('PRs Analysis'!I20))*1000</f>
        <v>1067</v>
      </c>
      <c r="J77" s="204">
        <f t="shared" si="9"/>
        <v>26170.000000007451</v>
      </c>
      <c r="K77" s="203">
        <f>(SUM('PRs Analysis'!H20))*1000</f>
        <v>2610</v>
      </c>
      <c r="L77" s="204">
        <f t="shared" si="5"/>
        <v>28309366.000000004</v>
      </c>
      <c r="M77" s="204">
        <f t="shared" ref="M77:M116" ca="1" si="10">SUM(N77+O77)</f>
        <v>2583270</v>
      </c>
      <c r="N77" s="204">
        <f t="shared" ref="N77:N116" ca="1" si="11">OFFSET(H77,-$G$64,0,1,1)</f>
        <v>2583219</v>
      </c>
      <c r="O77" s="204">
        <f t="shared" ref="O77:O116" ca="1" si="12">OFFSET(I77,-$G$64,0,1,1)</f>
        <v>51.000000000000014</v>
      </c>
      <c r="P77" s="205">
        <f t="shared" si="6"/>
        <v>6.6553214088624538E-2</v>
      </c>
    </row>
    <row r="78" spans="1:16">
      <c r="A78" s="199">
        <v>2012</v>
      </c>
      <c r="B78" s="200">
        <f t="shared" si="3"/>
        <v>1.4475926782500006E-2</v>
      </c>
      <c r="C78" s="201">
        <f t="shared" si="7"/>
        <v>5.2572131187133466E-3</v>
      </c>
      <c r="D78" s="201">
        <f t="shared" si="8"/>
        <v>1.4935322724465424E-3</v>
      </c>
      <c r="E78" s="202">
        <f t="shared" si="4"/>
        <v>7.6645524520776623E-2</v>
      </c>
      <c r="F78" s="203">
        <f>(SUM('PRs Analysis'!B21))*1000</f>
        <v>28543941</v>
      </c>
      <c r="G78" s="204">
        <v>1985765</v>
      </c>
      <c r="H78" s="204">
        <v>1983638</v>
      </c>
      <c r="I78" s="203">
        <f>(SUM('PRs Analysis'!I21))*1000</f>
        <v>1521.9999999999998</v>
      </c>
      <c r="J78" s="204">
        <f t="shared" si="9"/>
        <v>231964.99999999627</v>
      </c>
      <c r="K78" s="203">
        <f>(SUM('PRs Analysis'!H21))*1000</f>
        <v>4132</v>
      </c>
      <c r="L78" s="204">
        <f t="shared" si="5"/>
        <v>28539809</v>
      </c>
      <c r="M78" s="204">
        <f t="shared" ca="1" si="10"/>
        <v>2679340</v>
      </c>
      <c r="N78" s="204">
        <f t="shared" ca="1" si="11"/>
        <v>2679286</v>
      </c>
      <c r="O78" s="204">
        <f t="shared" ca="1" si="12"/>
        <v>53.999999999999993</v>
      </c>
      <c r="P78" s="205">
        <f t="shared" si="6"/>
        <v>6.9568704615806207E-2</v>
      </c>
    </row>
    <row r="79" spans="1:16">
      <c r="A79" s="199">
        <v>2013</v>
      </c>
      <c r="B79" s="200">
        <f t="shared" si="3"/>
        <v>2.1617860645360358E-2</v>
      </c>
      <c r="C79" s="201">
        <f t="shared" si="7"/>
        <v>7.1419338628603522E-3</v>
      </c>
      <c r="D79" s="201">
        <f t="shared" si="8"/>
        <v>1.8847207441470056E-3</v>
      </c>
      <c r="E79" s="202">
        <f t="shared" si="4"/>
        <v>9.6689159155001411E-2</v>
      </c>
      <c r="F79" s="203">
        <f>(SUM('PRs Analysis'!B22))*1000</f>
        <v>28934408.000000004</v>
      </c>
      <c r="G79" s="204">
        <v>2195696</v>
      </c>
      <c r="H79" s="204">
        <v>2192831</v>
      </c>
      <c r="I79" s="203">
        <f>(SUM('PRs Analysis'!I22))*1000</f>
        <v>2123</v>
      </c>
      <c r="J79" s="204">
        <f t="shared" si="9"/>
        <v>390467.00000000373</v>
      </c>
      <c r="K79" s="203">
        <f>(SUM('PRs Analysis'!H22))*1000</f>
        <v>6255</v>
      </c>
      <c r="L79" s="204">
        <f t="shared" si="5"/>
        <v>28928153.000000004</v>
      </c>
      <c r="M79" s="204">
        <f t="shared" ca="1" si="10"/>
        <v>2642429</v>
      </c>
      <c r="N79" s="204">
        <f t="shared" ca="1" si="11"/>
        <v>2642406</v>
      </c>
      <c r="O79" s="204">
        <f t="shared" ca="1" si="12"/>
        <v>22.999999999999964</v>
      </c>
      <c r="P79" s="205">
        <f t="shared" si="6"/>
        <v>7.5885292002518243E-2</v>
      </c>
    </row>
    <row r="80" spans="1:16">
      <c r="A80" s="199">
        <v>2014</v>
      </c>
      <c r="B80" s="200">
        <f t="shared" si="3"/>
        <v>5.5197773916824566E-2</v>
      </c>
      <c r="C80" s="201">
        <f t="shared" si="7"/>
        <v>3.3579913271464208E-2</v>
      </c>
      <c r="D80" s="201">
        <f t="shared" si="8"/>
        <v>2.6437979408603856E-2</v>
      </c>
      <c r="E80" s="202">
        <f t="shared" si="4"/>
        <v>0.41564682923651364</v>
      </c>
      <c r="F80" s="203">
        <f>(SUM('PRs Analysis'!B23))*1000</f>
        <v>29363503</v>
      </c>
      <c r="G80" s="204">
        <v>2394581</v>
      </c>
      <c r="H80" s="204">
        <v>2387410</v>
      </c>
      <c r="I80" s="203">
        <f>(SUM('PRs Analysis'!I23))*1000</f>
        <v>9953</v>
      </c>
      <c r="J80" s="204">
        <f t="shared" si="9"/>
        <v>429094.99999999627</v>
      </c>
      <c r="K80" s="203">
        <f>(SUM('PRs Analysis'!H23))*1000</f>
        <v>16207.999999999998</v>
      </c>
      <c r="L80" s="204">
        <f t="shared" si="5"/>
        <v>29347295</v>
      </c>
      <c r="M80" s="204">
        <f t="shared" ca="1" si="10"/>
        <v>2595633</v>
      </c>
      <c r="N80" s="204">
        <f t="shared" ca="1" si="11"/>
        <v>2595583</v>
      </c>
      <c r="O80" s="204">
        <f t="shared" ca="1" si="12"/>
        <v>50.000000000000043</v>
      </c>
      <c r="P80" s="205">
        <f t="shared" si="6"/>
        <v>8.1549568523891711E-2</v>
      </c>
    </row>
    <row r="81" spans="1:16">
      <c r="A81" s="199">
        <v>2015</v>
      </c>
      <c r="B81" s="200">
        <f t="shared" si="3"/>
        <v>8.2172891322468522E-2</v>
      </c>
      <c r="C81" s="201">
        <f t="shared" si="7"/>
        <v>2.6975117405643956E-2</v>
      </c>
      <c r="D81" s="201">
        <f t="shared" si="8"/>
        <v>-6.6047958658202524E-3</v>
      </c>
      <c r="E81" s="202">
        <f t="shared" si="4"/>
        <v>0.33058209225583407</v>
      </c>
      <c r="F81" s="203">
        <f>(SUM('PRs Analysis'!B24))*1000</f>
        <v>29940531.000000004</v>
      </c>
      <c r="G81" s="204">
        <v>2539460</v>
      </c>
      <c r="H81" s="204">
        <v>2529449</v>
      </c>
      <c r="I81" s="203">
        <f>(SUM('PRs Analysis'!I24))*1000</f>
        <v>8395.0000000000036</v>
      </c>
      <c r="J81" s="204">
        <f t="shared" si="9"/>
        <v>577028.00000000373</v>
      </c>
      <c r="K81" s="203">
        <f>(SUM('PRs Analysis'!H24))*1000</f>
        <v>24603</v>
      </c>
      <c r="L81" s="204">
        <f t="shared" si="5"/>
        <v>29915928.000000004</v>
      </c>
      <c r="M81" s="204">
        <f t="shared" ca="1" si="10"/>
        <v>2437477</v>
      </c>
      <c r="N81" s="204">
        <f t="shared" ca="1" si="11"/>
        <v>2437312</v>
      </c>
      <c r="O81" s="204">
        <f t="shared" ca="1" si="12"/>
        <v>164.99999999999991</v>
      </c>
      <c r="P81" s="205">
        <f t="shared" si="6"/>
        <v>8.4816799007338906E-2</v>
      </c>
    </row>
    <row r="82" spans="1:16">
      <c r="A82" s="199">
        <v>2016</v>
      </c>
      <c r="B82" s="200">
        <f t="shared" si="3"/>
        <v>0.10975423442104723</v>
      </c>
      <c r="C82" s="201">
        <f t="shared" si="7"/>
        <v>2.7581343098578709E-2</v>
      </c>
      <c r="D82" s="201">
        <f t="shared" si="8"/>
        <v>6.0622569293475315E-4</v>
      </c>
      <c r="E82" s="202">
        <f t="shared" si="4"/>
        <v>0.34142267826006256</v>
      </c>
      <c r="F82" s="203">
        <f>(SUM('PRs Analysis'!B25))*1000</f>
        <v>30462606</v>
      </c>
      <c r="G82" s="204">
        <v>2586530</v>
      </c>
      <c r="H82" s="204">
        <v>2575532</v>
      </c>
      <c r="I82" s="203">
        <f>(SUM('PRs Analysis'!I25))*1000</f>
        <v>8830.9999999999964</v>
      </c>
      <c r="J82" s="204">
        <f t="shared" si="9"/>
        <v>522074.99999999627</v>
      </c>
      <c r="K82" s="203">
        <f>(SUM('PRs Analysis'!H25))*1000</f>
        <v>33434</v>
      </c>
      <c r="L82" s="204">
        <f t="shared" si="5"/>
        <v>30429172</v>
      </c>
      <c r="M82" s="204">
        <f t="shared" ca="1" si="10"/>
        <v>2330988</v>
      </c>
      <c r="N82" s="204">
        <f t="shared" ca="1" si="11"/>
        <v>2330745</v>
      </c>
      <c r="O82" s="204">
        <f t="shared" ca="1" si="12"/>
        <v>243.00000000000011</v>
      </c>
      <c r="P82" s="205">
        <f t="shared" si="6"/>
        <v>8.4908362731671738E-2</v>
      </c>
    </row>
    <row r="83" spans="1:16">
      <c r="A83" s="206">
        <v>2017</v>
      </c>
      <c r="B83" s="207">
        <f t="shared" ref="B83:B96" si="13">IF($C$62/(1+POWER(81,($C$63+$C$64/2-$A83)/$C$64))-B82&lt;C82,B82+C82,($C$62/(1+POWER(81,($C$63+$C$64/2-$A83)/$C$64))))</f>
        <v>0.13733557751962594</v>
      </c>
      <c r="C83" s="208">
        <f t="shared" si="7"/>
        <v>2.7581343098578709E-2</v>
      </c>
      <c r="D83" s="208">
        <f t="shared" si="8"/>
        <v>0</v>
      </c>
      <c r="E83" s="209">
        <f t="shared" si="4"/>
        <v>0.3294344528854305</v>
      </c>
      <c r="F83" s="210">
        <f>IF($J$62=1,'Nº Cars Projection'!B5, IF($J$62=2,'Nº Cars Projection'!D5, IF($J$62=3,'Nº Cars Projection'!F5)))</f>
        <v>30812830</v>
      </c>
      <c r="G83" s="210">
        <f t="shared" ref="G83:G116" si="14">SUM($P$84*F83)</f>
        <v>2579752.1437860662</v>
      </c>
      <c r="H83" s="210">
        <f t="shared" ref="H83:H116" si="15">SUM(G83-I83)</f>
        <v>2571253.5514253844</v>
      </c>
      <c r="I83" s="210">
        <f t="shared" ref="I83:I116" si="16">SUM(IF(C83&lt;C82,(G83*$C$62)/100,(C83*F83)/100))</f>
        <v>8498.5923606817905</v>
      </c>
      <c r="J83" s="210">
        <f t="shared" si="9"/>
        <v>350224</v>
      </c>
      <c r="K83" s="210">
        <f t="shared" ref="K83:K116" si="17">SUM(F83*B83)/100</f>
        <v>42316.978030640559</v>
      </c>
      <c r="L83" s="210">
        <f t="shared" ref="L83:L116" si="18">SUM(F83-K83-E141)</f>
        <v>30378267.251323473</v>
      </c>
      <c r="M83" s="210">
        <f t="shared" ca="1" si="10"/>
        <v>2373887</v>
      </c>
      <c r="N83" s="211">
        <f t="shared" ca="1" si="11"/>
        <v>2373502</v>
      </c>
      <c r="O83" s="211">
        <f t="shared" ca="1" si="12"/>
        <v>384.99999999999989</v>
      </c>
      <c r="P83" s="212" t="s">
        <v>65</v>
      </c>
    </row>
    <row r="84" spans="1:16">
      <c r="A84" s="206">
        <v>2018</v>
      </c>
      <c r="B84" s="207">
        <f t="shared" si="13"/>
        <v>0.16491692061820465</v>
      </c>
      <c r="C84" s="208">
        <f t="shared" si="7"/>
        <v>2.7581343098578709E-2</v>
      </c>
      <c r="D84" s="208">
        <f t="shared" si="8"/>
        <v>0</v>
      </c>
      <c r="E84" s="209">
        <f t="shared" si="4"/>
        <v>0.32943445288543044</v>
      </c>
      <c r="F84" s="210">
        <f>IF($J$62=1,'Nº Cars Projection'!B6, IF($J$62=2,'Nº Cars Projection'!D6, IF($J$62=3,'Nº Cars Projection'!F6)))</f>
        <v>30775220</v>
      </c>
      <c r="G84" s="210">
        <f t="shared" si="14"/>
        <v>2576603.310065574</v>
      </c>
      <c r="H84" s="210">
        <f t="shared" si="15"/>
        <v>2568115.0910480316</v>
      </c>
      <c r="I84" s="210">
        <f t="shared" si="16"/>
        <v>8488.2190175424148</v>
      </c>
      <c r="J84" s="210">
        <f t="shared" si="9"/>
        <v>-37610</v>
      </c>
      <c r="K84" s="210">
        <f t="shared" si="17"/>
        <v>50753.545137477842</v>
      </c>
      <c r="L84" s="210">
        <f t="shared" si="18"/>
        <v>30262774.726956919</v>
      </c>
      <c r="M84" s="210">
        <f t="shared" ca="1" si="10"/>
        <v>2096430</v>
      </c>
      <c r="N84" s="211">
        <f t="shared" ca="1" si="11"/>
        <v>2096297</v>
      </c>
      <c r="O84" s="211">
        <f t="shared" ca="1" si="12"/>
        <v>133</v>
      </c>
      <c r="P84" s="212">
        <f>AVERAGE(P67:P82)</f>
        <v>8.3723310834677184E-2</v>
      </c>
    </row>
    <row r="85" spans="1:16">
      <c r="A85" s="206">
        <v>2019</v>
      </c>
      <c r="B85" s="207">
        <f t="shared" si="13"/>
        <v>0.19249826371678336</v>
      </c>
      <c r="C85" s="208">
        <f t="shared" si="7"/>
        <v>2.7581343098578709E-2</v>
      </c>
      <c r="D85" s="208">
        <f t="shared" si="8"/>
        <v>0</v>
      </c>
      <c r="E85" s="209">
        <f t="shared" si="4"/>
        <v>0.32943445288543044</v>
      </c>
      <c r="F85" s="210">
        <f>IF($J$62=1,'Nº Cars Projection'!B7, IF($J$62=2,'Nº Cars Projection'!D7, IF($J$62=3,'Nº Cars Projection'!F7)))</f>
        <v>30737610</v>
      </c>
      <c r="G85" s="210">
        <f t="shared" si="14"/>
        <v>2573454.4763450818</v>
      </c>
      <c r="H85" s="210">
        <f t="shared" si="15"/>
        <v>2564976.6306706788</v>
      </c>
      <c r="I85" s="210">
        <f t="shared" si="16"/>
        <v>8477.8456744030391</v>
      </c>
      <c r="J85" s="210">
        <f t="shared" si="9"/>
        <v>-37610</v>
      </c>
      <c r="K85" s="210">
        <f t="shared" si="17"/>
        <v>59169.36555803637</v>
      </c>
      <c r="L85" s="210">
        <f t="shared" si="18"/>
        <v>30147473.857502166</v>
      </c>
      <c r="M85" s="210">
        <f t="shared" ca="1" si="10"/>
        <v>1953472</v>
      </c>
      <c r="N85" s="211">
        <f t="shared" ca="1" si="11"/>
        <v>1953344</v>
      </c>
      <c r="O85" s="211">
        <f t="shared" ca="1" si="12"/>
        <v>128.00000000000011</v>
      </c>
      <c r="P85" s="213"/>
    </row>
    <row r="86" spans="1:16">
      <c r="A86" s="206">
        <v>2020</v>
      </c>
      <c r="B86" s="207">
        <f t="shared" si="13"/>
        <v>0.22007960681536207</v>
      </c>
      <c r="C86" s="208">
        <f t="shared" si="7"/>
        <v>2.7581343098578709E-2</v>
      </c>
      <c r="D86" s="208">
        <f t="shared" si="8"/>
        <v>0</v>
      </c>
      <c r="E86" s="209">
        <f t="shared" si="4"/>
        <v>0.32943445288543044</v>
      </c>
      <c r="F86" s="210">
        <f>IF($J$62=1,'Nº Cars Projection'!B8, IF($J$62=2,'Nº Cars Projection'!D8, IF($J$62=3,'Nº Cars Projection'!F8)))</f>
        <v>30700000</v>
      </c>
      <c r="G86" s="210">
        <f t="shared" si="14"/>
        <v>2570305.6426245896</v>
      </c>
      <c r="H86" s="210">
        <f t="shared" si="15"/>
        <v>2561838.170293326</v>
      </c>
      <c r="I86" s="210">
        <f t="shared" si="16"/>
        <v>8467.4723312636634</v>
      </c>
      <c r="J86" s="210">
        <f t="shared" si="9"/>
        <v>-37610</v>
      </c>
      <c r="K86" s="210">
        <f t="shared" si="17"/>
        <v>67564.43929231615</v>
      </c>
      <c r="L86" s="210">
        <f t="shared" si="18"/>
        <v>30032364.642959218</v>
      </c>
      <c r="M86" s="210">
        <f t="shared" ca="1" si="10"/>
        <v>1974110</v>
      </c>
      <c r="N86" s="211">
        <f t="shared" ca="1" si="11"/>
        <v>1974020</v>
      </c>
      <c r="O86" s="211">
        <f t="shared" ca="1" si="12"/>
        <v>89.999999999999858</v>
      </c>
      <c r="P86" s="214" t="s">
        <v>66</v>
      </c>
    </row>
    <row r="87" spans="1:16">
      <c r="A87" s="206">
        <v>2021</v>
      </c>
      <c r="B87" s="207">
        <f t="shared" si="13"/>
        <v>0.24766094991394078</v>
      </c>
      <c r="C87" s="208">
        <f t="shared" si="7"/>
        <v>2.7581343098578709E-2</v>
      </c>
      <c r="D87" s="208">
        <f t="shared" si="8"/>
        <v>0</v>
      </c>
      <c r="E87" s="209">
        <f t="shared" si="4"/>
        <v>0.32943445288543044</v>
      </c>
      <c r="F87" s="210">
        <f>IF($J$62=1,'Nº Cars Projection'!B9, IF($J$62=2,'Nº Cars Projection'!D9, IF($J$62=3,'Nº Cars Projection'!F9)))</f>
        <v>30720000</v>
      </c>
      <c r="G87" s="210">
        <f t="shared" si="14"/>
        <v>2571980.1088412832</v>
      </c>
      <c r="H87" s="210">
        <f t="shared" si="15"/>
        <v>2563507.1202413999</v>
      </c>
      <c r="I87" s="210">
        <f t="shared" si="16"/>
        <v>8472.9885998833797</v>
      </c>
      <c r="J87" s="210">
        <f t="shared" si="9"/>
        <v>20000</v>
      </c>
      <c r="K87" s="210">
        <f t="shared" si="17"/>
        <v>76081.443813562611</v>
      </c>
      <c r="L87" s="210">
        <f t="shared" si="18"/>
        <v>29973657.448093202</v>
      </c>
      <c r="M87" s="210">
        <f t="shared" ca="1" si="10"/>
        <v>1884112</v>
      </c>
      <c r="N87" s="211">
        <f t="shared" ca="1" si="11"/>
        <v>1883045</v>
      </c>
      <c r="O87" s="211">
        <f t="shared" ca="1" si="12"/>
        <v>1067</v>
      </c>
      <c r="P87" s="214">
        <f>SUM($C$62*P84)/100</f>
        <v>1.004679730016126E-2</v>
      </c>
    </row>
    <row r="88" spans="1:16">
      <c r="A88" s="206">
        <v>2022</v>
      </c>
      <c r="B88" s="207">
        <f t="shared" si="13"/>
        <v>0.27524229301251946</v>
      </c>
      <c r="C88" s="208">
        <f t="shared" si="7"/>
        <v>2.7581343098578681E-2</v>
      </c>
      <c r="D88" s="208">
        <f t="shared" si="8"/>
        <v>-2.7755575615628914E-17</v>
      </c>
      <c r="E88" s="209">
        <f t="shared" si="4"/>
        <v>0.32943445288543011</v>
      </c>
      <c r="F88" s="210">
        <f>IF($J$62=1,'Nº Cars Projection'!B10, IF($J$62=2,'Nº Cars Projection'!D10, IF($J$62=3,'Nº Cars Projection'!F10)))</f>
        <v>30740000</v>
      </c>
      <c r="G88" s="210">
        <f t="shared" si="14"/>
        <v>2573654.5750579764</v>
      </c>
      <c r="H88" s="210">
        <f t="shared" si="15"/>
        <v>2565176.0701894732</v>
      </c>
      <c r="I88" s="210">
        <f t="shared" si="16"/>
        <v>8478.5048685030852</v>
      </c>
      <c r="J88" s="210">
        <f t="shared" si="9"/>
        <v>20000</v>
      </c>
      <c r="K88" s="210">
        <f t="shared" si="17"/>
        <v>84609.480872048473</v>
      </c>
      <c r="L88" s="210">
        <f t="shared" si="18"/>
        <v>29914848.33623074</v>
      </c>
      <c r="M88" s="210">
        <f t="shared" ca="1" si="10"/>
        <v>1985160</v>
      </c>
      <c r="N88" s="211">
        <f t="shared" ca="1" si="11"/>
        <v>1983638</v>
      </c>
      <c r="O88" s="211">
        <f t="shared" ca="1" si="12"/>
        <v>1521.9999999999998</v>
      </c>
      <c r="P88" s="213"/>
    </row>
    <row r="89" spans="1:16">
      <c r="A89" s="206">
        <v>2023</v>
      </c>
      <c r="B89" s="207">
        <f t="shared" si="13"/>
        <v>0.30282363611109814</v>
      </c>
      <c r="C89" s="208">
        <f t="shared" si="7"/>
        <v>2.7581343098578681E-2</v>
      </c>
      <c r="D89" s="208">
        <f t="shared" si="8"/>
        <v>0</v>
      </c>
      <c r="E89" s="209">
        <f t="shared" si="4"/>
        <v>0.32943445288543016</v>
      </c>
      <c r="F89" s="210">
        <f>IF($J$62=1,'Nº Cars Projection'!B11, IF($J$62=2,'Nº Cars Projection'!D11, IF($J$62=3,'Nº Cars Projection'!F11)))</f>
        <v>30760000</v>
      </c>
      <c r="G89" s="210">
        <f t="shared" si="14"/>
        <v>2575329.04127467</v>
      </c>
      <c r="H89" s="210">
        <f t="shared" si="15"/>
        <v>2566845.020137547</v>
      </c>
      <c r="I89" s="210">
        <f t="shared" si="16"/>
        <v>8484.0211371228033</v>
      </c>
      <c r="J89" s="210">
        <f t="shared" si="9"/>
        <v>20000</v>
      </c>
      <c r="K89" s="210">
        <f t="shared" si="17"/>
        <v>93148.550467773792</v>
      </c>
      <c r="L89" s="210">
        <f t="shared" si="18"/>
        <v>29855937.307371847</v>
      </c>
      <c r="M89" s="210">
        <f t="shared" ca="1" si="10"/>
        <v>2194954</v>
      </c>
      <c r="N89" s="211">
        <f t="shared" ca="1" si="11"/>
        <v>2192831</v>
      </c>
      <c r="O89" s="211">
        <f t="shared" ca="1" si="12"/>
        <v>2123</v>
      </c>
      <c r="P89" s="213"/>
    </row>
    <row r="90" spans="1:16">
      <c r="A90" s="206">
        <v>2024</v>
      </c>
      <c r="B90" s="207">
        <f t="shared" si="13"/>
        <v>0.33040497920967682</v>
      </c>
      <c r="C90" s="208">
        <f t="shared" si="7"/>
        <v>2.7581343098578681E-2</v>
      </c>
      <c r="D90" s="208">
        <f t="shared" si="8"/>
        <v>0</v>
      </c>
      <c r="E90" s="209">
        <f t="shared" si="4"/>
        <v>0.32943445288543011</v>
      </c>
      <c r="F90" s="210">
        <f>IF($J$62=1,'Nº Cars Projection'!B12, IF($J$62=2,'Nº Cars Projection'!D12, IF($J$62=3,'Nº Cars Projection'!F12)))</f>
        <v>30780000</v>
      </c>
      <c r="G90" s="210">
        <f t="shared" si="14"/>
        <v>2577003.5074913637</v>
      </c>
      <c r="H90" s="210">
        <f t="shared" si="15"/>
        <v>2568513.9700856213</v>
      </c>
      <c r="I90" s="210">
        <f t="shared" si="16"/>
        <v>8489.5374057425179</v>
      </c>
      <c r="J90" s="210">
        <f t="shared" si="9"/>
        <v>20000</v>
      </c>
      <c r="K90" s="210">
        <f t="shared" si="17"/>
        <v>101698.65260073851</v>
      </c>
      <c r="L90" s="210">
        <f t="shared" si="18"/>
        <v>29796924.361516509</v>
      </c>
      <c r="M90" s="210">
        <f t="shared" ca="1" si="10"/>
        <v>2397363</v>
      </c>
      <c r="N90" s="211">
        <f t="shared" ca="1" si="11"/>
        <v>2387410</v>
      </c>
      <c r="O90" s="211">
        <f t="shared" ca="1" si="12"/>
        <v>9953</v>
      </c>
      <c r="P90" s="213"/>
    </row>
    <row r="91" spans="1:16">
      <c r="A91" s="206">
        <v>2025</v>
      </c>
      <c r="B91" s="207">
        <f t="shared" si="13"/>
        <v>0.3579863223082555</v>
      </c>
      <c r="C91" s="208">
        <f t="shared" si="7"/>
        <v>2.7581343098578681E-2</v>
      </c>
      <c r="D91" s="208">
        <f t="shared" si="8"/>
        <v>0</v>
      </c>
      <c r="E91" s="209">
        <f t="shared" si="4"/>
        <v>0.32943445288543011</v>
      </c>
      <c r="F91" s="210">
        <f>IF($J$62=1,'Nº Cars Projection'!B13, IF($J$62=2,'Nº Cars Projection'!D13, IF($J$62=3,'Nº Cars Projection'!F13)))</f>
        <v>30800000</v>
      </c>
      <c r="G91" s="210">
        <f t="shared" si="14"/>
        <v>2578677.9737080573</v>
      </c>
      <c r="H91" s="210">
        <f t="shared" si="15"/>
        <v>2570182.9200336952</v>
      </c>
      <c r="I91" s="210">
        <f t="shared" si="16"/>
        <v>8495.0536743622342</v>
      </c>
      <c r="J91" s="210">
        <f t="shared" si="9"/>
        <v>20000</v>
      </c>
      <c r="K91" s="210">
        <f t="shared" si="17"/>
        <v>110259.7872709427</v>
      </c>
      <c r="L91" s="210">
        <f t="shared" si="18"/>
        <v>29737809.498664737</v>
      </c>
      <c r="M91" s="210">
        <f t="shared" ca="1" si="10"/>
        <v>2537844</v>
      </c>
      <c r="N91" s="211">
        <f t="shared" ca="1" si="11"/>
        <v>2529449</v>
      </c>
      <c r="O91" s="211">
        <f t="shared" ca="1" si="12"/>
        <v>8395.0000000000036</v>
      </c>
      <c r="P91" s="213"/>
    </row>
    <row r="92" spans="1:16">
      <c r="A92" s="206">
        <v>2026</v>
      </c>
      <c r="B92" s="207">
        <f t="shared" si="13"/>
        <v>0.38556766540683418</v>
      </c>
      <c r="C92" s="208">
        <f t="shared" si="7"/>
        <v>2.7581343098578681E-2</v>
      </c>
      <c r="D92" s="208">
        <f t="shared" si="8"/>
        <v>0</v>
      </c>
      <c r="E92" s="209">
        <f t="shared" si="4"/>
        <v>0.32943445288543011</v>
      </c>
      <c r="F92" s="210">
        <f>IF($J$62=1,'Nº Cars Projection'!B14, IF($J$62=2,'Nº Cars Projection'!D14, IF($J$62=3,'Nº Cars Projection'!F14)))</f>
        <v>30840000</v>
      </c>
      <c r="G92" s="210">
        <f t="shared" si="14"/>
        <v>2582026.9061414446</v>
      </c>
      <c r="H92" s="210">
        <f t="shared" si="15"/>
        <v>2573520.8199298428</v>
      </c>
      <c r="I92" s="210">
        <f t="shared" si="16"/>
        <v>8506.0862116016651</v>
      </c>
      <c r="J92" s="210">
        <f t="shared" si="9"/>
        <v>40000</v>
      </c>
      <c r="K92" s="210">
        <f t="shared" si="17"/>
        <v>118909.06801146767</v>
      </c>
      <c r="L92" s="210">
        <f t="shared" si="18"/>
        <v>29697852.026226524</v>
      </c>
      <c r="M92" s="210">
        <f t="shared" ca="1" si="10"/>
        <v>2584363</v>
      </c>
      <c r="N92" s="211">
        <f t="shared" ca="1" si="11"/>
        <v>2575532</v>
      </c>
      <c r="O92" s="211">
        <f t="shared" ca="1" si="12"/>
        <v>8830.9999999999964</v>
      </c>
      <c r="P92" s="213"/>
    </row>
    <row r="93" spans="1:16">
      <c r="A93" s="206">
        <v>2027</v>
      </c>
      <c r="B93" s="207">
        <f t="shared" si="13"/>
        <v>0.41314900850541286</v>
      </c>
      <c r="C93" s="208">
        <f t="shared" si="7"/>
        <v>2.7581343098578681E-2</v>
      </c>
      <c r="D93" s="208">
        <f t="shared" si="8"/>
        <v>0</v>
      </c>
      <c r="E93" s="209">
        <f t="shared" si="4"/>
        <v>0.32943445288543016</v>
      </c>
      <c r="F93" s="210">
        <f>IF($J$62=1,'Nº Cars Projection'!B15, IF($J$62=2,'Nº Cars Projection'!D15, IF($J$62=3,'Nº Cars Projection'!F15)))</f>
        <v>30880000</v>
      </c>
      <c r="G93" s="210">
        <f t="shared" si="14"/>
        <v>2585375.8385748314</v>
      </c>
      <c r="H93" s="210">
        <f t="shared" si="15"/>
        <v>2576858.7198259905</v>
      </c>
      <c r="I93" s="210">
        <f t="shared" si="16"/>
        <v>8517.1187488410978</v>
      </c>
      <c r="J93" s="210">
        <f t="shared" si="9"/>
        <v>40000</v>
      </c>
      <c r="K93" s="210">
        <f t="shared" si="17"/>
        <v>127580.41382647149</v>
      </c>
      <c r="L93" s="210">
        <f t="shared" si="18"/>
        <v>29657690.719795436</v>
      </c>
      <c r="M93" s="210">
        <f t="shared" ca="1" si="10"/>
        <v>2579752.1437860662</v>
      </c>
      <c r="N93" s="211">
        <f t="shared" ca="1" si="11"/>
        <v>2571253.5514253844</v>
      </c>
      <c r="O93" s="211">
        <f t="shared" ca="1" si="12"/>
        <v>8498.5923606817905</v>
      </c>
      <c r="P93" s="213"/>
    </row>
    <row r="94" spans="1:16">
      <c r="A94" s="206">
        <v>2028</v>
      </c>
      <c r="B94" s="207">
        <f t="shared" si="13"/>
        <v>0.44073035160399154</v>
      </c>
      <c r="C94" s="208">
        <f t="shared" si="7"/>
        <v>2.7581343098578681E-2</v>
      </c>
      <c r="D94" s="208">
        <f t="shared" si="8"/>
        <v>0</v>
      </c>
      <c r="E94" s="209">
        <f t="shared" si="4"/>
        <v>0.32943445288543011</v>
      </c>
      <c r="F94" s="210">
        <f>IF($J$62=1,'Nº Cars Projection'!B16, IF($J$62=2,'Nº Cars Projection'!D16, IF($J$62=3,'Nº Cars Projection'!F16)))</f>
        <v>30920000</v>
      </c>
      <c r="G94" s="210">
        <f t="shared" si="14"/>
        <v>2588724.7710082186</v>
      </c>
      <c r="H94" s="210">
        <f t="shared" si="15"/>
        <v>2580196.6197221382</v>
      </c>
      <c r="I94" s="210">
        <f t="shared" si="16"/>
        <v>8528.1512860805287</v>
      </c>
      <c r="J94" s="210">
        <f t="shared" si="9"/>
        <v>40000</v>
      </c>
      <c r="K94" s="210">
        <f t="shared" si="17"/>
        <v>136273.82471595416</v>
      </c>
      <c r="L94" s="210">
        <f t="shared" si="18"/>
        <v>29617325.579371467</v>
      </c>
      <c r="M94" s="210">
        <f t="shared" ca="1" si="10"/>
        <v>2576603.310065574</v>
      </c>
      <c r="N94" s="211">
        <f t="shared" ca="1" si="11"/>
        <v>2568115.0910480316</v>
      </c>
      <c r="O94" s="211">
        <f t="shared" ca="1" si="12"/>
        <v>8488.2190175424148</v>
      </c>
      <c r="P94" s="213"/>
    </row>
    <row r="95" spans="1:16">
      <c r="A95" s="206">
        <v>2029</v>
      </c>
      <c r="B95" s="207">
        <f t="shared" si="13"/>
        <v>0.46831169470257022</v>
      </c>
      <c r="C95" s="208">
        <f t="shared" si="7"/>
        <v>2.7581343098578681E-2</v>
      </c>
      <c r="D95" s="208">
        <f t="shared" si="8"/>
        <v>0</v>
      </c>
      <c r="E95" s="209">
        <f t="shared" si="4"/>
        <v>0.32943445288543011</v>
      </c>
      <c r="F95" s="210">
        <f>IF($J$62=1,'Nº Cars Projection'!B17, IF($J$62=2,'Nº Cars Projection'!D17, IF($J$62=3,'Nº Cars Projection'!F17)))</f>
        <v>30960000</v>
      </c>
      <c r="G95" s="210">
        <f t="shared" si="14"/>
        <v>2592073.7034416054</v>
      </c>
      <c r="H95" s="210">
        <f t="shared" si="15"/>
        <v>2583534.5196182854</v>
      </c>
      <c r="I95" s="210">
        <f t="shared" si="16"/>
        <v>8539.1838233199596</v>
      </c>
      <c r="J95" s="210">
        <f t="shared" si="9"/>
        <v>40000</v>
      </c>
      <c r="K95" s="210">
        <f t="shared" si="17"/>
        <v>144989.30067991573</v>
      </c>
      <c r="L95" s="210">
        <f t="shared" si="18"/>
        <v>29576756.604954623</v>
      </c>
      <c r="M95" s="210">
        <f t="shared" ca="1" si="10"/>
        <v>2573454.4763450818</v>
      </c>
      <c r="N95" s="211">
        <f t="shared" ca="1" si="11"/>
        <v>2564976.6306706788</v>
      </c>
      <c r="O95" s="211">
        <f t="shared" ca="1" si="12"/>
        <v>8477.8456744030391</v>
      </c>
      <c r="P95" s="213"/>
    </row>
    <row r="96" spans="1:16">
      <c r="A96" s="206">
        <v>2030</v>
      </c>
      <c r="B96" s="207">
        <f t="shared" si="13"/>
        <v>0.49589303780114891</v>
      </c>
      <c r="C96" s="208">
        <f t="shared" si="7"/>
        <v>2.7581343098578681E-2</v>
      </c>
      <c r="D96" s="208">
        <f t="shared" si="8"/>
        <v>0</v>
      </c>
      <c r="E96" s="209">
        <f t="shared" si="4"/>
        <v>0.32943445288543011</v>
      </c>
      <c r="F96" s="210">
        <f>IF($J$62=1,'Nº Cars Projection'!B18, IF($J$62=2,'Nº Cars Projection'!D18, IF($J$62=3,'Nº Cars Projection'!F18)))</f>
        <v>31000000</v>
      </c>
      <c r="G96" s="210">
        <f t="shared" si="14"/>
        <v>2595422.6358749927</v>
      </c>
      <c r="H96" s="210">
        <f t="shared" si="15"/>
        <v>2586872.4195144335</v>
      </c>
      <c r="I96" s="210">
        <f t="shared" si="16"/>
        <v>8550.2163605593905</v>
      </c>
      <c r="J96" s="210">
        <f t="shared" si="9"/>
        <v>40000</v>
      </c>
      <c r="K96" s="210">
        <f t="shared" si="17"/>
        <v>153726.84171835615</v>
      </c>
      <c r="L96" s="210">
        <f t="shared" si="18"/>
        <v>29535983.796544898</v>
      </c>
      <c r="M96" s="210">
        <f t="shared" ca="1" si="10"/>
        <v>2570305.6426245896</v>
      </c>
      <c r="N96" s="211">
        <f t="shared" ca="1" si="11"/>
        <v>2561838.170293326</v>
      </c>
      <c r="O96" s="211">
        <f t="shared" ca="1" si="12"/>
        <v>8467.4723312636634</v>
      </c>
      <c r="P96" s="215"/>
    </row>
    <row r="97" spans="1:16">
      <c r="A97" s="206">
        <v>2031</v>
      </c>
      <c r="B97" s="207">
        <f t="shared" ref="B97:B116" si="19">$C$62/(1+POWER(81,($C$63+$C$64/2-$A97 )/$C$64))</f>
        <v>0.64501848872077017</v>
      </c>
      <c r="C97" s="208">
        <f t="shared" si="7"/>
        <v>0.14912545091962126</v>
      </c>
      <c r="D97" s="208">
        <f t="shared" si="8"/>
        <v>0.12154410782104258</v>
      </c>
      <c r="E97" s="209">
        <f t="shared" si="4"/>
        <v>1.781170016246602</v>
      </c>
      <c r="F97" s="210">
        <f>IF($J$62=1,'Nº Cars Projection'!B19, IF($J$62=2,'Nº Cars Projection'!D19, IF($J$62=3,'Nº Cars Projection'!F19)))</f>
        <v>30200000</v>
      </c>
      <c r="G97" s="210">
        <f t="shared" si="14"/>
        <v>2528443.9872072511</v>
      </c>
      <c r="H97" s="210">
        <f t="shared" si="15"/>
        <v>2483408.1010295255</v>
      </c>
      <c r="I97" s="210">
        <f t="shared" si="16"/>
        <v>45035.886177725624</v>
      </c>
      <c r="J97" s="210">
        <f t="shared" si="9"/>
        <v>-800000</v>
      </c>
      <c r="K97" s="210">
        <f t="shared" si="17"/>
        <v>194795.58359367258</v>
      </c>
      <c r="L97" s="210">
        <f t="shared" si="18"/>
        <v>28576703.470052727</v>
      </c>
      <c r="M97" s="210">
        <f t="shared" ca="1" si="10"/>
        <v>2571980.1088412832</v>
      </c>
      <c r="N97" s="211">
        <f t="shared" ca="1" si="11"/>
        <v>2563507.1202413999</v>
      </c>
      <c r="O97" s="211">
        <f t="shared" ca="1" si="12"/>
        <v>8472.9885998833797</v>
      </c>
      <c r="P97" s="213"/>
    </row>
    <row r="98" spans="1:16">
      <c r="A98" s="206">
        <v>2032</v>
      </c>
      <c r="B98" s="207">
        <f t="shared" si="19"/>
        <v>0.88318557514350426</v>
      </c>
      <c r="C98" s="208">
        <f t="shared" si="7"/>
        <v>0.2381670864227341</v>
      </c>
      <c r="D98" s="208">
        <f t="shared" si="8"/>
        <v>8.9041635503112837E-2</v>
      </c>
      <c r="E98" s="209">
        <f t="shared" si="4"/>
        <v>2.8446926435222646</v>
      </c>
      <c r="F98" s="210">
        <f>IF($J$62=1,'Nº Cars Projection'!B20, IF($J$62=2,'Nº Cars Projection'!D20, IF($J$62=3,'Nº Cars Projection'!F20)))</f>
        <v>29400000</v>
      </c>
      <c r="G98" s="210">
        <f t="shared" si="14"/>
        <v>2461465.3385395091</v>
      </c>
      <c r="H98" s="210">
        <f t="shared" si="15"/>
        <v>2391444.2151312251</v>
      </c>
      <c r="I98" s="210">
        <f t="shared" si="16"/>
        <v>70021.12340828382</v>
      </c>
      <c r="J98" s="210">
        <f t="shared" si="9"/>
        <v>-800000</v>
      </c>
      <c r="K98" s="210">
        <f t="shared" si="17"/>
        <v>259656.55909219026</v>
      </c>
      <c r="L98" s="210">
        <f t="shared" si="18"/>
        <v>27236195.340898413</v>
      </c>
      <c r="M98" s="210">
        <f t="shared" ca="1" si="10"/>
        <v>2573654.5750579764</v>
      </c>
      <c r="N98" s="211">
        <f t="shared" ca="1" si="11"/>
        <v>2565176.0701894732</v>
      </c>
      <c r="O98" s="211">
        <f t="shared" ca="1" si="12"/>
        <v>8478.5048685030852</v>
      </c>
      <c r="P98" s="213"/>
    </row>
    <row r="99" spans="1:16">
      <c r="A99" s="206">
        <v>2033</v>
      </c>
      <c r="B99" s="207">
        <f t="shared" si="19"/>
        <v>1.2000000000000162</v>
      </c>
      <c r="C99" s="208">
        <f t="shared" si="7"/>
        <v>0.3168144248565119</v>
      </c>
      <c r="D99" s="208">
        <f t="shared" si="8"/>
        <v>7.8647338433777803E-2</v>
      </c>
      <c r="E99" s="209">
        <f t="shared" ref="E99:E116" si="20">(SUM(I99/G99))*100</f>
        <v>3.7840646971320107</v>
      </c>
      <c r="F99" s="210">
        <f>IF($J$62=1,'Nº Cars Projection'!B21, IF($J$62=2,'Nº Cars Projection'!D21, IF($J$62=3,'Nº Cars Projection'!F21)))</f>
        <v>28600000</v>
      </c>
      <c r="G99" s="210">
        <f t="shared" si="14"/>
        <v>2394486.6898717675</v>
      </c>
      <c r="H99" s="210">
        <f t="shared" si="15"/>
        <v>2303877.7643628051</v>
      </c>
      <c r="I99" s="210">
        <f t="shared" si="16"/>
        <v>90608.925508962406</v>
      </c>
      <c r="J99" s="210">
        <f t="shared" si="9"/>
        <v>-800000</v>
      </c>
      <c r="K99" s="210">
        <f t="shared" si="17"/>
        <v>343200.0000000046</v>
      </c>
      <c r="L99" s="210">
        <f t="shared" si="18"/>
        <v>25739999.999999963</v>
      </c>
      <c r="M99" s="210">
        <f t="shared" ca="1" si="10"/>
        <v>2575329.04127467</v>
      </c>
      <c r="N99" s="211">
        <f t="shared" ca="1" si="11"/>
        <v>2566845.020137547</v>
      </c>
      <c r="O99" s="211">
        <f t="shared" ca="1" si="12"/>
        <v>8484.0211371228033</v>
      </c>
      <c r="P99" s="213"/>
    </row>
    <row r="100" spans="1:16">
      <c r="A100" s="206">
        <v>2034</v>
      </c>
      <c r="B100" s="207">
        <f t="shared" si="19"/>
        <v>1.6139619095019853</v>
      </c>
      <c r="C100" s="208">
        <f t="shared" si="7"/>
        <v>0.41396190950196909</v>
      </c>
      <c r="D100" s="208">
        <f t="shared" si="8"/>
        <v>9.7147484645457194E-2</v>
      </c>
      <c r="E100" s="209">
        <f t="shared" si="20"/>
        <v>4.9444044361718085</v>
      </c>
      <c r="F100" s="210">
        <f>IF($J$62=1,'Nº Cars Projection'!B22, IF($J$62=2,'Nº Cars Projection'!D22, IF($J$62=3,'Nº Cars Projection'!F22)))</f>
        <v>27800000</v>
      </c>
      <c r="G100" s="210">
        <f t="shared" si="14"/>
        <v>2327508.0412040255</v>
      </c>
      <c r="H100" s="210">
        <f t="shared" si="15"/>
        <v>2212426.6303624781</v>
      </c>
      <c r="I100" s="210">
        <f t="shared" si="16"/>
        <v>115081.4108415474</v>
      </c>
      <c r="J100" s="210">
        <f t="shared" ref="J100:J116" si="21">SUM(F100-F99)</f>
        <v>-800000</v>
      </c>
      <c r="K100" s="210">
        <f t="shared" si="17"/>
        <v>448681.41084155184</v>
      </c>
      <c r="L100" s="210">
        <f t="shared" si="18"/>
        <v>24060988.242987067</v>
      </c>
      <c r="M100" s="210">
        <f t="shared" ca="1" si="10"/>
        <v>2577003.5074913637</v>
      </c>
      <c r="N100" s="211">
        <f t="shared" ca="1" si="11"/>
        <v>2568513.9700856213</v>
      </c>
      <c r="O100" s="211">
        <f t="shared" ca="1" si="12"/>
        <v>8489.5374057425179</v>
      </c>
      <c r="P100" s="213"/>
    </row>
    <row r="101" spans="1:16">
      <c r="A101" s="206">
        <v>2035</v>
      </c>
      <c r="B101" s="207">
        <f t="shared" si="19"/>
        <v>2.1423995175666266</v>
      </c>
      <c r="C101" s="208">
        <f t="shared" si="7"/>
        <v>0.52843760806464135</v>
      </c>
      <c r="D101" s="208">
        <f t="shared" si="8"/>
        <v>0.11447569856267226</v>
      </c>
      <c r="E101" s="209">
        <f t="shared" si="20"/>
        <v>6.3117141784814477</v>
      </c>
      <c r="F101" s="210">
        <f>IF($J$62=1,'Nº Cars Projection'!B23, IF($J$62=2,'Nº Cars Projection'!D23, IF($J$62=3,'Nº Cars Projection'!F23)))</f>
        <v>27000000</v>
      </c>
      <c r="G101" s="210">
        <f t="shared" si="14"/>
        <v>2260529.3925362839</v>
      </c>
      <c r="H101" s="210">
        <f t="shared" si="15"/>
        <v>2117851.2383588306</v>
      </c>
      <c r="I101" s="210">
        <f t="shared" si="16"/>
        <v>142678.15417745317</v>
      </c>
      <c r="J101" s="210">
        <f t="shared" si="21"/>
        <v>-800000</v>
      </c>
      <c r="K101" s="210">
        <f t="shared" si="17"/>
        <v>578447.86974298919</v>
      </c>
      <c r="L101" s="210">
        <f t="shared" si="18"/>
        <v>22179601.085475091</v>
      </c>
      <c r="M101" s="210">
        <f t="shared" ca="1" si="10"/>
        <v>2578677.9737080573</v>
      </c>
      <c r="N101" s="211">
        <f t="shared" ca="1" si="11"/>
        <v>2570182.9200336952</v>
      </c>
      <c r="O101" s="211">
        <f t="shared" ca="1" si="12"/>
        <v>8495.0536743622342</v>
      </c>
      <c r="P101" s="213"/>
    </row>
    <row r="102" spans="1:16">
      <c r="A102" s="206">
        <v>2036</v>
      </c>
      <c r="B102" s="207">
        <f t="shared" si="19"/>
        <v>2.7972572619877139</v>
      </c>
      <c r="C102" s="208">
        <f t="shared" si="7"/>
        <v>0.65485774442108724</v>
      </c>
      <c r="D102" s="208">
        <f t="shared" si="8"/>
        <v>0.12642013635644589</v>
      </c>
      <c r="E102" s="209">
        <f t="shared" si="20"/>
        <v>7.8216895377464333</v>
      </c>
      <c r="F102" s="210">
        <f>IF($J$62=1,'Nº Cars Projection'!B24, IF($J$62=2,'Nº Cars Projection'!D24, IF($J$62=3,'Nº Cars Projection'!F24)))</f>
        <v>26200000</v>
      </c>
      <c r="G102" s="210">
        <f t="shared" si="14"/>
        <v>2193550.7438685424</v>
      </c>
      <c r="H102" s="210">
        <f t="shared" si="15"/>
        <v>2021978.0148302175</v>
      </c>
      <c r="I102" s="210">
        <f t="shared" si="16"/>
        <v>171572.72903832485</v>
      </c>
      <c r="J102" s="210">
        <f t="shared" si="21"/>
        <v>-800000</v>
      </c>
      <c r="K102" s="210">
        <f t="shared" si="17"/>
        <v>732881.4026407809</v>
      </c>
      <c r="L102" s="210">
        <f t="shared" si="18"/>
        <v>20092654.977993488</v>
      </c>
      <c r="M102" s="210">
        <f t="shared" ca="1" si="10"/>
        <v>2582026.9061414446</v>
      </c>
      <c r="N102" s="211">
        <f t="shared" ca="1" si="11"/>
        <v>2573520.8199298428</v>
      </c>
      <c r="O102" s="211">
        <f t="shared" ca="1" si="12"/>
        <v>8506.0862116016651</v>
      </c>
      <c r="P102" s="213"/>
    </row>
    <row r="103" spans="1:16">
      <c r="A103" s="206">
        <v>2037</v>
      </c>
      <c r="B103" s="207">
        <f t="shared" si="19"/>
        <v>3.5795955520444322</v>
      </c>
      <c r="C103" s="208">
        <f t="shared" si="7"/>
        <v>0.7823382900567184</v>
      </c>
      <c r="D103" s="208">
        <f t="shared" si="8"/>
        <v>0.12748054563563116</v>
      </c>
      <c r="E103" s="209">
        <f t="shared" si="20"/>
        <v>9.344330536587945</v>
      </c>
      <c r="F103" s="210">
        <f>IF($J$62=1,'Nº Cars Projection'!B25, IF($J$62=2,'Nº Cars Projection'!D25, IF($J$62=3,'Nº Cars Projection'!F25)))</f>
        <v>25400000</v>
      </c>
      <c r="G103" s="210">
        <f t="shared" si="14"/>
        <v>2126572.0952008003</v>
      </c>
      <c r="H103" s="210">
        <f t="shared" si="15"/>
        <v>1927858.169526394</v>
      </c>
      <c r="I103" s="210">
        <f t="shared" si="16"/>
        <v>198713.92567440646</v>
      </c>
      <c r="J103" s="210">
        <f t="shared" si="21"/>
        <v>-800000</v>
      </c>
      <c r="K103" s="210">
        <f t="shared" si="17"/>
        <v>909217.27021928574</v>
      </c>
      <c r="L103" s="210">
        <f t="shared" si="18"/>
        <v>17823189.414839286</v>
      </c>
      <c r="M103" s="210">
        <f t="shared" ca="1" si="10"/>
        <v>2585375.8385748314</v>
      </c>
      <c r="N103" s="211">
        <f t="shared" ca="1" si="11"/>
        <v>2576858.7198259905</v>
      </c>
      <c r="O103" s="211">
        <f t="shared" ca="1" si="12"/>
        <v>8517.1187488410978</v>
      </c>
      <c r="P103" s="213"/>
    </row>
    <row r="104" spans="1:16">
      <c r="A104" s="206">
        <v>2038</v>
      </c>
      <c r="B104" s="207">
        <f t="shared" si="19"/>
        <v>4.4743561402970604</v>
      </c>
      <c r="C104" s="208">
        <f t="shared" si="7"/>
        <v>0.89476058825262816</v>
      </c>
      <c r="D104" s="208">
        <f t="shared" si="8"/>
        <v>0.11242229819590976</v>
      </c>
      <c r="E104" s="209">
        <f t="shared" si="20"/>
        <v>10.687114249691486</v>
      </c>
      <c r="F104" s="210">
        <f>IF($J$62=1,'Nº Cars Projection'!B26, IF($J$62=2,'Nº Cars Projection'!D26, IF($J$62=3,'Nº Cars Projection'!F26)))</f>
        <v>24600000</v>
      </c>
      <c r="G104" s="210">
        <f t="shared" si="14"/>
        <v>2059593.4465330588</v>
      </c>
      <c r="H104" s="210">
        <f t="shared" si="15"/>
        <v>1839482.3418229122</v>
      </c>
      <c r="I104" s="210">
        <f t="shared" si="16"/>
        <v>220111.10471014652</v>
      </c>
      <c r="J104" s="210">
        <f t="shared" si="21"/>
        <v>-800000</v>
      </c>
      <c r="K104" s="210">
        <f t="shared" si="17"/>
        <v>1100691.6105130769</v>
      </c>
      <c r="L104" s="210">
        <f t="shared" si="18"/>
        <v>15427569.912391026</v>
      </c>
      <c r="M104" s="210">
        <f t="shared" ca="1" si="10"/>
        <v>2588724.7710082186</v>
      </c>
      <c r="N104" s="211">
        <f t="shared" ca="1" si="11"/>
        <v>2580196.6197221382</v>
      </c>
      <c r="O104" s="211">
        <f t="shared" ca="1" si="12"/>
        <v>8528.1512860805287</v>
      </c>
      <c r="P104" s="213"/>
    </row>
    <row r="105" spans="1:16">
      <c r="A105" s="206">
        <v>2039</v>
      </c>
      <c r="B105" s="207">
        <f t="shared" si="19"/>
        <v>5.4480654534421697</v>
      </c>
      <c r="C105" s="208">
        <f t="shared" si="7"/>
        <v>0.97370931314510933</v>
      </c>
      <c r="D105" s="208">
        <f t="shared" si="8"/>
        <v>7.894872489248117E-2</v>
      </c>
      <c r="E105" s="209">
        <f t="shared" si="20"/>
        <v>11.630086094753562</v>
      </c>
      <c r="F105" s="210">
        <f>IF($J$62=1,'Nº Cars Projection'!B27, IF($J$62=2,'Nº Cars Projection'!D27, IF($J$62=3,'Nº Cars Projection'!F27)))</f>
        <v>23800000</v>
      </c>
      <c r="G105" s="210">
        <f t="shared" si="14"/>
        <v>1992614.797865317</v>
      </c>
      <c r="H105" s="210">
        <f t="shared" si="15"/>
        <v>1760871.9813367811</v>
      </c>
      <c r="I105" s="210">
        <f t="shared" si="16"/>
        <v>231742.816528536</v>
      </c>
      <c r="J105" s="210">
        <f t="shared" si="21"/>
        <v>-800000</v>
      </c>
      <c r="K105" s="210">
        <f t="shared" si="17"/>
        <v>1296639.5779192364</v>
      </c>
      <c r="L105" s="210">
        <f t="shared" si="18"/>
        <v>12994670.184006363</v>
      </c>
      <c r="M105" s="210">
        <f t="shared" ca="1" si="10"/>
        <v>2592073.7034416054</v>
      </c>
      <c r="N105" s="211">
        <f t="shared" ca="1" si="11"/>
        <v>2583534.5196182854</v>
      </c>
      <c r="O105" s="211">
        <f t="shared" ca="1" si="12"/>
        <v>8539.1838233199596</v>
      </c>
      <c r="P105" s="213"/>
    </row>
    <row r="106" spans="1:16">
      <c r="A106" s="206">
        <v>2040</v>
      </c>
      <c r="B106" s="207">
        <f t="shared" si="19"/>
        <v>6.4520050784085825</v>
      </c>
      <c r="C106" s="216">
        <f t="shared" si="7"/>
        <v>1.0039396249664128</v>
      </c>
      <c r="D106" s="208">
        <f t="shared" si="8"/>
        <v>3.0230311821303424E-2</v>
      </c>
      <c r="E106" s="209">
        <f t="shared" si="20"/>
        <v>11.991160107712714</v>
      </c>
      <c r="F106" s="210">
        <f>IF($J$62=1,'Nº Cars Projection'!B28, IF($J$62=2,'Nº Cars Projection'!D28, IF($J$62=3,'Nº Cars Projection'!F28)))</f>
        <v>23000000</v>
      </c>
      <c r="G106" s="210">
        <f t="shared" si="14"/>
        <v>1925636.1491975752</v>
      </c>
      <c r="H106" s="210">
        <f t="shared" si="15"/>
        <v>1694730.0354553002</v>
      </c>
      <c r="I106" s="210">
        <f t="shared" si="16"/>
        <v>230906.11374227493</v>
      </c>
      <c r="J106" s="210">
        <f t="shared" si="21"/>
        <v>-800000</v>
      </c>
      <c r="K106" s="210">
        <f t="shared" si="17"/>
        <v>1483961.1680339738</v>
      </c>
      <c r="L106" s="210">
        <f t="shared" si="18"/>
        <v>10633656.933050219</v>
      </c>
      <c r="M106" s="210">
        <f t="shared" ca="1" si="10"/>
        <v>2595422.6358749927</v>
      </c>
      <c r="N106" s="211">
        <f t="shared" ca="1" si="11"/>
        <v>2586872.4195144335</v>
      </c>
      <c r="O106" s="211">
        <f t="shared" ca="1" si="12"/>
        <v>8550.2163605593905</v>
      </c>
      <c r="P106" s="213"/>
    </row>
    <row r="107" spans="1:16">
      <c r="A107" s="206">
        <v>2041</v>
      </c>
      <c r="B107" s="207">
        <f t="shared" si="19"/>
        <v>7.4311200138388758</v>
      </c>
      <c r="C107" s="208">
        <f t="shared" si="7"/>
        <v>0.97911493543029327</v>
      </c>
      <c r="D107" s="208">
        <f t="shared" si="8"/>
        <v>-2.4824689536119493E-2</v>
      </c>
      <c r="E107" s="209">
        <f t="shared" si="20"/>
        <v>12.000000000000002</v>
      </c>
      <c r="F107" s="210">
        <f>IF($J$62=1,'Nº Cars Projection'!B29, IF($J$62=2,'Nº Cars Projection'!D29, IF($J$62=3,'Nº Cars Projection'!F29)))</f>
        <v>23220000</v>
      </c>
      <c r="G107" s="210">
        <f t="shared" si="14"/>
        <v>1944055.2775812042</v>
      </c>
      <c r="H107" s="210">
        <f t="shared" si="15"/>
        <v>1710768.6442714597</v>
      </c>
      <c r="I107" s="210">
        <f t="shared" si="16"/>
        <v>233286.63330974453</v>
      </c>
      <c r="J107" s="210">
        <f t="shared" si="21"/>
        <v>220000</v>
      </c>
      <c r="K107" s="210">
        <f t="shared" si="17"/>
        <v>1725506.067213387</v>
      </c>
      <c r="L107" s="210">
        <f t="shared" si="18"/>
        <v>8840782.7732217759</v>
      </c>
      <c r="M107" s="210">
        <f t="shared" ca="1" si="10"/>
        <v>2528443.9872072511</v>
      </c>
      <c r="N107" s="211">
        <f t="shared" ca="1" si="11"/>
        <v>2483408.1010295255</v>
      </c>
      <c r="O107" s="211">
        <f t="shared" ca="1" si="12"/>
        <v>45035.886177725624</v>
      </c>
      <c r="P107" s="213"/>
    </row>
    <row r="108" spans="1:16">
      <c r="A108" s="206">
        <v>2042</v>
      </c>
      <c r="B108" s="207">
        <f t="shared" si="19"/>
        <v>8.3355789751184322</v>
      </c>
      <c r="C108" s="208">
        <f t="shared" si="7"/>
        <v>0.90445896127955638</v>
      </c>
      <c r="D108" s="208">
        <f t="shared" si="8"/>
        <v>-7.4655974150736881E-2</v>
      </c>
      <c r="E108" s="209">
        <f t="shared" si="20"/>
        <v>12.000000000000002</v>
      </c>
      <c r="F108" s="210">
        <f>IF($J$62=1,'Nº Cars Projection'!B30, IF($J$62=2,'Nº Cars Projection'!D30, IF($J$62=3,'Nº Cars Projection'!F30)))</f>
        <v>23440000</v>
      </c>
      <c r="G108" s="210">
        <f t="shared" si="14"/>
        <v>1962474.4059648332</v>
      </c>
      <c r="H108" s="210">
        <f t="shared" si="15"/>
        <v>1726977.4772490533</v>
      </c>
      <c r="I108" s="210">
        <f t="shared" si="16"/>
        <v>235496.92871578</v>
      </c>
      <c r="J108" s="210">
        <f t="shared" si="21"/>
        <v>220000</v>
      </c>
      <c r="K108" s="210">
        <f t="shared" si="17"/>
        <v>1953859.7117677606</v>
      </c>
      <c r="L108" s="210">
        <f t="shared" si="18"/>
        <v>7157835.7352686618</v>
      </c>
      <c r="M108" s="210">
        <f t="shared" ca="1" si="10"/>
        <v>2461465.3385395091</v>
      </c>
      <c r="N108" s="211">
        <f t="shared" ca="1" si="11"/>
        <v>2391444.2151312251</v>
      </c>
      <c r="O108" s="211">
        <f t="shared" ca="1" si="12"/>
        <v>70021.12340828382</v>
      </c>
      <c r="P108" s="213"/>
    </row>
    <row r="109" spans="1:16">
      <c r="A109" s="206">
        <v>2043</v>
      </c>
      <c r="B109" s="207">
        <f t="shared" si="19"/>
        <v>9.1301377764120879</v>
      </c>
      <c r="C109" s="208">
        <f t="shared" si="7"/>
        <v>0.79455880129365575</v>
      </c>
      <c r="D109" s="208">
        <f t="shared" si="8"/>
        <v>-0.10990015998590064</v>
      </c>
      <c r="E109" s="209">
        <f t="shared" si="20"/>
        <v>12.000000000000002</v>
      </c>
      <c r="F109" s="210">
        <f>IF($J$62=1,'Nº Cars Projection'!B31, IF($J$62=2,'Nº Cars Projection'!D31, IF($J$62=3,'Nº Cars Projection'!F31)))</f>
        <v>23660000</v>
      </c>
      <c r="G109" s="210">
        <f t="shared" si="14"/>
        <v>1980893.5343484622</v>
      </c>
      <c r="H109" s="210">
        <f t="shared" si="15"/>
        <v>1743186.3102266467</v>
      </c>
      <c r="I109" s="210">
        <f t="shared" si="16"/>
        <v>237707.2241218155</v>
      </c>
      <c r="J109" s="210">
        <f t="shared" si="21"/>
        <v>220000</v>
      </c>
      <c r="K109" s="210">
        <f t="shared" si="17"/>
        <v>2160190.5978990998</v>
      </c>
      <c r="L109" s="210">
        <f t="shared" si="18"/>
        <v>5658411.6841741651</v>
      </c>
      <c r="M109" s="210">
        <f t="shared" ca="1" si="10"/>
        <v>2394486.6898717675</v>
      </c>
      <c r="N109" s="211">
        <f t="shared" ca="1" si="11"/>
        <v>2303877.7643628051</v>
      </c>
      <c r="O109" s="211">
        <f t="shared" ca="1" si="12"/>
        <v>90608.925508962406</v>
      </c>
      <c r="P109" s="213"/>
    </row>
    <row r="110" spans="1:16">
      <c r="A110" s="206">
        <v>2044</v>
      </c>
      <c r="B110" s="207">
        <f t="shared" si="19"/>
        <v>9.7979256565417341</v>
      </c>
      <c r="C110" s="208">
        <f t="shared" si="7"/>
        <v>0.66778788012964618</v>
      </c>
      <c r="D110" s="208">
        <f t="shared" si="8"/>
        <v>-0.12677092116400956</v>
      </c>
      <c r="E110" s="209">
        <f t="shared" si="20"/>
        <v>12.000000000000002</v>
      </c>
      <c r="F110" s="210">
        <f>IF($J$62=1,'Nº Cars Projection'!B32, IF($J$62=2,'Nº Cars Projection'!D32, IF($J$62=3,'Nº Cars Projection'!F32)))</f>
        <v>23880000</v>
      </c>
      <c r="G110" s="210">
        <f t="shared" si="14"/>
        <v>1999312.662732091</v>
      </c>
      <c r="H110" s="210">
        <f t="shared" si="15"/>
        <v>1759395.1432042401</v>
      </c>
      <c r="I110" s="210">
        <f t="shared" si="16"/>
        <v>239917.51952785093</v>
      </c>
      <c r="J110" s="210">
        <f t="shared" si="21"/>
        <v>220000</v>
      </c>
      <c r="K110" s="210">
        <f t="shared" si="17"/>
        <v>2339744.6467821659</v>
      </c>
      <c r="L110" s="210">
        <f t="shared" si="18"/>
        <v>4382127.9434819482</v>
      </c>
      <c r="M110" s="210">
        <f t="shared" ca="1" si="10"/>
        <v>2327508.0412040255</v>
      </c>
      <c r="N110" s="211">
        <f t="shared" ca="1" si="11"/>
        <v>2212426.6303624781</v>
      </c>
      <c r="O110" s="211">
        <f t="shared" ca="1" si="12"/>
        <v>115081.4108415474</v>
      </c>
      <c r="P110" s="213"/>
    </row>
    <row r="111" spans="1:16">
      <c r="A111" s="206">
        <v>2045</v>
      </c>
      <c r="B111" s="207">
        <f t="shared" si="19"/>
        <v>10.338601699082401</v>
      </c>
      <c r="C111" s="208">
        <f t="shared" si="7"/>
        <v>0.54067604254066737</v>
      </c>
      <c r="D111" s="208">
        <f t="shared" si="8"/>
        <v>-0.12711183758897882</v>
      </c>
      <c r="E111" s="209">
        <f t="shared" si="20"/>
        <v>12</v>
      </c>
      <c r="F111" s="210">
        <f>IF($J$62=1,'Nº Cars Projection'!B33, IF($J$62=2,'Nº Cars Projection'!D33, IF($J$62=3,'Nº Cars Projection'!F33)))</f>
        <v>24100000</v>
      </c>
      <c r="G111" s="210">
        <f t="shared" si="14"/>
        <v>2017731.7911157201</v>
      </c>
      <c r="H111" s="210">
        <f t="shared" si="15"/>
        <v>1775603.9761818335</v>
      </c>
      <c r="I111" s="210">
        <f t="shared" si="16"/>
        <v>242127.8149338864</v>
      </c>
      <c r="J111" s="210">
        <f t="shared" si="21"/>
        <v>220000</v>
      </c>
      <c r="K111" s="210">
        <f t="shared" si="17"/>
        <v>2491603.0094788587</v>
      </c>
      <c r="L111" s="210">
        <f t="shared" si="18"/>
        <v>3336641.5876761787</v>
      </c>
      <c r="M111" s="210">
        <f t="shared" ca="1" si="10"/>
        <v>2260529.3925362839</v>
      </c>
      <c r="N111" s="211">
        <f t="shared" ca="1" si="11"/>
        <v>2117851.2383588306</v>
      </c>
      <c r="O111" s="211">
        <f t="shared" ca="1" si="12"/>
        <v>142678.15417745317</v>
      </c>
      <c r="P111" s="213"/>
    </row>
    <row r="112" spans="1:16">
      <c r="A112" s="206">
        <v>2046</v>
      </c>
      <c r="B112" s="207">
        <f t="shared" si="19"/>
        <v>10.763281704551577</v>
      </c>
      <c r="C112" s="208">
        <f t="shared" si="7"/>
        <v>0.42468000546917573</v>
      </c>
      <c r="D112" s="208">
        <f t="shared" si="8"/>
        <v>-0.11599603707149164</v>
      </c>
      <c r="E112" s="209">
        <f t="shared" si="20"/>
        <v>12.000000000000002</v>
      </c>
      <c r="F112" s="210">
        <f>IF($J$62=1,'Nº Cars Projection'!B34, IF($J$62=2,'Nº Cars Projection'!D34, IF($J$62=3,'Nº Cars Projection'!F34)))</f>
        <v>24320000</v>
      </c>
      <c r="G112" s="210">
        <f t="shared" si="14"/>
        <v>2036150.9194993491</v>
      </c>
      <c r="H112" s="210">
        <f t="shared" si="15"/>
        <v>1791812.8091594272</v>
      </c>
      <c r="I112" s="210">
        <f t="shared" si="16"/>
        <v>244338.1103399219</v>
      </c>
      <c r="J112" s="210">
        <f t="shared" si="21"/>
        <v>220000</v>
      </c>
      <c r="K112" s="210">
        <f t="shared" si="17"/>
        <v>2617630.1105469437</v>
      </c>
      <c r="L112" s="210">
        <f t="shared" si="18"/>
        <v>2506415.7454421334</v>
      </c>
      <c r="M112" s="210">
        <f t="shared" ca="1" si="10"/>
        <v>2193550.7438685424</v>
      </c>
      <c r="N112" s="211">
        <f t="shared" ca="1" si="11"/>
        <v>2021978.0148302175</v>
      </c>
      <c r="O112" s="211">
        <f t="shared" ca="1" si="12"/>
        <v>171572.72903832485</v>
      </c>
      <c r="P112" s="213"/>
    </row>
    <row r="113" spans="1:23">
      <c r="A113" s="206">
        <v>2047</v>
      </c>
      <c r="B113" s="207">
        <f t="shared" si="19"/>
        <v>11.088972463196814</v>
      </c>
      <c r="C113" s="208">
        <f t="shared" si="7"/>
        <v>0.32569075864523711</v>
      </c>
      <c r="D113" s="208">
        <f t="shared" si="8"/>
        <v>-9.8989246823938615E-2</v>
      </c>
      <c r="E113" s="209">
        <f t="shared" si="20"/>
        <v>12.000000000000002</v>
      </c>
      <c r="F113" s="210">
        <f>IF($J$62=1,'Nº Cars Projection'!B35, IF($J$62=2,'Nº Cars Projection'!D35, IF($J$62=3,'Nº Cars Projection'!F35)))</f>
        <v>24540000</v>
      </c>
      <c r="G113" s="210">
        <f t="shared" si="14"/>
        <v>2054570.0478829781</v>
      </c>
      <c r="H113" s="210">
        <f t="shared" si="15"/>
        <v>1808021.6421370208</v>
      </c>
      <c r="I113" s="210">
        <f t="shared" si="16"/>
        <v>246548.4057459574</v>
      </c>
      <c r="J113" s="210">
        <f t="shared" si="21"/>
        <v>220000</v>
      </c>
      <c r="K113" s="210">
        <f t="shared" si="17"/>
        <v>2721233.8424684983</v>
      </c>
      <c r="L113" s="210">
        <f t="shared" si="18"/>
        <v>1863051.3127625138</v>
      </c>
      <c r="M113" s="210">
        <f t="shared" ca="1" si="10"/>
        <v>2126572.0952008003</v>
      </c>
      <c r="N113" s="211">
        <f t="shared" ca="1" si="11"/>
        <v>1927858.169526394</v>
      </c>
      <c r="O113" s="211">
        <f t="shared" ca="1" si="12"/>
        <v>198713.92567440646</v>
      </c>
      <c r="P113" s="213"/>
    </row>
    <row r="114" spans="1:23">
      <c r="A114" s="206">
        <v>2048</v>
      </c>
      <c r="B114" s="207">
        <f t="shared" si="19"/>
        <v>11.334197971534364</v>
      </c>
      <c r="C114" s="208">
        <f t="shared" si="7"/>
        <v>0.24522550833754941</v>
      </c>
      <c r="D114" s="208">
        <f t="shared" si="8"/>
        <v>-8.0465250307687697E-2</v>
      </c>
      <c r="E114" s="209">
        <f t="shared" si="20"/>
        <v>12.000000000000002</v>
      </c>
      <c r="F114" s="210">
        <f>IF($J$62=1,'Nº Cars Projection'!B36, IF($J$62=2,'Nº Cars Projection'!D36, IF($J$62=3,'Nº Cars Projection'!F36)))</f>
        <v>24760000</v>
      </c>
      <c r="G114" s="210">
        <f t="shared" si="14"/>
        <v>2072989.1762666071</v>
      </c>
      <c r="H114" s="210">
        <f t="shared" si="15"/>
        <v>1824230.4751146142</v>
      </c>
      <c r="I114" s="210">
        <f t="shared" si="16"/>
        <v>248758.70115199286</v>
      </c>
      <c r="J114" s="210">
        <f t="shared" si="21"/>
        <v>220000</v>
      </c>
      <c r="K114" s="210">
        <f t="shared" si="17"/>
        <v>2806347.4177519083</v>
      </c>
      <c r="L114" s="210">
        <f t="shared" si="18"/>
        <v>1373771.5187340975</v>
      </c>
      <c r="M114" s="210">
        <f t="shared" ca="1" si="10"/>
        <v>2059593.4465330588</v>
      </c>
      <c r="N114" s="211">
        <f t="shared" ca="1" si="11"/>
        <v>1839482.3418229122</v>
      </c>
      <c r="O114" s="211">
        <f t="shared" ca="1" si="12"/>
        <v>220111.10471014652</v>
      </c>
      <c r="P114" s="213"/>
    </row>
    <row r="115" spans="1:23">
      <c r="A115" s="206">
        <v>2049</v>
      </c>
      <c r="B115" s="207">
        <f t="shared" si="19"/>
        <v>11.516294310465277</v>
      </c>
      <c r="C115" s="208">
        <f t="shared" si="7"/>
        <v>0.18209633893091315</v>
      </c>
      <c r="D115" s="208">
        <f t="shared" si="8"/>
        <v>-6.3129169406636265E-2</v>
      </c>
      <c r="E115" s="209">
        <f t="shared" si="20"/>
        <v>12.000000000000002</v>
      </c>
      <c r="F115" s="210">
        <f>IF($J$62=1,'Nº Cars Projection'!B37, IF($J$62=2,'Nº Cars Projection'!D37, IF($J$62=3,'Nº Cars Projection'!F37)))</f>
        <v>24980000</v>
      </c>
      <c r="G115" s="210">
        <f t="shared" si="14"/>
        <v>2091408.3046502362</v>
      </c>
      <c r="H115" s="210">
        <f t="shared" si="15"/>
        <v>1840439.3080922079</v>
      </c>
      <c r="I115" s="210">
        <f t="shared" si="16"/>
        <v>250968.99655802836</v>
      </c>
      <c r="J115" s="210">
        <f t="shared" si="21"/>
        <v>220000</v>
      </c>
      <c r="K115" s="210">
        <f t="shared" si="17"/>
        <v>2876770.318754226</v>
      </c>
      <c r="L115" s="210">
        <f t="shared" si="18"/>
        <v>1006914.0103814453</v>
      </c>
      <c r="M115" s="210">
        <f t="shared" ca="1" si="10"/>
        <v>1992614.797865317</v>
      </c>
      <c r="N115" s="211">
        <f t="shared" ca="1" si="11"/>
        <v>1760871.9813367811</v>
      </c>
      <c r="O115" s="211">
        <f t="shared" ca="1" si="12"/>
        <v>231742.816528536</v>
      </c>
      <c r="P115" s="213"/>
    </row>
    <row r="116" spans="1:23">
      <c r="A116" s="206">
        <v>2050</v>
      </c>
      <c r="B116" s="207">
        <f t="shared" si="19"/>
        <v>11.650124816238119</v>
      </c>
      <c r="C116" s="208">
        <f t="shared" si="7"/>
        <v>0.13383050577284195</v>
      </c>
      <c r="D116" s="208">
        <f t="shared" si="8"/>
        <v>-4.8265833158071203E-2</v>
      </c>
      <c r="E116" s="209">
        <f t="shared" si="20"/>
        <v>12.000000000000002</v>
      </c>
      <c r="F116" s="210">
        <f>IF($J$62=1,'Nº Cars Projection'!B38, IF($J$62=2,'Nº Cars Projection'!D38, IF($J$62=3,'Nº Cars Projection'!F38)))</f>
        <v>25200000</v>
      </c>
      <c r="G116" s="210">
        <f t="shared" si="14"/>
        <v>2109827.4330338649</v>
      </c>
      <c r="H116" s="210">
        <f t="shared" si="15"/>
        <v>1856648.1410698011</v>
      </c>
      <c r="I116" s="210">
        <f t="shared" si="16"/>
        <v>253179.2919640638</v>
      </c>
      <c r="J116" s="210">
        <f t="shared" si="21"/>
        <v>220000</v>
      </c>
      <c r="K116" s="210">
        <f t="shared" si="17"/>
        <v>2935831.4536920059</v>
      </c>
      <c r="L116" s="210">
        <f t="shared" si="18"/>
        <v>734737.88589995354</v>
      </c>
      <c r="M116" s="210">
        <f t="shared" ca="1" si="10"/>
        <v>1925636.1491975752</v>
      </c>
      <c r="N116" s="211">
        <f t="shared" ca="1" si="11"/>
        <v>1694730.0354553002</v>
      </c>
      <c r="O116" s="211">
        <f t="shared" ca="1" si="12"/>
        <v>230906.11374227493</v>
      </c>
      <c r="P116" s="213"/>
    </row>
    <row r="117" spans="1:23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</row>
    <row r="118" spans="1:23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U118" s="225"/>
      <c r="V118" s="225"/>
      <c r="W118" s="225"/>
    </row>
    <row r="119" spans="1:23">
      <c r="A119" s="508" t="s">
        <v>98</v>
      </c>
      <c r="B119" s="508"/>
      <c r="C119" s="228">
        <v>2001</v>
      </c>
      <c r="D119" s="228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U119" s="225"/>
      <c r="V119" s="225"/>
      <c r="W119" s="225"/>
    </row>
    <row r="120" spans="1:23">
      <c r="A120" s="508" t="s">
        <v>37</v>
      </c>
      <c r="B120" s="508"/>
      <c r="C120" s="228">
        <f>SUM(100-C62)</f>
        <v>88</v>
      </c>
      <c r="D120" s="228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U120" s="225"/>
      <c r="V120" s="225"/>
      <c r="W120" s="225"/>
    </row>
    <row r="121" spans="1:23">
      <c r="A121" s="508" t="s">
        <v>39</v>
      </c>
      <c r="B121" s="508"/>
      <c r="C121" s="228">
        <f>SUM(C63)</f>
        <v>2033</v>
      </c>
      <c r="D121" s="228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U121" s="225"/>
      <c r="V121" s="225"/>
      <c r="W121" s="225"/>
    </row>
    <row r="122" spans="1:23">
      <c r="A122" s="508" t="s">
        <v>41</v>
      </c>
      <c r="B122" s="508"/>
      <c r="C122" s="228">
        <f>SUM(C64)</f>
        <v>13.1</v>
      </c>
      <c r="D122" s="228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U122" s="225"/>
      <c r="V122" s="225"/>
      <c r="W122" s="225"/>
    </row>
    <row r="123" spans="1:23">
      <c r="A123" s="231"/>
      <c r="B123" s="231"/>
      <c r="C123" s="231"/>
      <c r="D123" s="231"/>
      <c r="E123" s="231"/>
      <c r="F123" s="231"/>
      <c r="J123" s="231"/>
      <c r="K123" s="231"/>
      <c r="L123" s="231"/>
      <c r="M123" s="231"/>
      <c r="N123" s="231"/>
      <c r="O123" s="231"/>
      <c r="P123" s="231"/>
      <c r="U123" s="225"/>
      <c r="V123" s="225"/>
      <c r="W123" s="225"/>
    </row>
    <row r="124" spans="1:23">
      <c r="A124" s="198" t="s">
        <v>43</v>
      </c>
      <c r="B124" s="198" t="s">
        <v>44</v>
      </c>
      <c r="C124" s="198" t="s">
        <v>45</v>
      </c>
      <c r="D124" s="198" t="s">
        <v>46</v>
      </c>
      <c r="E124" s="198" t="s">
        <v>94</v>
      </c>
      <c r="F124" s="231"/>
      <c r="J124" s="231"/>
      <c r="K124" s="231"/>
      <c r="L124" s="231"/>
      <c r="M124" s="231"/>
      <c r="N124" s="231"/>
      <c r="O124" s="231"/>
      <c r="P124" s="231"/>
      <c r="U124" s="225"/>
      <c r="V124" s="225"/>
      <c r="W124" s="225"/>
    </row>
    <row r="125" spans="1:23">
      <c r="A125" s="199">
        <v>2001</v>
      </c>
      <c r="B125" s="200">
        <f t="shared" ref="B125:B140" si="22">SUM(E125/F67)*100</f>
        <v>2.2071186428658531E-3</v>
      </c>
      <c r="C125" s="201">
        <v>0</v>
      </c>
      <c r="D125" s="201">
        <v>0</v>
      </c>
      <c r="E125" s="204">
        <v>554</v>
      </c>
      <c r="F125" s="231"/>
      <c r="J125" s="231"/>
      <c r="K125" s="231"/>
      <c r="L125" s="231"/>
      <c r="M125" s="231"/>
      <c r="N125" s="231"/>
      <c r="O125" s="231"/>
      <c r="P125" s="231"/>
      <c r="U125" s="225"/>
      <c r="V125" s="225"/>
      <c r="W125" s="225"/>
    </row>
    <row r="126" spans="1:23">
      <c r="A126" s="199">
        <v>2002</v>
      </c>
      <c r="B126" s="200">
        <f t="shared" si="22"/>
        <v>3.3279166344845094E-3</v>
      </c>
      <c r="C126" s="201">
        <f t="shared" ref="C126:C157" si="23">SUM((B126-B125)/(A126-A125))</f>
        <v>1.1207979916186563E-3</v>
      </c>
      <c r="D126" s="201">
        <f t="shared" ref="D126:D174" si="24">SUM(C126-C125)</f>
        <v>1.1207979916186563E-3</v>
      </c>
      <c r="E126" s="204">
        <v>857</v>
      </c>
      <c r="F126" s="231"/>
      <c r="J126" s="231"/>
      <c r="K126" s="231"/>
      <c r="L126" s="231"/>
      <c r="M126" s="231"/>
      <c r="N126" s="231"/>
      <c r="O126" s="231"/>
      <c r="P126" s="231"/>
      <c r="U126" s="225"/>
      <c r="V126" s="225"/>
      <c r="W126" s="225"/>
    </row>
    <row r="127" spans="1:23">
      <c r="A127" s="199">
        <v>2003</v>
      </c>
      <c r="B127" s="200">
        <f t="shared" si="22"/>
        <v>4.7509875757668039E-3</v>
      </c>
      <c r="C127" s="201">
        <f t="shared" si="23"/>
        <v>1.4230709412822945E-3</v>
      </c>
      <c r="D127" s="201">
        <f t="shared" si="24"/>
        <v>3.0227294966363822E-4</v>
      </c>
      <c r="E127" s="204">
        <v>1245</v>
      </c>
      <c r="F127" s="231"/>
      <c r="J127" s="231"/>
      <c r="K127" s="231"/>
      <c r="L127" s="231"/>
      <c r="M127" s="231"/>
      <c r="N127" s="231"/>
      <c r="O127" s="231"/>
      <c r="P127" s="231"/>
      <c r="U127" s="225"/>
      <c r="V127" s="225"/>
      <c r="W127" s="225"/>
    </row>
    <row r="128" spans="1:23">
      <c r="A128" s="199">
        <v>2004</v>
      </c>
      <c r="B128" s="200">
        <f t="shared" si="22"/>
        <v>1.035676594550103E-2</v>
      </c>
      <c r="C128" s="201">
        <f t="shared" si="23"/>
        <v>5.6057783697342264E-3</v>
      </c>
      <c r="D128" s="201">
        <f t="shared" si="24"/>
        <v>4.1827074284519318E-3</v>
      </c>
      <c r="E128" s="204">
        <v>2795</v>
      </c>
      <c r="F128" s="231"/>
      <c r="J128" s="231"/>
      <c r="K128" s="231"/>
      <c r="L128" s="231"/>
      <c r="M128" s="231"/>
      <c r="N128" s="231"/>
      <c r="O128" s="231"/>
      <c r="P128" s="231"/>
      <c r="U128" s="225"/>
      <c r="V128" s="225"/>
      <c r="W128" s="225"/>
    </row>
    <row r="129" spans="1:23">
      <c r="A129" s="199">
        <v>2005</v>
      </c>
      <c r="B129" s="200">
        <f t="shared" si="22"/>
        <v>2.9357056795803742E-2</v>
      </c>
      <c r="C129" s="201">
        <f t="shared" si="23"/>
        <v>1.9000290850302713E-2</v>
      </c>
      <c r="D129" s="201">
        <f t="shared" si="24"/>
        <v>1.3394512480568487E-2</v>
      </c>
      <c r="E129" s="204">
        <v>8065</v>
      </c>
      <c r="F129" s="231"/>
      <c r="J129" s="231"/>
      <c r="K129" s="231"/>
      <c r="L129" s="231"/>
      <c r="M129" s="231"/>
      <c r="N129" s="231"/>
      <c r="O129" s="231"/>
      <c r="P129" s="231"/>
      <c r="U129" s="225"/>
      <c r="V129" s="225"/>
      <c r="W129" s="225"/>
    </row>
    <row r="130" spans="1:23">
      <c r="A130" s="199">
        <v>2006</v>
      </c>
      <c r="B130" s="200">
        <f t="shared" si="22"/>
        <v>6.0433839392779486E-2</v>
      </c>
      <c r="C130" s="201">
        <f t="shared" si="23"/>
        <v>3.1076782596975744E-2</v>
      </c>
      <c r="D130" s="201">
        <f t="shared" si="24"/>
        <v>1.2076491746673031E-2</v>
      </c>
      <c r="E130" s="204">
        <v>16649</v>
      </c>
      <c r="F130" s="231"/>
      <c r="J130" s="231"/>
      <c r="K130" s="231"/>
      <c r="L130" s="231"/>
      <c r="M130" s="231"/>
      <c r="N130" s="231"/>
      <c r="O130" s="231"/>
      <c r="P130" s="231"/>
      <c r="U130" s="225"/>
      <c r="V130" s="225"/>
      <c r="W130" s="225"/>
    </row>
    <row r="131" spans="1:23">
      <c r="A131" s="199">
        <v>2007</v>
      </c>
      <c r="B131" s="200">
        <f t="shared" si="22"/>
        <v>0.11379627029447106</v>
      </c>
      <c r="C131" s="201">
        <f t="shared" si="23"/>
        <v>5.3362430901691578E-2</v>
      </c>
      <c r="D131" s="201">
        <f t="shared" si="24"/>
        <v>2.2285648304715834E-2</v>
      </c>
      <c r="E131" s="204">
        <v>31774</v>
      </c>
      <c r="F131" s="231"/>
      <c r="J131" s="231"/>
      <c r="K131" s="231"/>
      <c r="L131" s="231"/>
      <c r="M131" s="231"/>
      <c r="N131" s="231"/>
      <c r="O131" s="231"/>
      <c r="P131" s="231"/>
      <c r="U131" s="225"/>
      <c r="V131" s="225"/>
      <c r="W131" s="225"/>
    </row>
    <row r="132" spans="1:23">
      <c r="A132" s="199">
        <v>2008</v>
      </c>
      <c r="B132" s="200">
        <f t="shared" si="22"/>
        <v>0.16657732487991242</v>
      </c>
      <c r="C132" s="201">
        <f t="shared" si="23"/>
        <v>5.2781054585441356E-2</v>
      </c>
      <c r="D132" s="201">
        <f t="shared" si="24"/>
        <v>-5.8137631625022196E-4</v>
      </c>
      <c r="E132" s="204">
        <v>46746</v>
      </c>
      <c r="F132" s="231"/>
      <c r="J132" s="231"/>
      <c r="K132" s="231"/>
      <c r="L132" s="231"/>
      <c r="M132" s="231"/>
      <c r="N132" s="231"/>
      <c r="O132" s="231"/>
      <c r="P132" s="231"/>
      <c r="U132" s="225"/>
      <c r="V132" s="225"/>
      <c r="W132" s="225"/>
    </row>
    <row r="133" spans="1:23">
      <c r="A133" s="199">
        <v>2009</v>
      </c>
      <c r="B133" s="200">
        <f t="shared" si="22"/>
        <v>0.21702919184103039</v>
      </c>
      <c r="C133" s="201">
        <f t="shared" si="23"/>
        <v>5.0451866961117975E-2</v>
      </c>
      <c r="D133" s="201">
        <f t="shared" si="24"/>
        <v>-2.3291876243233811E-3</v>
      </c>
      <c r="E133" s="204">
        <v>61056</v>
      </c>
      <c r="F133" s="231"/>
      <c r="J133" s="231"/>
      <c r="K133" s="231"/>
      <c r="L133" s="231"/>
      <c r="M133" s="231"/>
      <c r="N133" s="231"/>
      <c r="O133" s="231"/>
      <c r="P133" s="231"/>
      <c r="U133" s="225"/>
      <c r="V133" s="225"/>
      <c r="W133" s="225"/>
    </row>
    <row r="134" spans="1:23">
      <c r="A134" s="199">
        <v>2010</v>
      </c>
      <c r="B134" s="200">
        <f t="shared" si="22"/>
        <v>0.29023037208131885</v>
      </c>
      <c r="C134" s="201">
        <f t="shared" si="23"/>
        <v>7.320118024028846E-2</v>
      </c>
      <c r="D134" s="201">
        <f t="shared" si="24"/>
        <v>2.2749313279170486E-2</v>
      </c>
      <c r="E134" s="204">
        <v>82094</v>
      </c>
      <c r="F134" s="231"/>
      <c r="J134" s="231"/>
      <c r="K134" s="231"/>
      <c r="L134" s="231"/>
      <c r="M134" s="231"/>
      <c r="N134" s="231"/>
      <c r="O134" s="231"/>
      <c r="P134" s="231"/>
      <c r="U134" s="225"/>
      <c r="V134" s="225"/>
      <c r="W134" s="225"/>
    </row>
    <row r="135" spans="1:23">
      <c r="A135" s="199">
        <v>2011</v>
      </c>
      <c r="B135" s="200">
        <f t="shared" si="22"/>
        <v>0.36133472280422951</v>
      </c>
      <c r="C135" s="201">
        <f t="shared" si="23"/>
        <v>7.1104350722910659E-2</v>
      </c>
      <c r="D135" s="201">
        <f t="shared" si="24"/>
        <v>-2.0968295173778018E-3</v>
      </c>
      <c r="E135" s="204">
        <v>102301</v>
      </c>
      <c r="F135" s="231"/>
      <c r="J135" s="231"/>
      <c r="K135" s="231"/>
      <c r="L135" s="231"/>
      <c r="M135" s="231"/>
      <c r="N135" s="231"/>
      <c r="O135" s="231"/>
      <c r="P135" s="231"/>
      <c r="U135" s="225"/>
      <c r="V135" s="225"/>
      <c r="W135" s="225"/>
    </row>
    <row r="136" spans="1:23">
      <c r="A136" s="199">
        <v>2012</v>
      </c>
      <c r="B136" s="200">
        <f t="shared" si="22"/>
        <v>0.438867218790846</v>
      </c>
      <c r="C136" s="201">
        <f t="shared" si="23"/>
        <v>7.753249598661649E-2</v>
      </c>
      <c r="D136" s="201">
        <f t="shared" si="24"/>
        <v>6.4281452637058312E-3</v>
      </c>
      <c r="E136" s="204">
        <v>125270</v>
      </c>
      <c r="F136" s="231"/>
      <c r="J136" s="231"/>
      <c r="K136" s="231"/>
      <c r="L136" s="231"/>
      <c r="M136" s="231"/>
      <c r="N136" s="231"/>
      <c r="O136" s="231"/>
      <c r="P136" s="231"/>
      <c r="U136" s="225"/>
      <c r="V136" s="225"/>
      <c r="W136" s="225"/>
    </row>
    <row r="137" spans="1:23">
      <c r="A137" s="199">
        <v>2013</v>
      </c>
      <c r="B137" s="200">
        <f t="shared" si="22"/>
        <v>0.53069342217058657</v>
      </c>
      <c r="C137" s="201">
        <f t="shared" si="23"/>
        <v>9.1826203379740567E-2</v>
      </c>
      <c r="D137" s="201">
        <f t="shared" si="24"/>
        <v>1.4293707393124078E-2</v>
      </c>
      <c r="E137" s="204">
        <v>153553</v>
      </c>
      <c r="F137" s="231"/>
      <c r="J137" s="231"/>
      <c r="K137" s="231"/>
      <c r="L137" s="231"/>
      <c r="M137" s="231"/>
      <c r="N137" s="231"/>
      <c r="O137" s="231"/>
      <c r="P137" s="231"/>
      <c r="U137" s="225"/>
      <c r="V137" s="225"/>
      <c r="W137" s="225"/>
    </row>
    <row r="138" spans="1:23">
      <c r="A138" s="199">
        <v>2014</v>
      </c>
      <c r="B138" s="200">
        <f t="shared" si="22"/>
        <v>0.64071715149244968</v>
      </c>
      <c r="C138" s="201">
        <f t="shared" si="23"/>
        <v>0.11002372932186311</v>
      </c>
      <c r="D138" s="201">
        <f t="shared" si="24"/>
        <v>1.8197525942122539E-2</v>
      </c>
      <c r="E138" s="204">
        <v>188137</v>
      </c>
      <c r="F138" s="231"/>
      <c r="J138" s="231"/>
      <c r="K138" s="231"/>
      <c r="L138" s="231"/>
      <c r="M138" s="231"/>
      <c r="N138" s="231"/>
      <c r="O138" s="231"/>
      <c r="P138" s="231"/>
      <c r="U138" s="225"/>
      <c r="V138" s="225"/>
      <c r="W138" s="225"/>
    </row>
    <row r="139" spans="1:23">
      <c r="A139" s="199">
        <v>2015</v>
      </c>
      <c r="B139" s="200">
        <f t="shared" si="22"/>
        <v>0.81857265657713285</v>
      </c>
      <c r="C139" s="201">
        <f t="shared" si="23"/>
        <v>0.17785550508468317</v>
      </c>
      <c r="D139" s="201">
        <f t="shared" si="24"/>
        <v>6.7831775762820068E-2</v>
      </c>
      <c r="E139" s="204">
        <v>245085</v>
      </c>
      <c r="F139" s="239"/>
      <c r="J139" s="231"/>
      <c r="K139" s="231"/>
      <c r="L139" s="231"/>
      <c r="M139" s="231"/>
      <c r="N139" s="231"/>
      <c r="O139" s="231"/>
      <c r="P139" s="231"/>
      <c r="U139" s="225"/>
      <c r="V139" s="225"/>
      <c r="W139" s="225"/>
    </row>
    <row r="140" spans="1:23">
      <c r="A140" s="199">
        <v>2016</v>
      </c>
      <c r="B140" s="200">
        <f t="shared" si="22"/>
        <v>1.045783804576667</v>
      </c>
      <c r="C140" s="201">
        <f t="shared" si="23"/>
        <v>0.22721114799953412</v>
      </c>
      <c r="D140" s="201">
        <f t="shared" si="24"/>
        <v>4.935564291485095E-2</v>
      </c>
      <c r="E140" s="204">
        <v>318573</v>
      </c>
      <c r="F140" s="231"/>
      <c r="J140" s="231"/>
      <c r="K140" s="231"/>
      <c r="L140" s="231"/>
      <c r="M140" s="231"/>
      <c r="N140" s="231"/>
      <c r="O140" s="231"/>
      <c r="P140" s="231"/>
      <c r="U140" s="225"/>
      <c r="V140" s="225"/>
      <c r="W140" s="225"/>
    </row>
    <row r="141" spans="1:23">
      <c r="A141" s="206">
        <v>2017</v>
      </c>
      <c r="B141" s="207">
        <f t="shared" ref="B141:B154" si="25">IF($C$120/(1+POWER(81,($C$121+$C$122/2-$A141 )/$C$122))-B140&lt;C140,B140+C140,($C$120/(1+POWER(81,($C$121+$C$122/2-$A141 )/$C$122))))</f>
        <v>1.2729949525762012</v>
      </c>
      <c r="C141" s="208">
        <f t="shared" si="23"/>
        <v>0.22721114799953424</v>
      </c>
      <c r="D141" s="208">
        <f t="shared" si="24"/>
        <v>1.1102230246251565E-16</v>
      </c>
      <c r="E141" s="240">
        <f t="shared" ref="E141:E174" si="26">SUM(F83*B141)/100</f>
        <v>392245.7706458855</v>
      </c>
      <c r="F141" s="231"/>
      <c r="J141" s="231"/>
      <c r="K141" s="231"/>
      <c r="L141" s="231"/>
      <c r="M141" s="231"/>
      <c r="N141" s="231"/>
      <c r="O141" s="231"/>
      <c r="P141" s="231"/>
      <c r="U141" s="225"/>
      <c r="V141" s="225"/>
      <c r="W141" s="225"/>
    </row>
    <row r="142" spans="1:23">
      <c r="A142" s="206">
        <v>2018</v>
      </c>
      <c r="B142" s="207">
        <f t="shared" si="25"/>
        <v>1.5002061005757354</v>
      </c>
      <c r="C142" s="208">
        <f t="shared" si="23"/>
        <v>0.22721114799953424</v>
      </c>
      <c r="D142" s="208">
        <f t="shared" si="24"/>
        <v>0</v>
      </c>
      <c r="E142" s="240">
        <f t="shared" si="26"/>
        <v>461691.72790560388</v>
      </c>
      <c r="F142" s="231"/>
      <c r="J142" s="231"/>
      <c r="K142" s="231"/>
      <c r="L142" s="231"/>
      <c r="M142" s="231"/>
      <c r="N142" s="231"/>
      <c r="O142" s="231"/>
      <c r="P142" s="231"/>
      <c r="U142" s="225"/>
      <c r="V142" s="225"/>
      <c r="W142" s="225"/>
    </row>
    <row r="143" spans="1:23">
      <c r="A143" s="206">
        <v>2019</v>
      </c>
      <c r="B143" s="207">
        <f t="shared" si="25"/>
        <v>1.7274172485752697</v>
      </c>
      <c r="C143" s="208">
        <f t="shared" si="23"/>
        <v>0.22721114799953424</v>
      </c>
      <c r="D143" s="208">
        <f t="shared" si="24"/>
        <v>0</v>
      </c>
      <c r="E143" s="240">
        <f t="shared" si="26"/>
        <v>530966.77693979698</v>
      </c>
      <c r="F143" s="231"/>
      <c r="J143" s="231"/>
      <c r="K143" s="231"/>
      <c r="L143" s="231"/>
      <c r="M143" s="231"/>
      <c r="N143" s="231"/>
      <c r="O143" s="231"/>
      <c r="P143" s="231"/>
      <c r="U143" s="225"/>
      <c r="V143" s="225"/>
      <c r="W143" s="225"/>
    </row>
    <row r="144" spans="1:23">
      <c r="A144" s="206">
        <v>2020</v>
      </c>
      <c r="B144" s="207">
        <f t="shared" si="25"/>
        <v>1.9546283965748039</v>
      </c>
      <c r="C144" s="208">
        <f t="shared" si="23"/>
        <v>0.22721114799953424</v>
      </c>
      <c r="D144" s="208">
        <f t="shared" si="24"/>
        <v>0</v>
      </c>
      <c r="E144" s="240">
        <f t="shared" si="26"/>
        <v>600070.91774846474</v>
      </c>
      <c r="F144" s="231"/>
      <c r="J144" s="231"/>
      <c r="K144" s="231"/>
      <c r="L144" s="231"/>
      <c r="M144" s="231"/>
      <c r="N144" s="231"/>
      <c r="O144" s="231"/>
      <c r="P144" s="231"/>
      <c r="U144" s="225"/>
      <c r="V144" s="225"/>
      <c r="W144" s="225"/>
    </row>
    <row r="145" spans="1:23">
      <c r="A145" s="206">
        <v>2021</v>
      </c>
      <c r="B145" s="207">
        <f t="shared" si="25"/>
        <v>2.1818395445743382</v>
      </c>
      <c r="C145" s="208">
        <f t="shared" si="23"/>
        <v>0.22721114799953424</v>
      </c>
      <c r="D145" s="208">
        <f t="shared" si="24"/>
        <v>0</v>
      </c>
      <c r="E145" s="240">
        <f t="shared" si="26"/>
        <v>670261.10809323669</v>
      </c>
      <c r="F145" s="231"/>
      <c r="J145" s="231"/>
      <c r="K145" s="231"/>
      <c r="L145" s="231"/>
      <c r="M145" s="231"/>
      <c r="N145" s="231"/>
      <c r="O145" s="231"/>
      <c r="P145" s="231"/>
      <c r="U145" s="225"/>
      <c r="V145" s="225"/>
      <c r="W145" s="225"/>
    </row>
    <row r="146" spans="1:23">
      <c r="A146" s="206">
        <v>2022</v>
      </c>
      <c r="B146" s="207">
        <f t="shared" si="25"/>
        <v>2.4090506925738726</v>
      </c>
      <c r="C146" s="208">
        <f t="shared" si="23"/>
        <v>0.22721114799953446</v>
      </c>
      <c r="D146" s="208">
        <f t="shared" si="24"/>
        <v>2.2204460492503131E-16</v>
      </c>
      <c r="E146" s="240">
        <f t="shared" si="26"/>
        <v>740542.18289720849</v>
      </c>
      <c r="F146" s="231"/>
      <c r="J146" s="231"/>
      <c r="K146" s="231"/>
      <c r="L146" s="231"/>
      <c r="M146" s="231"/>
      <c r="N146" s="231"/>
      <c r="O146" s="231"/>
      <c r="P146" s="231"/>
      <c r="U146" s="225"/>
      <c r="V146" s="225"/>
      <c r="W146" s="225"/>
    </row>
    <row r="147" spans="1:23">
      <c r="A147" s="206">
        <v>2023</v>
      </c>
      <c r="B147" s="207">
        <f t="shared" si="25"/>
        <v>2.6362618405734071</v>
      </c>
      <c r="C147" s="208">
        <f t="shared" si="23"/>
        <v>0.22721114799953446</v>
      </c>
      <c r="D147" s="208">
        <f t="shared" si="24"/>
        <v>0</v>
      </c>
      <c r="E147" s="240">
        <f t="shared" si="26"/>
        <v>810914.14216038003</v>
      </c>
      <c r="F147" s="231"/>
      <c r="J147" s="231"/>
      <c r="K147" s="231"/>
      <c r="L147" s="231"/>
      <c r="M147" s="231"/>
      <c r="N147" s="231"/>
      <c r="O147" s="231"/>
      <c r="P147" s="231"/>
      <c r="U147" s="225"/>
      <c r="V147" s="225"/>
      <c r="W147" s="225"/>
    </row>
    <row r="148" spans="1:23">
      <c r="A148" s="206">
        <v>2024</v>
      </c>
      <c r="B148" s="207">
        <f t="shared" si="25"/>
        <v>2.8634729885729415</v>
      </c>
      <c r="C148" s="208">
        <f t="shared" si="23"/>
        <v>0.22721114799953446</v>
      </c>
      <c r="D148" s="208">
        <f t="shared" si="24"/>
        <v>0</v>
      </c>
      <c r="E148" s="240">
        <f t="shared" si="26"/>
        <v>881376.98588275129</v>
      </c>
      <c r="F148" s="231"/>
      <c r="J148" s="231"/>
      <c r="K148" s="231"/>
      <c r="L148" s="231"/>
      <c r="M148" s="231"/>
      <c r="N148" s="231"/>
      <c r="O148" s="231"/>
      <c r="P148" s="231"/>
      <c r="U148" s="225"/>
      <c r="V148" s="225"/>
      <c r="W148" s="225"/>
    </row>
    <row r="149" spans="1:23">
      <c r="A149" s="206">
        <v>2025</v>
      </c>
      <c r="B149" s="207">
        <f t="shared" si="25"/>
        <v>3.090684136572476</v>
      </c>
      <c r="C149" s="208">
        <f t="shared" si="23"/>
        <v>0.22721114799953446</v>
      </c>
      <c r="D149" s="208">
        <f t="shared" si="24"/>
        <v>0</v>
      </c>
      <c r="E149" s="240">
        <f t="shared" si="26"/>
        <v>951930.71406432253</v>
      </c>
      <c r="F149" s="231"/>
      <c r="J149" s="231"/>
      <c r="K149" s="231"/>
      <c r="L149" s="231"/>
      <c r="M149" s="231"/>
      <c r="N149" s="231"/>
      <c r="O149" s="231"/>
      <c r="P149" s="231"/>
      <c r="U149" s="225"/>
      <c r="V149" s="225"/>
      <c r="W149" s="225"/>
    </row>
    <row r="150" spans="1:23">
      <c r="A150" s="206">
        <v>2026</v>
      </c>
      <c r="B150" s="207">
        <f t="shared" si="25"/>
        <v>3.3178952845720104</v>
      </c>
      <c r="C150" s="208">
        <f t="shared" si="23"/>
        <v>0.22721114799953446</v>
      </c>
      <c r="D150" s="208">
        <f t="shared" si="24"/>
        <v>0</v>
      </c>
      <c r="E150" s="240">
        <f t="shared" si="26"/>
        <v>1023238.9057620079</v>
      </c>
      <c r="F150" s="231"/>
      <c r="J150" s="231"/>
      <c r="K150" s="231"/>
      <c r="L150" s="231"/>
      <c r="M150" s="231"/>
      <c r="N150" s="231"/>
      <c r="O150" s="231"/>
      <c r="P150" s="231"/>
      <c r="U150" s="225"/>
      <c r="V150" s="225"/>
      <c r="W150" s="225"/>
    </row>
    <row r="151" spans="1:23">
      <c r="A151" s="206">
        <v>2027</v>
      </c>
      <c r="B151" s="207">
        <f t="shared" si="25"/>
        <v>3.5451064325715449</v>
      </c>
      <c r="C151" s="208">
        <f t="shared" si="23"/>
        <v>0.22721114799953446</v>
      </c>
      <c r="D151" s="208">
        <f t="shared" si="24"/>
        <v>0</v>
      </c>
      <c r="E151" s="240">
        <f t="shared" si="26"/>
        <v>1094728.8663780931</v>
      </c>
      <c r="F151" s="231"/>
      <c r="J151" s="231"/>
      <c r="K151" s="231"/>
      <c r="L151" s="231"/>
      <c r="M151" s="231"/>
      <c r="N151" s="231"/>
      <c r="O151" s="231"/>
      <c r="P151" s="231"/>
      <c r="U151" s="225"/>
      <c r="V151" s="225"/>
      <c r="W151" s="225"/>
    </row>
    <row r="152" spans="1:23">
      <c r="A152" s="206">
        <v>2028</v>
      </c>
      <c r="B152" s="207">
        <f t="shared" si="25"/>
        <v>3.7723175805710794</v>
      </c>
      <c r="C152" s="208">
        <f t="shared" si="23"/>
        <v>0.22721114799953446</v>
      </c>
      <c r="D152" s="208">
        <f t="shared" si="24"/>
        <v>0</v>
      </c>
      <c r="E152" s="240">
        <f t="shared" si="26"/>
        <v>1166400.5959125778</v>
      </c>
      <c r="F152" s="231"/>
      <c r="J152" s="231"/>
      <c r="K152" s="231"/>
      <c r="L152" s="231"/>
      <c r="M152" s="231"/>
      <c r="N152" s="231"/>
      <c r="O152" s="231"/>
      <c r="P152" s="231"/>
      <c r="U152" s="225"/>
      <c r="V152" s="225"/>
      <c r="W152" s="225"/>
    </row>
    <row r="153" spans="1:23">
      <c r="A153" s="206">
        <v>2029</v>
      </c>
      <c r="B153" s="207">
        <f t="shared" si="25"/>
        <v>3.9995287285706138</v>
      </c>
      <c r="C153" s="208">
        <f t="shared" si="23"/>
        <v>0.22721114799953446</v>
      </c>
      <c r="D153" s="208">
        <f t="shared" si="24"/>
        <v>0</v>
      </c>
      <c r="E153" s="240">
        <f t="shared" si="26"/>
        <v>1238254.094365462</v>
      </c>
      <c r="F153" s="231"/>
      <c r="J153" s="231"/>
      <c r="K153" s="231"/>
      <c r="L153" s="231"/>
      <c r="M153" s="231"/>
      <c r="N153" s="231"/>
      <c r="O153" s="231"/>
      <c r="P153" s="231"/>
      <c r="U153" s="225"/>
      <c r="V153" s="225"/>
      <c r="W153" s="225"/>
    </row>
    <row r="154" spans="1:23">
      <c r="A154" s="206">
        <v>2030</v>
      </c>
      <c r="B154" s="207">
        <f t="shared" si="25"/>
        <v>4.2267398765701483</v>
      </c>
      <c r="C154" s="208">
        <f t="shared" si="23"/>
        <v>0.22721114799953446</v>
      </c>
      <c r="D154" s="208">
        <f t="shared" si="24"/>
        <v>0</v>
      </c>
      <c r="E154" s="240">
        <f t="shared" si="26"/>
        <v>1310289.361736746</v>
      </c>
      <c r="F154" s="231"/>
      <c r="J154" s="231"/>
      <c r="K154" s="231"/>
      <c r="L154" s="231"/>
      <c r="M154" s="231"/>
      <c r="N154" s="231"/>
      <c r="O154" s="231"/>
      <c r="P154" s="231"/>
      <c r="U154" s="225"/>
      <c r="V154" s="225"/>
      <c r="W154" s="225"/>
    </row>
    <row r="155" spans="1:23">
      <c r="A155" s="206">
        <v>2031</v>
      </c>
      <c r="B155" s="207">
        <f t="shared" ref="B155:B174" si="27">$C$120/(1+POWER(81,($C$121+$C$122/2-$A155 )/$C$122))</f>
        <v>4.7301355839523147</v>
      </c>
      <c r="C155" s="208">
        <f t="shared" si="23"/>
        <v>0.50339570738216644</v>
      </c>
      <c r="D155" s="208">
        <f t="shared" si="24"/>
        <v>0.27618455938263198</v>
      </c>
      <c r="E155" s="240">
        <f t="shared" si="26"/>
        <v>1428500.9463535992</v>
      </c>
      <c r="F155" s="231"/>
      <c r="J155" s="231"/>
      <c r="K155" s="231"/>
      <c r="L155" s="231"/>
      <c r="M155" s="231"/>
      <c r="N155" s="231"/>
      <c r="O155" s="231"/>
      <c r="P155" s="231"/>
      <c r="U155" s="225"/>
      <c r="V155" s="225"/>
      <c r="W155" s="225"/>
    </row>
    <row r="156" spans="1:23">
      <c r="A156" s="206">
        <v>2032</v>
      </c>
      <c r="B156" s="207">
        <f t="shared" si="27"/>
        <v>6.4766942177190314</v>
      </c>
      <c r="C156" s="208">
        <f t="shared" si="23"/>
        <v>1.7465586337667167</v>
      </c>
      <c r="D156" s="208">
        <f t="shared" si="24"/>
        <v>1.2431629263845503</v>
      </c>
      <c r="E156" s="240">
        <f t="shared" si="26"/>
        <v>1904148.1000093953</v>
      </c>
      <c r="F156" s="231"/>
      <c r="J156" s="231"/>
      <c r="K156" s="231"/>
      <c r="L156" s="231"/>
      <c r="M156" s="231"/>
      <c r="N156" s="231"/>
      <c r="O156" s="231"/>
      <c r="P156" s="231"/>
      <c r="U156" s="225"/>
      <c r="V156" s="225"/>
      <c r="W156" s="225"/>
    </row>
    <row r="157" spans="1:23">
      <c r="A157" s="206">
        <v>2033</v>
      </c>
      <c r="B157" s="207">
        <f t="shared" si="27"/>
        <v>8.800000000000118</v>
      </c>
      <c r="C157" s="208">
        <f t="shared" si="23"/>
        <v>2.3233057822810865</v>
      </c>
      <c r="D157" s="208">
        <f t="shared" si="24"/>
        <v>0.57674714851436981</v>
      </c>
      <c r="E157" s="240">
        <f t="shared" si="26"/>
        <v>2516800.0000000335</v>
      </c>
      <c r="F157" s="231"/>
      <c r="J157" s="231"/>
      <c r="K157" s="231"/>
      <c r="L157" s="231"/>
      <c r="M157" s="231"/>
      <c r="N157" s="231"/>
      <c r="O157" s="231"/>
      <c r="P157" s="231"/>
      <c r="U157" s="225"/>
      <c r="V157" s="225"/>
      <c r="W157" s="225"/>
    </row>
    <row r="158" spans="1:23">
      <c r="A158" s="206">
        <v>2034</v>
      </c>
      <c r="B158" s="207">
        <f t="shared" si="27"/>
        <v>11.835720669681226</v>
      </c>
      <c r="C158" s="208">
        <f t="shared" ref="C158:C174" si="28">SUM((B158-B157)/(A158-A157))</f>
        <v>3.0357206696811083</v>
      </c>
      <c r="D158" s="208">
        <f t="shared" si="24"/>
        <v>0.71241488740002179</v>
      </c>
      <c r="E158" s="240">
        <f t="shared" si="26"/>
        <v>3290330.346171381</v>
      </c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U158" s="225"/>
      <c r="V158" s="225"/>
      <c r="W158" s="225"/>
    </row>
    <row r="159" spans="1:23">
      <c r="A159" s="206">
        <v>2035</v>
      </c>
      <c r="B159" s="207">
        <f t="shared" si="27"/>
        <v>15.710929795488596</v>
      </c>
      <c r="C159" s="208">
        <f t="shared" si="28"/>
        <v>3.8752091258073698</v>
      </c>
      <c r="D159" s="208">
        <f t="shared" si="24"/>
        <v>0.83948845612626144</v>
      </c>
      <c r="E159" s="240">
        <f t="shared" si="26"/>
        <v>4241951.0447819205</v>
      </c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U159" s="225"/>
      <c r="V159" s="225"/>
      <c r="W159" s="225"/>
    </row>
    <row r="160" spans="1:23">
      <c r="A160" s="206">
        <v>2036</v>
      </c>
      <c r="B160" s="207">
        <f t="shared" si="27"/>
        <v>20.513219921243234</v>
      </c>
      <c r="C160" s="208">
        <f t="shared" si="28"/>
        <v>4.802290125754638</v>
      </c>
      <c r="D160" s="208">
        <f t="shared" si="24"/>
        <v>0.92708099994726823</v>
      </c>
      <c r="E160" s="240">
        <f t="shared" si="26"/>
        <v>5374463.6193657275</v>
      </c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</row>
    <row r="161" spans="1:16">
      <c r="A161" s="206">
        <v>2037</v>
      </c>
      <c r="B161" s="207">
        <f t="shared" si="27"/>
        <v>26.250367381659167</v>
      </c>
      <c r="C161" s="208">
        <f t="shared" si="28"/>
        <v>5.7371474604159332</v>
      </c>
      <c r="D161" s="208">
        <f t="shared" si="24"/>
        <v>0.93485733466129517</v>
      </c>
      <c r="E161" s="240">
        <f t="shared" si="26"/>
        <v>6667593.3149414286</v>
      </c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</row>
    <row r="162" spans="1:16">
      <c r="A162" s="206">
        <v>2038</v>
      </c>
      <c r="B162" s="207">
        <f t="shared" si="27"/>
        <v>32.811945028845109</v>
      </c>
      <c r="C162" s="208">
        <f t="shared" si="28"/>
        <v>6.5615776471859419</v>
      </c>
      <c r="D162" s="208">
        <f t="shared" si="24"/>
        <v>0.82443018677000879</v>
      </c>
      <c r="E162" s="240">
        <f t="shared" si="26"/>
        <v>8071738.4770958973</v>
      </c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</row>
    <row r="163" spans="1:16">
      <c r="A163" s="206">
        <v>2039</v>
      </c>
      <c r="B163" s="207">
        <f t="shared" si="27"/>
        <v>39.952479991909243</v>
      </c>
      <c r="C163" s="208">
        <f t="shared" si="28"/>
        <v>7.1405349630641339</v>
      </c>
      <c r="D163" s="208">
        <f t="shared" si="24"/>
        <v>0.57895731587819199</v>
      </c>
      <c r="E163" s="240">
        <f t="shared" si="26"/>
        <v>9508690.2380743995</v>
      </c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</row>
    <row r="164" spans="1:16">
      <c r="A164" s="206">
        <v>2040</v>
      </c>
      <c r="B164" s="207">
        <f t="shared" si="27"/>
        <v>47.314703908329605</v>
      </c>
      <c r="C164" s="216">
        <f t="shared" si="28"/>
        <v>7.362223916420362</v>
      </c>
      <c r="D164" s="208">
        <f t="shared" si="24"/>
        <v>0.22168895335622807</v>
      </c>
      <c r="E164" s="240">
        <f t="shared" si="26"/>
        <v>10882381.898915809</v>
      </c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</row>
    <row r="165" spans="1:16">
      <c r="A165" s="206">
        <v>2041</v>
      </c>
      <c r="B165" s="207">
        <f t="shared" si="27"/>
        <v>54.494880101485087</v>
      </c>
      <c r="C165" s="208">
        <f t="shared" si="28"/>
        <v>7.1801761931554822</v>
      </c>
      <c r="D165" s="208">
        <f t="shared" si="24"/>
        <v>-0.18204772326487983</v>
      </c>
      <c r="E165" s="240">
        <f t="shared" si="26"/>
        <v>12653711.159564838</v>
      </c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</row>
    <row r="166" spans="1:16">
      <c r="A166" s="206">
        <v>2042</v>
      </c>
      <c r="B166" s="207">
        <f t="shared" si="27"/>
        <v>61.127579150868506</v>
      </c>
      <c r="C166" s="208">
        <f t="shared" si="28"/>
        <v>6.6326990493834188</v>
      </c>
      <c r="D166" s="208">
        <f t="shared" si="24"/>
        <v>-0.54747714377206336</v>
      </c>
      <c r="E166" s="240">
        <f t="shared" si="26"/>
        <v>14328304.552963579</v>
      </c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</row>
    <row r="167" spans="1:16">
      <c r="A167" s="206">
        <v>2043</v>
      </c>
      <c r="B167" s="207">
        <f t="shared" si="27"/>
        <v>66.954343693688642</v>
      </c>
      <c r="C167" s="208">
        <f t="shared" si="28"/>
        <v>5.8267645428201362</v>
      </c>
      <c r="D167" s="208">
        <f t="shared" si="24"/>
        <v>-0.80593450656328258</v>
      </c>
      <c r="E167" s="240">
        <f t="shared" si="26"/>
        <v>15841397.717926733</v>
      </c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</row>
    <row r="168" spans="1:16">
      <c r="A168" s="206">
        <v>2044</v>
      </c>
      <c r="B168" s="207">
        <f t="shared" si="27"/>
        <v>71.851454814639382</v>
      </c>
      <c r="C168" s="208">
        <f t="shared" si="28"/>
        <v>4.8971111209507399</v>
      </c>
      <c r="D168" s="208">
        <f t="shared" si="24"/>
        <v>-0.92965342186939637</v>
      </c>
      <c r="E168" s="240">
        <f t="shared" si="26"/>
        <v>17158127.409735885</v>
      </c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</row>
    <row r="169" spans="1:16">
      <c r="A169" s="206">
        <v>2045</v>
      </c>
      <c r="B169" s="207">
        <f t="shared" si="27"/>
        <v>75.816412459937609</v>
      </c>
      <c r="C169" s="208">
        <f t="shared" si="28"/>
        <v>3.9649576452982274</v>
      </c>
      <c r="D169" s="208">
        <f t="shared" si="24"/>
        <v>-0.9321534756525125</v>
      </c>
      <c r="E169" s="240">
        <f t="shared" si="26"/>
        <v>18271755.402844962</v>
      </c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</row>
    <row r="170" spans="1:16">
      <c r="A170" s="206">
        <v>2046</v>
      </c>
      <c r="B170" s="207">
        <f t="shared" si="27"/>
        <v>78.930732500044911</v>
      </c>
      <c r="C170" s="208">
        <f t="shared" si="28"/>
        <v>3.1143200401073017</v>
      </c>
      <c r="D170" s="208">
        <f t="shared" si="24"/>
        <v>-0.85063760519092568</v>
      </c>
      <c r="E170" s="240">
        <f t="shared" si="26"/>
        <v>19195954.144010924</v>
      </c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</row>
    <row r="171" spans="1:16">
      <c r="A171" s="206">
        <v>2047</v>
      </c>
      <c r="B171" s="207">
        <f t="shared" si="27"/>
        <v>81.31913139677664</v>
      </c>
      <c r="C171" s="208">
        <f t="shared" si="28"/>
        <v>2.3883988967317293</v>
      </c>
      <c r="D171" s="208">
        <f t="shared" si="24"/>
        <v>-0.72592114337557234</v>
      </c>
      <c r="E171" s="240">
        <f t="shared" si="26"/>
        <v>19955714.844768986</v>
      </c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</row>
    <row r="172" spans="1:16">
      <c r="A172" s="206">
        <v>2048</v>
      </c>
      <c r="B172" s="207">
        <f t="shared" si="27"/>
        <v>83.117451791251995</v>
      </c>
      <c r="C172" s="208">
        <f t="shared" si="28"/>
        <v>1.7983203944753541</v>
      </c>
      <c r="D172" s="208">
        <f t="shared" si="24"/>
        <v>-0.59007850225637526</v>
      </c>
      <c r="E172" s="240">
        <f t="shared" si="26"/>
        <v>20579881.063513994</v>
      </c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</row>
    <row r="173" spans="1:16">
      <c r="A173" s="206">
        <v>2049</v>
      </c>
      <c r="B173" s="207">
        <f t="shared" si="27"/>
        <v>84.45282494341204</v>
      </c>
      <c r="C173" s="208">
        <f t="shared" si="28"/>
        <v>1.3353731521600452</v>
      </c>
      <c r="D173" s="208">
        <f t="shared" si="24"/>
        <v>-0.46294724231530893</v>
      </c>
      <c r="E173" s="240">
        <f t="shared" si="26"/>
        <v>21096315.670864329</v>
      </c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</row>
    <row r="174" spans="1:16">
      <c r="A174" s="206">
        <v>2050</v>
      </c>
      <c r="B174" s="207">
        <f t="shared" si="27"/>
        <v>85.434248652412876</v>
      </c>
      <c r="C174" s="208">
        <f t="shared" si="28"/>
        <v>0.9814237090008362</v>
      </c>
      <c r="D174" s="208">
        <f t="shared" si="24"/>
        <v>-0.35394944315920895</v>
      </c>
      <c r="E174" s="240">
        <f t="shared" si="26"/>
        <v>21529430.660408042</v>
      </c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</row>
    <row r="176" spans="1:16">
      <c r="A176" s="237"/>
      <c r="B176" s="238"/>
      <c r="C176" s="236"/>
      <c r="D176" s="237"/>
      <c r="E176" s="238"/>
    </row>
    <row r="177" spans="1:5">
      <c r="A177" s="237"/>
      <c r="B177" s="238"/>
      <c r="C177" s="236"/>
      <c r="D177" s="237"/>
      <c r="E177" s="238"/>
    </row>
    <row r="217" spans="1:3">
      <c r="A217" s="237"/>
      <c r="B217" s="238"/>
      <c r="C217" s="238"/>
    </row>
    <row r="218" spans="1:3">
      <c r="A218" s="237"/>
      <c r="B218" s="238"/>
      <c r="C218" s="238"/>
    </row>
    <row r="219" spans="1:3">
      <c r="A219" s="237"/>
      <c r="B219" s="238"/>
      <c r="C219" s="238"/>
    </row>
    <row r="220" spans="1:3">
      <c r="A220" s="237"/>
      <c r="B220" s="238"/>
      <c r="C220" s="238"/>
    </row>
    <row r="221" spans="1:3">
      <c r="A221" s="237"/>
      <c r="B221" s="238"/>
      <c r="C221" s="238"/>
    </row>
    <row r="222" spans="1:3">
      <c r="A222" s="237"/>
      <c r="B222" s="238"/>
      <c r="C222" s="238"/>
    </row>
    <row r="223" spans="1:3">
      <c r="A223" s="237"/>
      <c r="B223" s="238"/>
      <c r="C223" s="238"/>
    </row>
    <row r="224" spans="1:3">
      <c r="A224" s="237"/>
      <c r="B224" s="238"/>
      <c r="C224" s="238"/>
    </row>
    <row r="225" spans="1:3">
      <c r="A225" s="237"/>
      <c r="B225" s="238"/>
      <c r="C225" s="238"/>
    </row>
    <row r="226" spans="1:3">
      <c r="A226" s="237"/>
      <c r="B226" s="238"/>
      <c r="C226" s="238"/>
    </row>
    <row r="227" spans="1:3">
      <c r="A227" s="237"/>
      <c r="B227" s="238"/>
      <c r="C227" s="238"/>
    </row>
    <row r="228" spans="1:3">
      <c r="A228" s="237"/>
      <c r="B228" s="238"/>
      <c r="C228" s="238"/>
    </row>
    <row r="229" spans="1:3">
      <c r="A229" s="237"/>
      <c r="B229" s="238"/>
      <c r="C229" s="238"/>
    </row>
    <row r="230" spans="1:3">
      <c r="A230" s="237"/>
      <c r="B230" s="238"/>
      <c r="C230" s="238"/>
    </row>
    <row r="231" spans="1:3">
      <c r="A231" s="237"/>
      <c r="B231" s="238"/>
      <c r="C231" s="238"/>
    </row>
    <row r="232" spans="1:3">
      <c r="A232" s="237"/>
      <c r="B232" s="238"/>
      <c r="C232" s="238"/>
    </row>
    <row r="233" spans="1:3">
      <c r="A233" s="237"/>
      <c r="B233" s="238"/>
      <c r="C233" s="238"/>
    </row>
    <row r="234" spans="1:3">
      <c r="A234" s="237"/>
      <c r="B234" s="238"/>
      <c r="C234" s="238"/>
    </row>
    <row r="235" spans="1:3">
      <c r="A235" s="237"/>
      <c r="B235" s="238"/>
      <c r="C235" s="238"/>
    </row>
    <row r="236" spans="1:3">
      <c r="A236" s="237"/>
      <c r="B236" s="238"/>
      <c r="C236" s="238"/>
    </row>
    <row r="237" spans="1:3">
      <c r="A237" s="237"/>
      <c r="B237" s="238"/>
      <c r="C237" s="238"/>
    </row>
    <row r="238" spans="1:3">
      <c r="A238" s="237"/>
      <c r="B238" s="238"/>
      <c r="C238" s="238"/>
    </row>
    <row r="239" spans="1:3">
      <c r="A239" s="237"/>
      <c r="B239" s="238"/>
      <c r="C239" s="238"/>
    </row>
    <row r="240" spans="1:3">
      <c r="A240" s="237"/>
      <c r="B240" s="238"/>
      <c r="C240" s="238"/>
    </row>
    <row r="241" spans="1:3">
      <c r="A241" s="237"/>
      <c r="B241" s="238"/>
      <c r="C241" s="238"/>
    </row>
    <row r="242" spans="1:3">
      <c r="A242" s="237"/>
      <c r="B242" s="238"/>
      <c r="C242" s="238"/>
    </row>
    <row r="243" spans="1:3">
      <c r="A243" s="237"/>
      <c r="B243" s="238"/>
      <c r="C243" s="238"/>
    </row>
    <row r="244" spans="1:3">
      <c r="A244" s="237"/>
      <c r="B244" s="238"/>
      <c r="C244" s="238"/>
    </row>
    <row r="245" spans="1:3">
      <c r="A245" s="237"/>
      <c r="B245" s="238"/>
      <c r="C245" s="238"/>
    </row>
    <row r="246" spans="1:3">
      <c r="A246" s="237"/>
      <c r="B246" s="238"/>
      <c r="C246" s="238"/>
    </row>
    <row r="247" spans="1:3">
      <c r="A247" s="237"/>
      <c r="B247" s="238"/>
      <c r="C247" s="238"/>
    </row>
    <row r="248" spans="1:3">
      <c r="A248" s="237"/>
      <c r="B248" s="238"/>
      <c r="C248" s="238"/>
    </row>
    <row r="249" spans="1:3">
      <c r="A249" s="237"/>
      <c r="B249" s="238"/>
      <c r="C249" s="238"/>
    </row>
    <row r="250" spans="1:3">
      <c r="A250" s="237"/>
      <c r="B250" s="238"/>
      <c r="C250" s="238"/>
    </row>
    <row r="251" spans="1:3">
      <c r="A251" s="237"/>
      <c r="B251" s="238"/>
      <c r="C251" s="238"/>
    </row>
    <row r="252" spans="1:3">
      <c r="A252" s="237"/>
      <c r="B252" s="238"/>
      <c r="C252" s="238"/>
    </row>
    <row r="253" spans="1:3">
      <c r="A253" s="237"/>
      <c r="B253" s="238"/>
      <c r="C253" s="238"/>
    </row>
    <row r="254" spans="1:3">
      <c r="A254" s="237"/>
      <c r="B254" s="238"/>
      <c r="C254" s="238"/>
    </row>
    <row r="255" spans="1:3">
      <c r="A255" s="237"/>
      <c r="B255" s="238"/>
      <c r="C255" s="238"/>
    </row>
    <row r="256" spans="1:3">
      <c r="A256" s="237"/>
      <c r="B256" s="238"/>
      <c r="C256" s="238"/>
    </row>
    <row r="257" spans="1:3">
      <c r="A257" s="237"/>
      <c r="B257" s="238"/>
      <c r="C257" s="238"/>
    </row>
    <row r="258" spans="1:3">
      <c r="A258" s="237"/>
      <c r="B258" s="238"/>
      <c r="C258" s="238"/>
    </row>
    <row r="259" spans="1:3">
      <c r="A259" s="237"/>
      <c r="B259" s="238"/>
      <c r="C259" s="238"/>
    </row>
    <row r="260" spans="1:3">
      <c r="A260" s="237"/>
      <c r="B260" s="238"/>
      <c r="C260" s="238"/>
    </row>
    <row r="261" spans="1:3">
      <c r="A261" s="237"/>
      <c r="B261" s="238"/>
      <c r="C261" s="238"/>
    </row>
    <row r="262" spans="1:3">
      <c r="A262" s="237"/>
      <c r="B262" s="238"/>
      <c r="C262" s="238"/>
    </row>
    <row r="263" spans="1:3">
      <c r="A263" s="237"/>
      <c r="B263" s="238"/>
      <c r="C263" s="238"/>
    </row>
    <row r="264" spans="1:3">
      <c r="A264" s="237"/>
      <c r="B264" s="238"/>
      <c r="C264" s="238"/>
    </row>
    <row r="265" spans="1:3">
      <c r="A265" s="237"/>
      <c r="B265" s="238"/>
      <c r="C265" s="238"/>
    </row>
    <row r="266" spans="1:3">
      <c r="A266" s="237"/>
      <c r="B266" s="238"/>
      <c r="C266" s="238"/>
    </row>
    <row r="267" spans="1:3">
      <c r="A267" s="237"/>
      <c r="B267" s="238"/>
      <c r="C267" s="238"/>
    </row>
    <row r="268" spans="1:3">
      <c r="A268" s="237"/>
      <c r="B268" s="238"/>
      <c r="C268" s="238"/>
    </row>
    <row r="269" spans="1:3">
      <c r="A269" s="237"/>
      <c r="B269" s="238"/>
      <c r="C269" s="238"/>
    </row>
    <row r="270" spans="1:3">
      <c r="A270" s="237"/>
      <c r="B270" s="238"/>
      <c r="C270" s="238"/>
    </row>
    <row r="271" spans="1:3">
      <c r="A271" s="237"/>
      <c r="B271" s="238"/>
      <c r="C271" s="238"/>
    </row>
    <row r="272" spans="1:3">
      <c r="A272" s="237"/>
      <c r="B272" s="238"/>
      <c r="C272" s="238"/>
    </row>
    <row r="273" spans="1:3">
      <c r="A273" s="237"/>
      <c r="B273" s="238"/>
      <c r="C273" s="238"/>
    </row>
    <row r="274" spans="1:3">
      <c r="A274" s="237"/>
      <c r="B274" s="238"/>
      <c r="C274" s="238"/>
    </row>
    <row r="275" spans="1:3">
      <c r="A275" s="237"/>
      <c r="B275" s="238"/>
      <c r="C275" s="238"/>
    </row>
    <row r="276" spans="1:3">
      <c r="A276" s="237"/>
      <c r="B276" s="238"/>
      <c r="C276" s="238"/>
    </row>
    <row r="277" spans="1:3">
      <c r="A277" s="237"/>
      <c r="B277" s="238"/>
      <c r="C277" s="238"/>
    </row>
    <row r="278" spans="1:3">
      <c r="A278" s="237"/>
      <c r="B278" s="238"/>
      <c r="C278" s="238"/>
    </row>
    <row r="279" spans="1:3">
      <c r="A279" s="237"/>
      <c r="B279" s="238"/>
      <c r="C279" s="238"/>
    </row>
    <row r="280" spans="1:3">
      <c r="A280" s="237"/>
      <c r="B280" s="238"/>
      <c r="C280" s="238"/>
    </row>
    <row r="281" spans="1:3">
      <c r="A281" s="237"/>
      <c r="B281" s="238"/>
      <c r="C281" s="238"/>
    </row>
    <row r="282" spans="1:3">
      <c r="A282" s="237"/>
      <c r="B282" s="238"/>
      <c r="C282" s="238"/>
    </row>
    <row r="283" spans="1:3">
      <c r="A283" s="237"/>
      <c r="B283" s="238"/>
      <c r="C283" s="238"/>
    </row>
    <row r="284" spans="1:3">
      <c r="A284" s="237"/>
      <c r="B284" s="238"/>
      <c r="C284" s="238"/>
    </row>
    <row r="285" spans="1:3">
      <c r="A285" s="237"/>
      <c r="B285" s="238"/>
      <c r="C285" s="238"/>
    </row>
    <row r="286" spans="1:3">
      <c r="A286" s="237"/>
      <c r="B286" s="238"/>
      <c r="C286" s="238"/>
    </row>
    <row r="287" spans="1:3">
      <c r="A287" s="237"/>
      <c r="B287" s="238"/>
      <c r="C287" s="238"/>
    </row>
    <row r="288" spans="1:3">
      <c r="A288" s="237"/>
      <c r="B288" s="238"/>
      <c r="C288" s="238"/>
    </row>
    <row r="289" spans="1:3">
      <c r="A289" s="237"/>
      <c r="B289" s="238"/>
      <c r="C289" s="238"/>
    </row>
    <row r="290" spans="1:3">
      <c r="A290" s="237"/>
      <c r="B290" s="238"/>
      <c r="C290" s="238"/>
    </row>
    <row r="291" spans="1:3">
      <c r="A291" s="237"/>
      <c r="B291" s="238"/>
      <c r="C291" s="238"/>
    </row>
    <row r="292" spans="1:3">
      <c r="A292" s="237"/>
      <c r="B292" s="238"/>
      <c r="C292" s="238"/>
    </row>
    <row r="293" spans="1:3">
      <c r="A293" s="237"/>
      <c r="B293" s="238"/>
      <c r="C293" s="238"/>
    </row>
    <row r="294" spans="1:3">
      <c r="A294" s="237"/>
      <c r="B294" s="238"/>
      <c r="C294" s="238"/>
    </row>
    <row r="295" spans="1:3">
      <c r="A295" s="237"/>
      <c r="B295" s="238"/>
      <c r="C295" s="238"/>
    </row>
    <row r="296" spans="1:3">
      <c r="A296" s="237"/>
      <c r="B296" s="238"/>
      <c r="C296" s="238"/>
    </row>
    <row r="297" spans="1:3">
      <c r="A297" s="237"/>
      <c r="B297" s="238"/>
      <c r="C297" s="238"/>
    </row>
    <row r="298" spans="1:3">
      <c r="A298" s="237"/>
      <c r="B298" s="238"/>
      <c r="C298" s="238"/>
    </row>
    <row r="299" spans="1:3">
      <c r="A299" s="237"/>
      <c r="B299" s="238"/>
      <c r="C299" s="238"/>
    </row>
    <row r="300" spans="1:3">
      <c r="A300" s="237"/>
      <c r="B300" s="238"/>
      <c r="C300" s="238"/>
    </row>
    <row r="301" spans="1:3">
      <c r="A301" s="237"/>
      <c r="B301" s="238"/>
      <c r="C301" s="238"/>
    </row>
    <row r="302" spans="1:3">
      <c r="A302" s="237"/>
      <c r="B302" s="238"/>
      <c r="C302" s="238"/>
    </row>
    <row r="303" spans="1:3">
      <c r="A303" s="237"/>
      <c r="B303" s="238"/>
      <c r="C303" s="238"/>
    </row>
    <row r="304" spans="1:3">
      <c r="A304" s="237"/>
      <c r="B304" s="238"/>
      <c r="C304" s="238"/>
    </row>
    <row r="305" spans="1:3">
      <c r="A305" s="237"/>
      <c r="B305" s="238"/>
      <c r="C305" s="238"/>
    </row>
    <row r="306" spans="1:3">
      <c r="A306" s="237"/>
      <c r="B306" s="238"/>
      <c r="C306" s="238"/>
    </row>
    <row r="307" spans="1:3">
      <c r="A307" s="237"/>
      <c r="B307" s="238"/>
      <c r="C307" s="238"/>
    </row>
    <row r="308" spans="1:3">
      <c r="A308" s="237"/>
      <c r="B308" s="238"/>
      <c r="C308" s="238"/>
    </row>
    <row r="309" spans="1:3">
      <c r="A309" s="237"/>
      <c r="B309" s="238"/>
      <c r="C309" s="238"/>
    </row>
    <row r="310" spans="1:3">
      <c r="A310" s="237"/>
      <c r="B310" s="238"/>
      <c r="C310" s="238"/>
    </row>
    <row r="311" spans="1:3">
      <c r="A311" s="237"/>
      <c r="B311" s="238"/>
      <c r="C311" s="238"/>
    </row>
    <row r="312" spans="1:3">
      <c r="A312" s="237"/>
      <c r="B312" s="238"/>
      <c r="C312" s="238"/>
    </row>
    <row r="313" spans="1:3">
      <c r="A313" s="237"/>
      <c r="B313" s="238"/>
      <c r="C313" s="238"/>
    </row>
    <row r="314" spans="1:3">
      <c r="A314" s="237"/>
      <c r="B314" s="238"/>
      <c r="C314" s="238"/>
    </row>
    <row r="315" spans="1:3">
      <c r="A315" s="237"/>
      <c r="B315" s="238"/>
      <c r="C315" s="238"/>
    </row>
    <row r="316" spans="1:3">
      <c r="A316" s="237"/>
      <c r="B316" s="238"/>
      <c r="C316" s="238"/>
    </row>
    <row r="317" spans="1:3">
      <c r="A317" s="237"/>
      <c r="B317" s="238"/>
      <c r="C317" s="238"/>
    </row>
    <row r="318" spans="1:3">
      <c r="A318" s="237"/>
      <c r="B318" s="238"/>
      <c r="C318" s="238"/>
    </row>
    <row r="319" spans="1:3">
      <c r="A319" s="237"/>
      <c r="B319" s="238"/>
      <c r="C319" s="238"/>
    </row>
    <row r="320" spans="1:3">
      <c r="A320" s="237"/>
      <c r="B320" s="238"/>
      <c r="C320" s="238"/>
    </row>
    <row r="321" spans="1:3">
      <c r="A321" s="237"/>
      <c r="B321" s="238"/>
      <c r="C321" s="238"/>
    </row>
    <row r="322" spans="1:3">
      <c r="A322" s="237"/>
      <c r="B322" s="238"/>
      <c r="C322" s="238"/>
    </row>
    <row r="323" spans="1:3">
      <c r="A323" s="237"/>
      <c r="B323" s="238"/>
      <c r="C323" s="238"/>
    </row>
    <row r="324" spans="1:3">
      <c r="A324" s="237"/>
      <c r="B324" s="238"/>
      <c r="C324" s="238"/>
    </row>
    <row r="325" spans="1:3">
      <c r="A325" s="237"/>
      <c r="B325" s="238"/>
      <c r="C325" s="238"/>
    </row>
    <row r="326" spans="1:3">
      <c r="A326" s="237"/>
      <c r="B326" s="238"/>
      <c r="C326" s="238"/>
    </row>
    <row r="327" spans="1:3">
      <c r="A327" s="237"/>
      <c r="B327" s="238"/>
      <c r="C327" s="238"/>
    </row>
    <row r="328" spans="1:3">
      <c r="A328" s="237"/>
      <c r="B328" s="238"/>
      <c r="C328" s="238"/>
    </row>
    <row r="329" spans="1:3">
      <c r="A329" s="237"/>
      <c r="B329" s="238"/>
      <c r="C329" s="238"/>
    </row>
    <row r="330" spans="1:3">
      <c r="A330" s="237"/>
      <c r="B330" s="238"/>
      <c r="C330" s="238"/>
    </row>
    <row r="331" spans="1:3">
      <c r="A331" s="237"/>
      <c r="B331" s="238"/>
      <c r="C331" s="238"/>
    </row>
    <row r="332" spans="1:3">
      <c r="A332" s="237"/>
      <c r="B332" s="238"/>
      <c r="C332" s="238"/>
    </row>
    <row r="333" spans="1:3">
      <c r="A333" s="237"/>
      <c r="B333" s="238"/>
      <c r="C333" s="238"/>
    </row>
    <row r="334" spans="1:3">
      <c r="A334" s="237"/>
      <c r="B334" s="238"/>
      <c r="C334" s="238"/>
    </row>
    <row r="335" spans="1:3">
      <c r="A335" s="237"/>
      <c r="B335" s="238"/>
      <c r="C335" s="238"/>
    </row>
    <row r="336" spans="1:3">
      <c r="A336" s="237"/>
      <c r="B336" s="238"/>
      <c r="C336" s="238"/>
    </row>
    <row r="337" spans="1:3">
      <c r="A337" s="237"/>
      <c r="B337" s="238"/>
      <c r="C337" s="238"/>
    </row>
    <row r="338" spans="1:3">
      <c r="A338" s="237"/>
      <c r="B338" s="238"/>
      <c r="C338" s="238"/>
    </row>
    <row r="339" spans="1:3">
      <c r="A339" s="237"/>
      <c r="B339" s="238"/>
      <c r="C339" s="238"/>
    </row>
    <row r="340" spans="1:3">
      <c r="A340" s="237"/>
      <c r="B340" s="238"/>
      <c r="C340" s="238"/>
    </row>
    <row r="341" spans="1:3">
      <c r="A341" s="237"/>
      <c r="B341" s="238"/>
      <c r="C341" s="238"/>
    </row>
    <row r="342" spans="1:3">
      <c r="A342" s="237"/>
      <c r="B342" s="238"/>
      <c r="C342" s="238"/>
    </row>
    <row r="343" spans="1:3">
      <c r="A343" s="237"/>
      <c r="B343" s="238"/>
      <c r="C343" s="238"/>
    </row>
    <row r="344" spans="1:3">
      <c r="A344" s="237"/>
      <c r="B344" s="238"/>
      <c r="C344" s="238"/>
    </row>
    <row r="345" spans="1:3">
      <c r="A345" s="237"/>
      <c r="B345" s="238"/>
      <c r="C345" s="238"/>
    </row>
    <row r="346" spans="1:3">
      <c r="A346" s="237"/>
      <c r="B346" s="238"/>
      <c r="C346" s="238"/>
    </row>
    <row r="347" spans="1:3">
      <c r="A347" s="237"/>
      <c r="B347" s="238"/>
      <c r="C347" s="238"/>
    </row>
    <row r="348" spans="1:3">
      <c r="A348" s="237"/>
      <c r="B348" s="238"/>
      <c r="C348" s="238"/>
    </row>
    <row r="349" spans="1:3">
      <c r="A349" s="237"/>
      <c r="B349" s="238"/>
      <c r="C349" s="238"/>
    </row>
    <row r="350" spans="1:3">
      <c r="A350" s="237"/>
      <c r="B350" s="238"/>
      <c r="C350" s="238"/>
    </row>
    <row r="351" spans="1:3">
      <c r="A351" s="237"/>
      <c r="B351" s="238"/>
      <c r="C351" s="238"/>
    </row>
    <row r="352" spans="1:3">
      <c r="A352" s="237"/>
      <c r="B352" s="238"/>
      <c r="C352" s="238"/>
    </row>
    <row r="353" spans="1:3">
      <c r="A353" s="237"/>
      <c r="B353" s="238"/>
      <c r="C353" s="238"/>
    </row>
    <row r="354" spans="1:3">
      <c r="A354" s="237"/>
      <c r="B354" s="238"/>
      <c r="C354" s="238"/>
    </row>
    <row r="355" spans="1:3">
      <c r="A355" s="237"/>
      <c r="B355" s="238"/>
      <c r="C355" s="238"/>
    </row>
    <row r="356" spans="1:3">
      <c r="A356" s="237"/>
      <c r="B356" s="238"/>
      <c r="C356" s="238"/>
    </row>
    <row r="357" spans="1:3">
      <c r="A357" s="237"/>
      <c r="B357" s="238"/>
      <c r="C357" s="238"/>
    </row>
    <row r="358" spans="1:3">
      <c r="A358" s="237"/>
      <c r="B358" s="238"/>
      <c r="C358" s="238"/>
    </row>
    <row r="359" spans="1:3">
      <c r="A359" s="237"/>
      <c r="B359" s="238"/>
      <c r="C359" s="238"/>
    </row>
    <row r="360" spans="1:3">
      <c r="A360" s="237"/>
      <c r="B360" s="238"/>
      <c r="C360" s="238"/>
    </row>
    <row r="361" spans="1:3">
      <c r="A361" s="237"/>
      <c r="B361" s="238"/>
      <c r="C361" s="238"/>
    </row>
    <row r="362" spans="1:3">
      <c r="A362" s="237"/>
      <c r="B362" s="238"/>
      <c r="C362" s="238"/>
    </row>
    <row r="363" spans="1:3">
      <c r="A363" s="237"/>
      <c r="B363" s="238"/>
      <c r="C363" s="238"/>
    </row>
    <row r="364" spans="1:3">
      <c r="A364" s="237"/>
      <c r="B364" s="238"/>
      <c r="C364" s="238"/>
    </row>
    <row r="365" spans="1:3">
      <c r="A365" s="237"/>
      <c r="B365" s="238"/>
      <c r="C365" s="238"/>
    </row>
    <row r="366" spans="1:3">
      <c r="A366" s="237"/>
      <c r="B366" s="238"/>
      <c r="C366" s="238"/>
    </row>
    <row r="367" spans="1:3">
      <c r="A367" s="237"/>
      <c r="B367" s="238"/>
      <c r="C367" s="238"/>
    </row>
    <row r="368" spans="1:3">
      <c r="A368" s="237"/>
      <c r="B368" s="238"/>
      <c r="C368" s="238"/>
    </row>
    <row r="369" spans="1:3">
      <c r="A369" s="237"/>
      <c r="B369" s="238"/>
      <c r="C369" s="238"/>
    </row>
    <row r="370" spans="1:3">
      <c r="A370" s="237"/>
      <c r="B370" s="238"/>
      <c r="C370" s="238"/>
    </row>
    <row r="371" spans="1:3">
      <c r="A371" s="237"/>
      <c r="B371" s="238"/>
      <c r="C371" s="238"/>
    </row>
    <row r="372" spans="1:3">
      <c r="A372" s="237"/>
      <c r="B372" s="238"/>
      <c r="C372" s="238"/>
    </row>
    <row r="373" spans="1:3">
      <c r="A373" s="237"/>
      <c r="B373" s="238"/>
      <c r="C373" s="238"/>
    </row>
    <row r="374" spans="1:3">
      <c r="A374" s="237"/>
      <c r="B374" s="238"/>
      <c r="C374" s="238"/>
    </row>
    <row r="375" spans="1:3">
      <c r="A375" s="237"/>
      <c r="B375" s="238"/>
      <c r="C375" s="238"/>
    </row>
    <row r="376" spans="1:3">
      <c r="A376" s="237"/>
      <c r="B376" s="238"/>
      <c r="C376" s="238"/>
    </row>
    <row r="377" spans="1:3">
      <c r="A377" s="237"/>
      <c r="B377" s="238"/>
      <c r="C377" s="238"/>
    </row>
    <row r="378" spans="1:3">
      <c r="A378" s="237"/>
      <c r="B378" s="238"/>
      <c r="C378" s="238"/>
    </row>
    <row r="379" spans="1:3">
      <c r="A379" s="237"/>
      <c r="B379" s="238"/>
      <c r="C379" s="238"/>
    </row>
    <row r="380" spans="1:3">
      <c r="A380" s="237"/>
      <c r="B380" s="238"/>
      <c r="C380" s="238"/>
    </row>
    <row r="381" spans="1:3">
      <c r="A381" s="237"/>
      <c r="B381" s="238"/>
      <c r="C381" s="238"/>
    </row>
    <row r="382" spans="1:3">
      <c r="A382" s="237"/>
      <c r="B382" s="238"/>
      <c r="C382" s="238"/>
    </row>
    <row r="383" spans="1:3">
      <c r="A383" s="237"/>
      <c r="B383" s="238"/>
      <c r="C383" s="238"/>
    </row>
    <row r="384" spans="1:3">
      <c r="A384" s="237"/>
      <c r="B384" s="238"/>
      <c r="C384" s="238"/>
    </row>
    <row r="385" spans="1:3">
      <c r="A385" s="237"/>
      <c r="B385" s="238"/>
      <c r="C385" s="238"/>
    </row>
    <row r="386" spans="1:3">
      <c r="A386" s="237"/>
      <c r="B386" s="238"/>
      <c r="C386" s="238"/>
    </row>
    <row r="387" spans="1:3">
      <c r="A387" s="237"/>
      <c r="B387" s="238"/>
      <c r="C387" s="238"/>
    </row>
    <row r="388" spans="1:3">
      <c r="A388" s="237"/>
      <c r="B388" s="238"/>
      <c r="C388" s="238"/>
    </row>
    <row r="389" spans="1:3">
      <c r="A389" s="237"/>
      <c r="B389" s="238"/>
      <c r="C389" s="238"/>
    </row>
    <row r="390" spans="1:3">
      <c r="A390" s="237"/>
      <c r="B390" s="238"/>
      <c r="C390" s="238"/>
    </row>
    <row r="391" spans="1:3">
      <c r="A391" s="237"/>
      <c r="B391" s="238"/>
      <c r="C391" s="238"/>
    </row>
    <row r="392" spans="1:3">
      <c r="A392" s="237"/>
      <c r="B392" s="238"/>
      <c r="C392" s="238"/>
    </row>
    <row r="393" spans="1:3">
      <c r="A393" s="237"/>
      <c r="B393" s="238"/>
      <c r="C393" s="238"/>
    </row>
    <row r="394" spans="1:3">
      <c r="A394" s="237"/>
      <c r="B394" s="238"/>
      <c r="C394" s="238"/>
    </row>
    <row r="395" spans="1:3">
      <c r="A395" s="237"/>
      <c r="B395" s="238"/>
      <c r="C395" s="238"/>
    </row>
    <row r="396" spans="1:3">
      <c r="A396" s="237"/>
      <c r="B396" s="238"/>
      <c r="C396" s="238"/>
    </row>
    <row r="397" spans="1:3">
      <c r="A397" s="237"/>
      <c r="B397" s="238"/>
      <c r="C397" s="238"/>
    </row>
    <row r="398" spans="1:3">
      <c r="A398" s="237"/>
      <c r="B398" s="238"/>
      <c r="C398" s="238"/>
    </row>
    <row r="399" spans="1:3">
      <c r="A399" s="237"/>
      <c r="B399" s="238"/>
      <c r="C399" s="238"/>
    </row>
    <row r="400" spans="1:3">
      <c r="A400" s="237"/>
      <c r="B400" s="238"/>
      <c r="C400" s="238"/>
    </row>
    <row r="401" spans="1:3">
      <c r="A401" s="237"/>
      <c r="B401" s="238"/>
      <c r="C401" s="238"/>
    </row>
    <row r="402" spans="1:3">
      <c r="A402" s="237"/>
      <c r="B402" s="238"/>
      <c r="C402" s="238"/>
    </row>
    <row r="403" spans="1:3">
      <c r="A403" s="237"/>
      <c r="B403" s="238"/>
      <c r="C403" s="238"/>
    </row>
    <row r="404" spans="1:3">
      <c r="A404" s="237"/>
      <c r="B404" s="238"/>
      <c r="C404" s="238"/>
    </row>
    <row r="405" spans="1:3">
      <c r="A405" s="237"/>
      <c r="B405" s="238"/>
      <c r="C405" s="238"/>
    </row>
    <row r="406" spans="1:3">
      <c r="A406" s="237"/>
      <c r="B406" s="238"/>
      <c r="C406" s="238"/>
    </row>
    <row r="407" spans="1:3">
      <c r="A407" s="237"/>
      <c r="B407" s="238"/>
      <c r="C407" s="238"/>
    </row>
    <row r="408" spans="1:3">
      <c r="A408" s="237"/>
      <c r="B408" s="238"/>
      <c r="C408" s="238"/>
    </row>
    <row r="409" spans="1:3">
      <c r="A409" s="237"/>
      <c r="B409" s="238"/>
      <c r="C409" s="238"/>
    </row>
    <row r="410" spans="1:3">
      <c r="A410" s="237"/>
      <c r="B410" s="238"/>
      <c r="C410" s="238"/>
    </row>
    <row r="411" spans="1:3">
      <c r="A411" s="237"/>
      <c r="B411" s="238"/>
      <c r="C411" s="238"/>
    </row>
    <row r="412" spans="1:3">
      <c r="A412" s="237"/>
      <c r="B412" s="238"/>
      <c r="C412" s="238"/>
    </row>
    <row r="413" spans="1:3">
      <c r="A413" s="237"/>
      <c r="B413" s="238"/>
      <c r="C413" s="238"/>
    </row>
  </sheetData>
  <autoFilter ref="C19:C41"/>
  <customSheetViews>
    <customSheetView guid="{6CD3DBEE-3ADC-5D4E-9E8E-2656A4A55EE6}" scale="40" showAutoFilter="1">
      <pane ySplit="7" topLeftCell="A8" activePane="bottomLeft" state="frozen"/>
      <selection pane="bottomLeft" activeCell="I10" sqref="I10"/>
      <pageMargins left="0" right="0" top="0" bottom="0" header="0" footer="0"/>
      <pageSetup paperSize="9" orientation="portrait" r:id="rId1"/>
      <autoFilter ref="E24:E46"/>
    </customSheetView>
  </customSheetViews>
  <mergeCells count="9">
    <mergeCell ref="A62:B62"/>
    <mergeCell ref="B1:E1"/>
    <mergeCell ref="A121:B121"/>
    <mergeCell ref="A122:B122"/>
    <mergeCell ref="J62:J64"/>
    <mergeCell ref="A63:B63"/>
    <mergeCell ref="A64:B64"/>
    <mergeCell ref="A119:B119"/>
    <mergeCell ref="A120:B120"/>
  </mergeCells>
  <conditionalFormatting sqref="E176:E177 C217:C413 C3:C58">
    <cfRule type="dataBar" priority="6">
      <dataBar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{E7A5E238-1050-8646-9987-E361B90888E5}</x14:id>
        </ext>
      </extLst>
    </cfRule>
    <cfRule type="dataBar" priority="7">
      <dataBar>
        <cfvo type="percent" val="0"/>
        <cfvo type="percent" val="1"/>
        <color rgb="FF638EC6"/>
      </dataBar>
      <extLst>
        <ext xmlns:x14="http://schemas.microsoft.com/office/spreadsheetml/2009/9/main" uri="{B025F937-C7B1-47D3-B67F-A62EFF666E3E}">
          <x14:id>{5EB22D29-8140-364C-86B8-7841ABBEF614}</x14:id>
        </ext>
      </extLst>
    </cfRule>
  </conditionalFormatting>
  <conditionalFormatting sqref="B176:B177 B217:B413 B3:B58">
    <cfRule type="dataBar" priority="4">
      <dataBar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{0F1B8514-824E-D543-B6D7-536CBB44479A}</x14:id>
        </ext>
      </extLst>
    </cfRule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{54B68C62-A6A7-EE40-B157-D05ADA14334E}</x14:id>
        </ext>
      </extLst>
    </cfRule>
  </conditionalFormatting>
  <conditionalFormatting sqref="E3:E5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{D2971AB4-7880-044D-B5CB-46FABE4A035D}</x14:id>
        </ext>
      </extLst>
    </cfRule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{0F46F381-FD97-B943-B2B1-F6736399A4D3}</x14:id>
        </ext>
      </extLst>
    </cfRule>
  </conditionalFormatting>
  <conditionalFormatting sqref="D3:D58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{D4EFB807-0469-5241-A69E-34070FE3AC61}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A5E238-1050-8646-9987-E361B90888E5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5EB22D29-8140-364C-86B8-7841ABBEF614}">
            <x14:dataBar minLength="0" maxLength="100" gradient="0">
              <x14:cfvo type="percent">
                <xm:f>0</xm:f>
              </x14:cfvo>
              <x14:cfvo type="percent">
                <xm:f>1</xm:f>
              </x14:cfvo>
              <x14:negativeFillColor rgb="FFFF0000"/>
              <x14:axisColor rgb="FF000000"/>
            </x14:dataBar>
          </x14:cfRule>
          <xm:sqref>E176:E177 C217:C413 C3:C58</xm:sqref>
        </x14:conditionalFormatting>
        <x14:conditionalFormatting xmlns:xm="http://schemas.microsoft.com/office/excel/2006/main">
          <x14:cfRule type="dataBar" id="{0F1B8514-824E-D543-B6D7-536CBB44479A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54B68C62-A6A7-EE40-B157-D05ADA143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B176:B177 B217:B413 B3:B58</xm:sqref>
        </x14:conditionalFormatting>
        <x14:conditionalFormatting xmlns:xm="http://schemas.microsoft.com/office/excel/2006/main">
          <x14:cfRule type="dataBar" id="{D2971AB4-7880-044D-B5CB-46FABE4A03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46F381-FD97-B943-B2B1-F6736399A4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E3:E52</xm:sqref>
        </x14:conditionalFormatting>
        <x14:conditionalFormatting xmlns:xm="http://schemas.microsoft.com/office/excel/2006/main">
          <x14:cfRule type="dataBar" id="{D4EFB807-0469-5241-A69E-34070FE3AC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D3:D58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7"/>
  <sheetViews>
    <sheetView zoomScale="40" zoomScaleNormal="40" workbookViewId="0">
      <selection activeCell="L28" sqref="L28"/>
    </sheetView>
  </sheetViews>
  <sheetFormatPr defaultColWidth="9" defaultRowHeight="15.6"/>
  <cols>
    <col min="1" max="1" width="31.59765625" style="7" bestFit="1" customWidth="1"/>
    <col min="2" max="2" width="23.59765625" style="7" bestFit="1" customWidth="1"/>
    <col min="3" max="3" width="12.59765625" style="7" bestFit="1" customWidth="1"/>
    <col min="4" max="4" width="31.3984375" style="34" customWidth="1"/>
    <col min="5" max="5" width="23" style="7" bestFit="1" customWidth="1"/>
    <col min="6" max="6" width="26.3984375" style="35" customWidth="1"/>
    <col min="7" max="7" width="33.3984375" style="35" customWidth="1"/>
    <col min="8" max="8" width="16.69921875" customWidth="1"/>
    <col min="9" max="9" width="21" style="7" customWidth="1"/>
    <col min="10" max="10" width="4.8984375" style="7" bestFit="1" customWidth="1"/>
    <col min="11" max="11" width="21.5" style="7" bestFit="1" customWidth="1"/>
    <col min="12" max="18" width="10" style="7" customWidth="1"/>
    <col min="19" max="19" width="5.8984375" style="7" bestFit="1" customWidth="1"/>
    <col min="20" max="20" width="10.09765625" style="7" bestFit="1" customWidth="1"/>
    <col min="21" max="21" width="8.09765625" style="9" bestFit="1" customWidth="1"/>
    <col min="22" max="22" width="17.59765625" style="9" bestFit="1" customWidth="1"/>
    <col min="23" max="23" width="17.09765625" style="8" bestFit="1" customWidth="1"/>
    <col min="24" max="24" width="22.5" style="7" customWidth="1"/>
    <col min="25" max="25" width="9.5" style="7" bestFit="1" customWidth="1"/>
    <col min="26" max="26" width="15.3984375" style="7" bestFit="1" customWidth="1"/>
    <col min="27" max="27" width="16" style="7" bestFit="1" customWidth="1"/>
    <col min="28" max="28" width="14" style="7" bestFit="1" customWidth="1"/>
    <col min="29" max="29" width="12.8984375" style="7" bestFit="1" customWidth="1"/>
    <col min="30" max="30" width="19.09765625" style="7" bestFit="1" customWidth="1"/>
    <col min="31" max="31" width="18.5" style="7" bestFit="1" customWidth="1"/>
    <col min="32" max="32" width="17.59765625" style="7" bestFit="1" customWidth="1"/>
    <col min="33" max="33" width="14.19921875" style="7" bestFit="1" customWidth="1"/>
    <col min="34" max="34" width="9.09765625" style="7" bestFit="1" customWidth="1"/>
    <col min="35" max="35" width="8.09765625" style="7" bestFit="1" customWidth="1"/>
    <col min="36" max="36" width="11.3984375" style="7" bestFit="1" customWidth="1"/>
    <col min="37" max="37" width="12.3984375" style="7" bestFit="1" customWidth="1"/>
    <col min="38" max="38" width="11.59765625" style="7" bestFit="1" customWidth="1"/>
    <col min="39" max="39" width="26.59765625" style="7" bestFit="1" customWidth="1"/>
    <col min="40" max="1031" width="10" style="7" customWidth="1"/>
    <col min="1032" max="16384" width="9" style="7"/>
  </cols>
  <sheetData>
    <row r="1" spans="1:34" s="35" customFormat="1" ht="16.2" thickBot="1">
      <c r="B1" s="510" t="s">
        <v>99</v>
      </c>
      <c r="C1" s="511"/>
      <c r="D1" s="511"/>
      <c r="E1" s="512"/>
      <c r="AB1" s="2"/>
      <c r="AC1" s="2"/>
      <c r="AF1" s="3"/>
      <c r="AG1" s="3"/>
      <c r="AH1" s="3"/>
    </row>
    <row r="2" spans="1:34">
      <c r="A2" s="11" t="s">
        <v>43</v>
      </c>
      <c r="B2" s="299" t="s">
        <v>78</v>
      </c>
      <c r="C2" s="299" t="s">
        <v>76</v>
      </c>
      <c r="D2" s="299" t="s">
        <v>96</v>
      </c>
      <c r="E2" s="299" t="s">
        <v>88</v>
      </c>
      <c r="F2" s="4"/>
      <c r="G2" s="4"/>
      <c r="I2" s="35"/>
      <c r="J2" s="25"/>
      <c r="K2" s="26"/>
      <c r="L2" s="35"/>
      <c r="M2" s="35"/>
      <c r="N2" s="35"/>
      <c r="O2" s="35"/>
      <c r="P2" s="35"/>
      <c r="Q2" s="35"/>
      <c r="R2" s="35"/>
      <c r="S2" s="35"/>
      <c r="T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>
      <c r="A3" s="220">
        <v>2001</v>
      </c>
      <c r="B3" s="224">
        <f t="shared" ref="B3:E22" si="0">SUM(B68)</f>
        <v>1.0836394780857617E-3</v>
      </c>
      <c r="C3" s="223">
        <f t="shared" si="0"/>
        <v>0</v>
      </c>
      <c r="D3" s="223">
        <f t="shared" si="0"/>
        <v>0</v>
      </c>
      <c r="E3" s="221">
        <f t="shared" si="0"/>
        <v>1.9742220790803693E-3</v>
      </c>
      <c r="F3" s="5"/>
      <c r="G3" s="5"/>
      <c r="I3" s="35"/>
      <c r="J3" s="6"/>
      <c r="K3" s="6"/>
      <c r="L3" s="35"/>
      <c r="M3" s="35"/>
      <c r="N3" s="35"/>
      <c r="O3" s="35"/>
      <c r="P3" s="35"/>
      <c r="Q3" s="35"/>
      <c r="R3" s="35"/>
      <c r="S3" s="35"/>
      <c r="T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1:34">
      <c r="A4" s="220">
        <v>2002</v>
      </c>
      <c r="B4" s="224">
        <f t="shared" si="0"/>
        <v>1.2659286147514003E-3</v>
      </c>
      <c r="C4" s="223">
        <f t="shared" si="0"/>
        <v>1.8228913666563863E-4</v>
      </c>
      <c r="D4" s="223">
        <f t="shared" si="0"/>
        <v>1.8228913666563863E-4</v>
      </c>
      <c r="E4" s="221">
        <f t="shared" si="0"/>
        <v>2.015415690682957E-3</v>
      </c>
      <c r="F4" s="5"/>
      <c r="G4" s="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1:34">
      <c r="A5" s="220">
        <v>2003</v>
      </c>
      <c r="B5" s="224">
        <f t="shared" si="0"/>
        <v>1.3318029429257947E-3</v>
      </c>
      <c r="C5" s="223">
        <f t="shared" si="0"/>
        <v>6.5874328174394398E-5</v>
      </c>
      <c r="D5" s="223">
        <f t="shared" si="0"/>
        <v>-1.1641480849124424E-4</v>
      </c>
      <c r="E5" s="221">
        <f t="shared" si="0"/>
        <v>8.7040600655831867E-4</v>
      </c>
      <c r="F5" s="5"/>
      <c r="G5" s="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>
      <c r="A6" s="220">
        <v>2004</v>
      </c>
      <c r="B6" s="224">
        <f t="shared" si="0"/>
        <v>1.4784792888210773E-3</v>
      </c>
      <c r="C6" s="223">
        <f t="shared" si="0"/>
        <v>1.4667634589528257E-4</v>
      </c>
      <c r="D6" s="223">
        <f t="shared" si="0"/>
        <v>8.0802017720888169E-5</v>
      </c>
      <c r="E6" s="221">
        <f t="shared" si="0"/>
        <v>1.9262827020198631E-3</v>
      </c>
      <c r="F6" s="5"/>
      <c r="G6" s="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>
      <c r="A7" s="220">
        <v>2005</v>
      </c>
      <c r="B7" s="224">
        <f t="shared" si="0"/>
        <v>2.0529919445546572E-3</v>
      </c>
      <c r="C7" s="223">
        <f t="shared" si="0"/>
        <v>5.7451265573357996E-4</v>
      </c>
      <c r="D7" s="223">
        <f t="shared" si="0"/>
        <v>4.2783630983829739E-4</v>
      </c>
      <c r="E7" s="221">
        <f t="shared" si="0"/>
        <v>6.7691335714153813E-3</v>
      </c>
      <c r="F7" s="5"/>
      <c r="G7" s="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>
      <c r="A8" s="220">
        <v>2006</v>
      </c>
      <c r="B8" s="224">
        <f t="shared" si="0"/>
        <v>2.9293115736664689E-3</v>
      </c>
      <c r="C8" s="223">
        <f t="shared" si="0"/>
        <v>8.7631962911181166E-4</v>
      </c>
      <c r="D8" s="223">
        <f t="shared" si="0"/>
        <v>3.018069733782317E-4</v>
      </c>
      <c r="E8" s="221">
        <f t="shared" si="0"/>
        <v>1.0424415267521388E-2</v>
      </c>
      <c r="F8" s="5"/>
      <c r="G8" s="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4">
      <c r="A9" s="220">
        <v>2007</v>
      </c>
      <c r="B9" s="224">
        <f t="shared" si="0"/>
        <v>4.2690613139991663E-3</v>
      </c>
      <c r="C9" s="223">
        <f t="shared" si="0"/>
        <v>1.3397497403326974E-3</v>
      </c>
      <c r="D9" s="223">
        <f t="shared" si="0"/>
        <v>4.6343011122088572E-4</v>
      </c>
      <c r="E9" s="221">
        <f t="shared" si="0"/>
        <v>1.6217682581619167E-2</v>
      </c>
      <c r="F9" s="5"/>
      <c r="G9" s="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>
      <c r="A10" s="220">
        <v>2008</v>
      </c>
      <c r="B10" s="224">
        <f t="shared" si="0"/>
        <v>4.7215795033988782E-3</v>
      </c>
      <c r="C10" s="223">
        <f t="shared" si="0"/>
        <v>4.525181893997119E-4</v>
      </c>
      <c r="D10" s="223">
        <f t="shared" si="0"/>
        <v>-8.8723155093298547E-4</v>
      </c>
      <c r="E10" s="221">
        <f t="shared" si="0"/>
        <v>6.3438550700995978E-3</v>
      </c>
      <c r="F10" s="5"/>
      <c r="G10" s="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1:34">
      <c r="A11" s="220">
        <v>2009</v>
      </c>
      <c r="B11" s="224">
        <f t="shared" si="0"/>
        <v>5.1648227159495734E-3</v>
      </c>
      <c r="C11" s="223">
        <f t="shared" si="0"/>
        <v>4.4324321255069521E-4</v>
      </c>
      <c r="D11" s="223">
        <f t="shared" si="0"/>
        <v>-9.2749768490166945E-6</v>
      </c>
      <c r="E11" s="221">
        <f t="shared" si="0"/>
        <v>6.5522547434741134E-3</v>
      </c>
      <c r="F11" s="5"/>
      <c r="G11" s="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>
      <c r="A12" s="220">
        <v>2010</v>
      </c>
      <c r="B12" s="224">
        <f t="shared" si="0"/>
        <v>5.455032817519855E-3</v>
      </c>
      <c r="C12" s="223">
        <f t="shared" si="0"/>
        <v>2.9021010157028165E-4</v>
      </c>
      <c r="D12" s="223">
        <f t="shared" si="0"/>
        <v>-1.5303311098041356E-4</v>
      </c>
      <c r="E12" s="221">
        <f t="shared" si="0"/>
        <v>4.5586331394394629E-3</v>
      </c>
      <c r="F12" s="5"/>
      <c r="G12" s="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34">
      <c r="A13" s="220">
        <v>2011</v>
      </c>
      <c r="B13" s="224">
        <f t="shared" si="0"/>
        <v>9.2187136637866592E-3</v>
      </c>
      <c r="C13" s="223">
        <f t="shared" si="0"/>
        <v>3.7636808462668042E-3</v>
      </c>
      <c r="D13" s="223">
        <f t="shared" si="0"/>
        <v>3.4734707446965225E-3</v>
      </c>
      <c r="E13" s="221">
        <f t="shared" si="0"/>
        <v>5.6627215135122512E-2</v>
      </c>
      <c r="F13" s="5"/>
      <c r="G13" s="5"/>
      <c r="I13" s="35"/>
      <c r="J13" s="35"/>
      <c r="K13" s="32"/>
      <c r="L13" s="35"/>
      <c r="M13" s="35"/>
      <c r="N13" s="35"/>
      <c r="O13" s="35"/>
      <c r="P13" s="35"/>
      <c r="Q13" s="35"/>
      <c r="R13" s="35"/>
      <c r="S13" s="35"/>
      <c r="T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>
      <c r="A14" s="220">
        <v>2012</v>
      </c>
      <c r="B14" s="224">
        <f t="shared" si="0"/>
        <v>1.4475926782500006E-2</v>
      </c>
      <c r="C14" s="223">
        <f t="shared" si="0"/>
        <v>5.2572131187133466E-3</v>
      </c>
      <c r="D14" s="223">
        <f t="shared" si="0"/>
        <v>1.4935322724465424E-3</v>
      </c>
      <c r="E14" s="221">
        <f t="shared" si="0"/>
        <v>7.6645524520776623E-2</v>
      </c>
      <c r="F14" s="5"/>
      <c r="G14" s="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>
      <c r="A15" s="220">
        <v>2013</v>
      </c>
      <c r="B15" s="224">
        <f t="shared" si="0"/>
        <v>2.1617860645360358E-2</v>
      </c>
      <c r="C15" s="223">
        <f t="shared" si="0"/>
        <v>7.1419338628603522E-3</v>
      </c>
      <c r="D15" s="223">
        <f t="shared" si="0"/>
        <v>1.8847207441470056E-3</v>
      </c>
      <c r="E15" s="221">
        <f t="shared" si="0"/>
        <v>9.6689159155001411E-2</v>
      </c>
      <c r="F15" s="5"/>
      <c r="G15" s="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>
      <c r="A16" s="220">
        <v>2014</v>
      </c>
      <c r="B16" s="224">
        <f t="shared" si="0"/>
        <v>5.5197773916824566E-2</v>
      </c>
      <c r="C16" s="223">
        <f t="shared" si="0"/>
        <v>3.3579913271464208E-2</v>
      </c>
      <c r="D16" s="223">
        <f t="shared" si="0"/>
        <v>2.6437979408603856E-2</v>
      </c>
      <c r="E16" s="221">
        <f t="shared" si="0"/>
        <v>0.41564682923651364</v>
      </c>
      <c r="F16" s="5"/>
      <c r="G16" s="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11">
      <c r="A17" s="220">
        <v>2015</v>
      </c>
      <c r="B17" s="224">
        <f t="shared" si="0"/>
        <v>8.2172891322468522E-2</v>
      </c>
      <c r="C17" s="223">
        <f t="shared" si="0"/>
        <v>2.6975117405643956E-2</v>
      </c>
      <c r="D17" s="223">
        <f t="shared" si="0"/>
        <v>-6.6047958658202524E-3</v>
      </c>
      <c r="E17" s="221">
        <f t="shared" si="0"/>
        <v>0.33058209225583407</v>
      </c>
      <c r="F17" s="5"/>
      <c r="G17" s="5"/>
      <c r="I17" s="35"/>
      <c r="J17" s="35"/>
      <c r="K17" s="35"/>
    </row>
    <row r="18" spans="1:11">
      <c r="A18" s="220">
        <v>2016</v>
      </c>
      <c r="B18" s="224">
        <f t="shared" si="0"/>
        <v>0.10975423442104723</v>
      </c>
      <c r="C18" s="223">
        <f t="shared" si="0"/>
        <v>2.7581343098578709E-2</v>
      </c>
      <c r="D18" s="223">
        <f t="shared" si="0"/>
        <v>6.0622569293475315E-4</v>
      </c>
      <c r="E18" s="221">
        <f t="shared" si="0"/>
        <v>0.34142267826006256</v>
      </c>
      <c r="F18" s="5"/>
      <c r="G18" s="5"/>
      <c r="I18" s="35"/>
      <c r="J18" s="35"/>
      <c r="K18" s="35"/>
    </row>
    <row r="19" spans="1:11">
      <c r="A19" s="222">
        <v>2017</v>
      </c>
      <c r="B19" s="218">
        <f t="shared" si="0"/>
        <v>0.13733557751962594</v>
      </c>
      <c r="C19" s="217">
        <f t="shared" si="0"/>
        <v>2.7581343098578709E-2</v>
      </c>
      <c r="D19" s="217">
        <f t="shared" si="0"/>
        <v>0</v>
      </c>
      <c r="E19" s="219">
        <f t="shared" si="0"/>
        <v>0.3294344528854305</v>
      </c>
      <c r="I19" s="35"/>
      <c r="J19" s="35"/>
      <c r="K19" s="35"/>
    </row>
    <row r="20" spans="1:11">
      <c r="A20" s="222">
        <v>2018</v>
      </c>
      <c r="B20" s="218">
        <f t="shared" si="0"/>
        <v>0.16491692061820465</v>
      </c>
      <c r="C20" s="217">
        <f t="shared" si="0"/>
        <v>2.7581343098578709E-2</v>
      </c>
      <c r="D20" s="217">
        <f t="shared" si="0"/>
        <v>0</v>
      </c>
      <c r="E20" s="219">
        <f t="shared" si="0"/>
        <v>0.32943445288543044</v>
      </c>
      <c r="I20" s="35"/>
      <c r="J20" s="35"/>
      <c r="K20" s="35"/>
    </row>
    <row r="21" spans="1:11">
      <c r="A21" s="222">
        <v>2019</v>
      </c>
      <c r="B21" s="218">
        <f t="shared" si="0"/>
        <v>0.19249826371678336</v>
      </c>
      <c r="C21" s="217">
        <f t="shared" si="0"/>
        <v>2.7581343098578709E-2</v>
      </c>
      <c r="D21" s="217">
        <f t="shared" si="0"/>
        <v>0</v>
      </c>
      <c r="E21" s="219">
        <f t="shared" si="0"/>
        <v>0.32943445288543044</v>
      </c>
      <c r="I21" s="35"/>
      <c r="J21" s="35"/>
      <c r="K21" s="35"/>
    </row>
    <row r="22" spans="1:11">
      <c r="A22" s="222">
        <v>2020</v>
      </c>
      <c r="B22" s="218">
        <f t="shared" si="0"/>
        <v>0.22007960681536207</v>
      </c>
      <c r="C22" s="217">
        <f t="shared" si="0"/>
        <v>2.7581343098578709E-2</v>
      </c>
      <c r="D22" s="217">
        <f t="shared" si="0"/>
        <v>0</v>
      </c>
      <c r="E22" s="219">
        <f t="shared" si="0"/>
        <v>0.32943445288543044</v>
      </c>
      <c r="I22" s="35"/>
      <c r="J22" s="35"/>
      <c r="K22" s="35"/>
    </row>
    <row r="23" spans="1:11">
      <c r="A23" s="222">
        <v>2021</v>
      </c>
      <c r="B23" s="218">
        <f t="shared" ref="B23:E42" si="1">SUM(B88)</f>
        <v>0.24766094991394078</v>
      </c>
      <c r="C23" s="217">
        <f t="shared" si="1"/>
        <v>2.7581343098578709E-2</v>
      </c>
      <c r="D23" s="217">
        <f t="shared" si="1"/>
        <v>0</v>
      </c>
      <c r="E23" s="219">
        <f t="shared" si="1"/>
        <v>0.32943445288543044</v>
      </c>
      <c r="I23" s="35"/>
      <c r="J23" s="35"/>
      <c r="K23" s="35"/>
    </row>
    <row r="24" spans="1:11">
      <c r="A24" s="222">
        <v>2022</v>
      </c>
      <c r="B24" s="218">
        <f t="shared" si="1"/>
        <v>0.27670019101045618</v>
      </c>
      <c r="C24" s="217">
        <f t="shared" si="1"/>
        <v>2.90392410965154E-2</v>
      </c>
      <c r="D24" s="217">
        <f t="shared" si="1"/>
        <v>1.4578979979366913E-3</v>
      </c>
      <c r="E24" s="219">
        <f t="shared" si="1"/>
        <v>0.34684773938117719</v>
      </c>
      <c r="I24" s="35"/>
      <c r="J24" s="35"/>
      <c r="K24" s="35"/>
    </row>
    <row r="25" spans="1:11">
      <c r="A25" s="222">
        <v>2023</v>
      </c>
      <c r="B25" s="218">
        <f t="shared" si="1"/>
        <v>0.3865597543824334</v>
      </c>
      <c r="C25" s="217">
        <f t="shared" si="1"/>
        <v>0.10985956337197722</v>
      </c>
      <c r="D25" s="217">
        <f t="shared" si="1"/>
        <v>8.082032227546182E-2</v>
      </c>
      <c r="E25" s="219">
        <f t="shared" si="1"/>
        <v>1.3121741397555282</v>
      </c>
      <c r="I25" s="35"/>
      <c r="J25" s="35"/>
      <c r="K25" s="35"/>
    </row>
    <row r="26" spans="1:11">
      <c r="A26" s="222">
        <v>2024</v>
      </c>
      <c r="B26" s="218">
        <f t="shared" si="1"/>
        <v>0.53980126689448049</v>
      </c>
      <c r="C26" s="217">
        <f t="shared" si="1"/>
        <v>0.1532415125120471</v>
      </c>
      <c r="D26" s="217">
        <f t="shared" si="1"/>
        <v>4.3381949140069875E-2</v>
      </c>
      <c r="E26" s="219">
        <f t="shared" si="1"/>
        <v>1.8303326873281782</v>
      </c>
      <c r="I26" s="35"/>
      <c r="J26" s="35"/>
      <c r="K26" s="35"/>
    </row>
    <row r="27" spans="1:11">
      <c r="A27" s="222">
        <v>2025</v>
      </c>
      <c r="B27" s="218">
        <f t="shared" si="1"/>
        <v>0.75333195784742957</v>
      </c>
      <c r="C27" s="217">
        <f t="shared" si="1"/>
        <v>0.21353069095294908</v>
      </c>
      <c r="D27" s="217">
        <f t="shared" si="1"/>
        <v>6.028917844090198E-2</v>
      </c>
      <c r="E27" s="219">
        <f t="shared" si="1"/>
        <v>2.550432953787432</v>
      </c>
      <c r="I27" s="35"/>
      <c r="J27" s="35"/>
      <c r="K27" s="35"/>
    </row>
    <row r="28" spans="1:11">
      <c r="A28" s="222">
        <v>2026</v>
      </c>
      <c r="B28" s="218">
        <f t="shared" si="1"/>
        <v>1.0504374912812346</v>
      </c>
      <c r="C28" s="217">
        <f t="shared" si="1"/>
        <v>0.29710553343380508</v>
      </c>
      <c r="D28" s="217">
        <f t="shared" si="1"/>
        <v>8.3574842480856004E-2</v>
      </c>
      <c r="E28" s="219">
        <f t="shared" si="1"/>
        <v>3.5486596322078028</v>
      </c>
      <c r="I28" s="35"/>
      <c r="J28" s="35"/>
      <c r="K28" s="35"/>
    </row>
    <row r="29" spans="1:11">
      <c r="A29" s="222">
        <v>2027</v>
      </c>
      <c r="B29" s="218">
        <f t="shared" si="1"/>
        <v>1.4629907869622472</v>
      </c>
      <c r="C29" s="217">
        <f t="shared" si="1"/>
        <v>0.41255329568101251</v>
      </c>
      <c r="D29" s="217">
        <f t="shared" si="1"/>
        <v>0.11544776224720743</v>
      </c>
      <c r="E29" s="219">
        <f t="shared" si="1"/>
        <v>4.9275798050515931</v>
      </c>
      <c r="I29" s="35"/>
      <c r="J29" s="35"/>
      <c r="K29" s="35"/>
    </row>
    <row r="30" spans="1:11">
      <c r="A30" s="222">
        <v>2028</v>
      </c>
      <c r="B30" s="218">
        <f t="shared" si="1"/>
        <v>2.0342409925254286</v>
      </c>
      <c r="C30" s="217">
        <f t="shared" si="1"/>
        <v>0.5712502055631814</v>
      </c>
      <c r="D30" s="217">
        <f t="shared" si="1"/>
        <v>0.15869690988216889</v>
      </c>
      <c r="E30" s="219">
        <f t="shared" si="1"/>
        <v>6.8230723303715362</v>
      </c>
      <c r="I30" s="35"/>
      <c r="J30" s="35"/>
      <c r="K30" s="35"/>
    </row>
    <row r="31" spans="1:11">
      <c r="A31" s="222">
        <v>2029</v>
      </c>
      <c r="B31" s="218">
        <f t="shared" si="1"/>
        <v>2.8221573661452535</v>
      </c>
      <c r="C31" s="217">
        <f t="shared" si="1"/>
        <v>0.78791637361982492</v>
      </c>
      <c r="D31" s="217">
        <f t="shared" si="1"/>
        <v>0.21666616805664352</v>
      </c>
      <c r="E31" s="219">
        <f t="shared" si="1"/>
        <v>9.4109557513279736</v>
      </c>
      <c r="I31" s="35"/>
      <c r="J31" s="35"/>
      <c r="K31" s="35"/>
    </row>
    <row r="32" spans="1:11">
      <c r="A32" s="222">
        <v>2030</v>
      </c>
      <c r="B32" s="218">
        <f t="shared" si="1"/>
        <v>3.9030961331001874</v>
      </c>
      <c r="C32" s="217">
        <f t="shared" si="1"/>
        <v>1.080938766954934</v>
      </c>
      <c r="D32" s="217">
        <f t="shared" si="1"/>
        <v>0.29302239333510904</v>
      </c>
      <c r="E32" s="219">
        <f t="shared" si="1"/>
        <v>12.910845930225948</v>
      </c>
      <c r="I32" s="35"/>
      <c r="J32" s="35"/>
      <c r="K32" s="35"/>
    </row>
    <row r="33" spans="1:11">
      <c r="A33" s="222">
        <v>2031</v>
      </c>
      <c r="B33" s="218">
        <f t="shared" si="1"/>
        <v>5.3751540726730846</v>
      </c>
      <c r="C33" s="217">
        <f t="shared" si="1"/>
        <v>1.4720579395728972</v>
      </c>
      <c r="D33" s="217">
        <f t="shared" si="1"/>
        <v>0.39111917261796325</v>
      </c>
      <c r="E33" s="219">
        <f t="shared" si="1"/>
        <v>17.582414322812333</v>
      </c>
      <c r="I33" s="35"/>
      <c r="J33" s="35"/>
      <c r="K33" s="35"/>
    </row>
    <row r="34" spans="1:11">
      <c r="A34" s="222">
        <v>2032</v>
      </c>
      <c r="B34" s="218">
        <f t="shared" si="1"/>
        <v>7.359879792862535</v>
      </c>
      <c r="C34" s="217">
        <f t="shared" si="1"/>
        <v>1.9847257201894504</v>
      </c>
      <c r="D34" s="217">
        <f t="shared" si="1"/>
        <v>0.51266778061655316</v>
      </c>
      <c r="E34" s="219">
        <f t="shared" si="1"/>
        <v>23.7057720293522</v>
      </c>
      <c r="I34" s="35"/>
      <c r="J34" s="35"/>
      <c r="K34" s="35"/>
    </row>
    <row r="35" spans="1:11">
      <c r="A35" s="222">
        <v>2033</v>
      </c>
      <c r="B35" s="218">
        <f t="shared" si="1"/>
        <v>10.000000000000135</v>
      </c>
      <c r="C35" s="217">
        <f t="shared" si="1"/>
        <v>2.6401202071376</v>
      </c>
      <c r="D35" s="217">
        <f t="shared" si="1"/>
        <v>0.65539448694814961</v>
      </c>
      <c r="E35" s="219">
        <f t="shared" si="1"/>
        <v>31.5338724761001</v>
      </c>
      <c r="I35" s="35"/>
      <c r="J35" s="35"/>
      <c r="K35" s="35"/>
    </row>
    <row r="36" spans="1:11">
      <c r="A36" s="222">
        <v>2034</v>
      </c>
      <c r="B36" s="218">
        <f t="shared" si="1"/>
        <v>13.449682579183211</v>
      </c>
      <c r="C36" s="217">
        <f t="shared" si="1"/>
        <v>3.4496825791830759</v>
      </c>
      <c r="D36" s="217">
        <f t="shared" si="1"/>
        <v>0.80956237204547588</v>
      </c>
      <c r="E36" s="219">
        <f t="shared" si="1"/>
        <v>41.20337030143174</v>
      </c>
      <c r="I36" s="35"/>
      <c r="J36" s="35"/>
      <c r="K36" s="35"/>
    </row>
    <row r="37" spans="1:11">
      <c r="A37" s="222">
        <v>2035</v>
      </c>
      <c r="B37" s="218">
        <f t="shared" si="1"/>
        <v>17.853329313055223</v>
      </c>
      <c r="C37" s="217">
        <f t="shared" si="1"/>
        <v>4.4036467338720122</v>
      </c>
      <c r="D37" s="217">
        <f t="shared" si="1"/>
        <v>0.95396415468893636</v>
      </c>
      <c r="E37" s="219">
        <f t="shared" si="1"/>
        <v>52.597618154012068</v>
      </c>
      <c r="I37" s="35"/>
      <c r="J37" s="35"/>
      <c r="K37" s="35"/>
    </row>
    <row r="38" spans="1:11">
      <c r="A38" s="222">
        <v>2036</v>
      </c>
      <c r="B38" s="218">
        <f t="shared" si="1"/>
        <v>23.310477183230947</v>
      </c>
      <c r="C38" s="217">
        <f t="shared" si="1"/>
        <v>5.4571478701757243</v>
      </c>
      <c r="D38" s="217">
        <f t="shared" si="1"/>
        <v>1.0535011363037121</v>
      </c>
      <c r="E38" s="219">
        <f t="shared" si="1"/>
        <v>65.180746147886907</v>
      </c>
      <c r="I38" s="35"/>
      <c r="J38" s="35"/>
      <c r="K38" s="35"/>
    </row>
    <row r="39" spans="1:11">
      <c r="A39" s="222">
        <v>2037</v>
      </c>
      <c r="B39" s="218">
        <f t="shared" si="1"/>
        <v>29.829962933703602</v>
      </c>
      <c r="C39" s="217">
        <f t="shared" si="1"/>
        <v>6.5194857504726542</v>
      </c>
      <c r="D39" s="217">
        <f t="shared" si="1"/>
        <v>1.0623378802969299</v>
      </c>
      <c r="E39" s="219">
        <f t="shared" si="1"/>
        <v>77.869421138232894</v>
      </c>
      <c r="I39" s="35"/>
      <c r="J39" s="35"/>
      <c r="K39" s="35"/>
    </row>
    <row r="40" spans="1:11">
      <c r="A40" s="222">
        <v>2038</v>
      </c>
      <c r="B40" s="218">
        <f t="shared" si="1"/>
        <v>37.28630116914217</v>
      </c>
      <c r="C40" s="217">
        <f t="shared" si="1"/>
        <v>7.4563382354385688</v>
      </c>
      <c r="D40" s="217">
        <f t="shared" si="1"/>
        <v>0.93685248496591456</v>
      </c>
      <c r="E40" s="219">
        <f t="shared" si="1"/>
        <v>89.05928541409574</v>
      </c>
      <c r="I40" s="35"/>
      <c r="J40" s="35"/>
      <c r="K40" s="35"/>
    </row>
    <row r="41" spans="1:11">
      <c r="A41" s="222">
        <v>2039</v>
      </c>
      <c r="B41" s="218">
        <f t="shared" si="1"/>
        <v>45.400545445351412</v>
      </c>
      <c r="C41" s="217">
        <f t="shared" si="1"/>
        <v>8.1142442762092415</v>
      </c>
      <c r="D41" s="217">
        <f t="shared" si="1"/>
        <v>0.65790604077067272</v>
      </c>
      <c r="E41" s="219">
        <f t="shared" si="1"/>
        <v>96.917384122946331</v>
      </c>
      <c r="I41" s="35"/>
      <c r="J41" s="35"/>
      <c r="K41" s="35"/>
    </row>
    <row r="42" spans="1:11">
      <c r="A42" s="222">
        <v>2040</v>
      </c>
      <c r="B42" s="218">
        <f t="shared" si="1"/>
        <v>53.766708986738188</v>
      </c>
      <c r="C42" s="217">
        <f t="shared" si="1"/>
        <v>8.3661635413867756</v>
      </c>
      <c r="D42" s="217">
        <f t="shared" si="1"/>
        <v>0.25191926517753416</v>
      </c>
      <c r="E42" s="219">
        <f t="shared" si="1"/>
        <v>99.926334230939332</v>
      </c>
      <c r="I42" s="35"/>
      <c r="J42" s="35"/>
      <c r="K42" s="35"/>
    </row>
    <row r="43" spans="1:11">
      <c r="A43" s="222">
        <v>2041</v>
      </c>
      <c r="B43" s="218">
        <f t="shared" ref="B43:E52" si="2">SUM(B108)</f>
        <v>61.926000115323966</v>
      </c>
      <c r="C43" s="217">
        <f t="shared" si="2"/>
        <v>8.1592911285857781</v>
      </c>
      <c r="D43" s="217">
        <f t="shared" si="2"/>
        <v>-0.20687241280099755</v>
      </c>
      <c r="E43" s="219">
        <f t="shared" si="2"/>
        <v>100</v>
      </c>
      <c r="F43" s="24"/>
      <c r="G43" s="24"/>
      <c r="I43" s="35"/>
      <c r="J43" s="35"/>
      <c r="K43" s="35"/>
    </row>
    <row r="44" spans="1:11">
      <c r="A44" s="222">
        <v>2042</v>
      </c>
      <c r="B44" s="218">
        <f t="shared" si="2"/>
        <v>69.463158125986936</v>
      </c>
      <c r="C44" s="217">
        <f t="shared" si="2"/>
        <v>7.5371580106629708</v>
      </c>
      <c r="D44" s="217">
        <f t="shared" si="2"/>
        <v>-0.62213311792280734</v>
      </c>
      <c r="E44" s="219">
        <f t="shared" si="2"/>
        <v>100</v>
      </c>
      <c r="I44" s="35"/>
      <c r="J44" s="35"/>
      <c r="K44" s="35"/>
    </row>
    <row r="45" spans="1:11">
      <c r="A45" s="222">
        <v>2043</v>
      </c>
      <c r="B45" s="218">
        <f t="shared" si="2"/>
        <v>76.084481470100727</v>
      </c>
      <c r="C45" s="217">
        <f t="shared" si="2"/>
        <v>6.6213233441137902</v>
      </c>
      <c r="D45" s="217">
        <f t="shared" si="2"/>
        <v>-0.91583466654918055</v>
      </c>
      <c r="E45" s="219">
        <f t="shared" si="2"/>
        <v>100</v>
      </c>
      <c r="I45" s="35"/>
      <c r="J45" s="35"/>
      <c r="K45" s="35"/>
    </row>
    <row r="46" spans="1:11">
      <c r="A46" s="222">
        <v>2044</v>
      </c>
      <c r="B46" s="218">
        <f t="shared" si="2"/>
        <v>81.649380471181118</v>
      </c>
      <c r="C46" s="217">
        <f t="shared" si="2"/>
        <v>5.5648990010803914</v>
      </c>
      <c r="D46" s="217">
        <f t="shared" si="2"/>
        <v>-1.0564243430333988</v>
      </c>
      <c r="E46" s="219">
        <f t="shared" si="2"/>
        <v>100</v>
      </c>
      <c r="I46" s="35"/>
      <c r="J46" s="35"/>
      <c r="K46" s="35"/>
    </row>
    <row r="47" spans="1:11">
      <c r="A47" s="222">
        <v>2045</v>
      </c>
      <c r="B47" s="218">
        <f t="shared" si="2"/>
        <v>86.155014159020013</v>
      </c>
      <c r="C47" s="217">
        <f t="shared" si="2"/>
        <v>4.5056336878388947</v>
      </c>
      <c r="D47" s="217">
        <f t="shared" si="2"/>
        <v>-1.0592653132414966</v>
      </c>
      <c r="E47" s="219">
        <f t="shared" si="2"/>
        <v>100</v>
      </c>
      <c r="I47" s="35"/>
      <c r="J47" s="35"/>
      <c r="K47" s="35"/>
    </row>
    <row r="48" spans="1:11">
      <c r="A48" s="222">
        <v>2046</v>
      </c>
      <c r="B48" s="218">
        <f t="shared" si="2"/>
        <v>89.694014204596485</v>
      </c>
      <c r="C48" s="217">
        <f t="shared" si="2"/>
        <v>3.5390000455764721</v>
      </c>
      <c r="D48" s="217">
        <f t="shared" si="2"/>
        <v>-0.96663364226242265</v>
      </c>
      <c r="E48" s="219">
        <f t="shared" si="2"/>
        <v>100</v>
      </c>
      <c r="I48" s="35"/>
      <c r="J48" s="35"/>
      <c r="K48" s="35"/>
    </row>
    <row r="49" spans="1:39">
      <c r="A49" s="222">
        <v>2047</v>
      </c>
      <c r="B49" s="218">
        <f t="shared" si="2"/>
        <v>92.408103859973451</v>
      </c>
      <c r="C49" s="217">
        <f t="shared" si="2"/>
        <v>2.7140896553769664</v>
      </c>
      <c r="D49" s="217">
        <f t="shared" si="2"/>
        <v>-0.82491039019950563</v>
      </c>
      <c r="E49" s="219">
        <f t="shared" si="2"/>
        <v>100</v>
      </c>
      <c r="F49" s="22"/>
      <c r="G49" s="22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1:39">
      <c r="A50" s="222">
        <v>2048</v>
      </c>
      <c r="B50" s="218">
        <f t="shared" si="2"/>
        <v>94.45164976278636</v>
      </c>
      <c r="C50" s="217">
        <f t="shared" si="2"/>
        <v>2.0435459028129088</v>
      </c>
      <c r="D50" s="217">
        <f t="shared" si="2"/>
        <v>-0.67054375256405763</v>
      </c>
      <c r="E50" s="219">
        <f t="shared" si="2"/>
        <v>100</v>
      </c>
      <c r="F50" s="22"/>
      <c r="G50" s="22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</row>
    <row r="51" spans="1:39">
      <c r="A51" s="222">
        <v>2049</v>
      </c>
      <c r="B51" s="218">
        <f t="shared" si="2"/>
        <v>95.969119253877309</v>
      </c>
      <c r="C51" s="217">
        <f t="shared" si="2"/>
        <v>1.5174694910909494</v>
      </c>
      <c r="D51" s="217">
        <f t="shared" si="2"/>
        <v>-0.5260764117219594</v>
      </c>
      <c r="E51" s="219">
        <f t="shared" si="2"/>
        <v>100</v>
      </c>
      <c r="F51" s="22"/>
      <c r="G51" s="22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</row>
    <row r="52" spans="1:39">
      <c r="A52" s="222">
        <v>2050</v>
      </c>
      <c r="B52" s="218">
        <f t="shared" si="2"/>
        <v>97.084373468650995</v>
      </c>
      <c r="C52" s="217">
        <f t="shared" si="2"/>
        <v>1.1152542147736852</v>
      </c>
      <c r="D52" s="217">
        <f t="shared" si="2"/>
        <v>-0.40221527631726417</v>
      </c>
      <c r="E52" s="219">
        <f t="shared" si="2"/>
        <v>100</v>
      </c>
      <c r="F52" s="22"/>
      <c r="G52" s="22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>
      <c r="A53" s="23"/>
      <c r="B53" s="24"/>
      <c r="C53" s="24"/>
      <c r="D53" s="24"/>
      <c r="E53" s="27"/>
      <c r="F53" s="22"/>
      <c r="G53" s="22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>
      <c r="A54" s="23"/>
      <c r="B54" s="24"/>
      <c r="C54" s="24"/>
      <c r="D54" s="24"/>
      <c r="E54" s="27"/>
      <c r="F54" s="22"/>
      <c r="G54" s="22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</row>
    <row r="55" spans="1:39">
      <c r="A55" s="23"/>
      <c r="B55" s="24"/>
      <c r="C55" s="24"/>
      <c r="D55" s="24"/>
      <c r="E55" s="27"/>
      <c r="F55" s="22"/>
      <c r="G55" s="22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</row>
    <row r="56" spans="1:39">
      <c r="A56" s="23"/>
      <c r="B56" s="24"/>
      <c r="C56" s="24"/>
      <c r="D56" s="24"/>
      <c r="E56" s="27"/>
      <c r="F56" s="22"/>
      <c r="G56" s="22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</row>
    <row r="57" spans="1:39">
      <c r="A57" s="23"/>
      <c r="B57" s="24"/>
      <c r="C57" s="24"/>
      <c r="D57" s="24"/>
      <c r="E57" s="27"/>
      <c r="F57" s="22"/>
      <c r="G57" s="22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</row>
    <row r="58" spans="1:39">
      <c r="A58" s="23"/>
      <c r="B58" s="24"/>
      <c r="C58" s="24"/>
      <c r="D58" s="24"/>
      <c r="E58" s="27"/>
      <c r="F58" s="22"/>
      <c r="G58" s="22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</row>
    <row r="59" spans="1:39">
      <c r="A59" s="23"/>
      <c r="B59" s="24"/>
      <c r="C59" s="24"/>
      <c r="D59" s="24"/>
      <c r="E59" s="27"/>
      <c r="F59" s="22"/>
      <c r="G59" s="22"/>
      <c r="I59" s="35"/>
      <c r="J59" s="35"/>
      <c r="K59" s="35"/>
      <c r="L59" s="35"/>
      <c r="M59" s="2"/>
      <c r="N59" s="2"/>
      <c r="O59" s="2"/>
      <c r="P59" s="35"/>
      <c r="Q59" s="35"/>
      <c r="R59" s="3"/>
      <c r="S59" s="3"/>
      <c r="T59" s="3"/>
      <c r="U59" s="10"/>
      <c r="V59" s="10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</row>
    <row r="60" spans="1:39">
      <c r="A60" s="35"/>
      <c r="B60" s="35"/>
      <c r="C60" s="35"/>
      <c r="D60" s="35"/>
      <c r="E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10"/>
      <c r="V60" s="10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</row>
    <row r="61" spans="1:39">
      <c r="A61" s="23"/>
      <c r="B61" s="24"/>
      <c r="C61" s="6"/>
      <c r="D61" s="23"/>
      <c r="E61" s="24"/>
      <c r="F61" s="24"/>
      <c r="G61" s="22"/>
      <c r="H61" s="22"/>
      <c r="I61" s="22"/>
      <c r="J61" s="23"/>
      <c r="K61" s="27"/>
      <c r="L61" s="35"/>
      <c r="M61" s="35"/>
      <c r="N61" s="35"/>
      <c r="O61" s="35"/>
      <c r="P61" s="2"/>
      <c r="Q61" s="35"/>
      <c r="R61" s="35"/>
      <c r="S61" s="35"/>
      <c r="T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</row>
    <row r="62" spans="1:39">
      <c r="A62" s="515" t="s">
        <v>98</v>
      </c>
      <c r="B62" s="515"/>
      <c r="C62" s="190">
        <v>2001</v>
      </c>
      <c r="D62" s="190"/>
      <c r="E62" s="190"/>
      <c r="F62" s="191" t="s">
        <v>89</v>
      </c>
      <c r="G62" s="192" t="s">
        <v>90</v>
      </c>
      <c r="H62" s="193"/>
      <c r="I62" s="193" t="s">
        <v>91</v>
      </c>
      <c r="J62" s="193" t="s">
        <v>48</v>
      </c>
      <c r="K62" s="194"/>
      <c r="L62" s="194"/>
      <c r="M62" s="194"/>
      <c r="N62" s="195"/>
      <c r="O62" s="195"/>
      <c r="P62" s="195"/>
      <c r="Q62" s="35"/>
      <c r="R62" s="35"/>
      <c r="S62" s="35"/>
      <c r="T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>
      <c r="A63" s="515" t="s">
        <v>37</v>
      </c>
      <c r="B63" s="515"/>
      <c r="C63" s="190">
        <v>100</v>
      </c>
      <c r="D63" s="190"/>
      <c r="E63" s="190"/>
      <c r="F63" s="194"/>
      <c r="G63" s="194"/>
      <c r="H63" s="194"/>
      <c r="I63" s="196" t="s">
        <v>38</v>
      </c>
      <c r="J63" s="513">
        <v>3</v>
      </c>
      <c r="K63" s="194"/>
      <c r="L63" s="194"/>
      <c r="M63" s="194"/>
      <c r="N63" s="195"/>
      <c r="O63" s="195"/>
      <c r="P63" s="195"/>
      <c r="Q63" s="35"/>
      <c r="R63" s="35"/>
      <c r="S63" s="35"/>
      <c r="T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>
      <c r="A64" s="514" t="s">
        <v>39</v>
      </c>
      <c r="B64" s="514"/>
      <c r="C64" s="190">
        <v>2033</v>
      </c>
      <c r="D64" s="190"/>
      <c r="E64" s="190"/>
      <c r="F64" s="194"/>
      <c r="G64" s="194" t="s">
        <v>92</v>
      </c>
      <c r="H64" s="194" t="s">
        <v>97</v>
      </c>
      <c r="I64" s="196" t="s">
        <v>40</v>
      </c>
      <c r="J64" s="513"/>
      <c r="K64" s="194"/>
      <c r="L64" s="194"/>
      <c r="M64" s="194"/>
      <c r="N64" s="195"/>
      <c r="O64" s="195"/>
      <c r="P64" s="195"/>
      <c r="Q64" s="35"/>
      <c r="R64" s="35"/>
      <c r="S64" s="35"/>
      <c r="T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</row>
    <row r="65" spans="1:16">
      <c r="A65" s="515" t="s">
        <v>41</v>
      </c>
      <c r="B65" s="515"/>
      <c r="C65" s="190">
        <v>13.1</v>
      </c>
      <c r="D65" s="190"/>
      <c r="E65" s="190"/>
      <c r="F65" s="194"/>
      <c r="G65" s="194">
        <v>10</v>
      </c>
      <c r="H65" s="194">
        <v>100</v>
      </c>
      <c r="I65" s="196" t="s">
        <v>42</v>
      </c>
      <c r="J65" s="513"/>
      <c r="K65" s="194"/>
      <c r="L65" s="194"/>
      <c r="M65" s="194"/>
      <c r="N65" s="195"/>
      <c r="O65" s="195"/>
      <c r="P65" s="195"/>
    </row>
    <row r="66" spans="1:16">
      <c r="A66" s="197"/>
      <c r="B66" s="197"/>
      <c r="C66" s="197"/>
      <c r="D66" s="197"/>
      <c r="E66" s="197"/>
      <c r="F66" s="194"/>
      <c r="G66" s="194"/>
      <c r="H66" s="194"/>
      <c r="I66" s="194"/>
      <c r="J66" s="194"/>
      <c r="K66" s="194"/>
      <c r="L66" s="194"/>
      <c r="M66" s="194"/>
      <c r="N66" s="195"/>
      <c r="O66" s="195"/>
      <c r="P66" s="195"/>
    </row>
    <row r="67" spans="1:16">
      <c r="A67" s="198" t="s">
        <v>43</v>
      </c>
      <c r="B67" s="198" t="s">
        <v>44</v>
      </c>
      <c r="C67" s="198" t="s">
        <v>45</v>
      </c>
      <c r="D67" s="198" t="s">
        <v>46</v>
      </c>
      <c r="E67" s="198" t="s">
        <v>47</v>
      </c>
      <c r="F67" s="198" t="s">
        <v>48</v>
      </c>
      <c r="G67" s="198" t="s">
        <v>49</v>
      </c>
      <c r="H67" s="198" t="s">
        <v>50</v>
      </c>
      <c r="I67" s="198" t="s">
        <v>51</v>
      </c>
      <c r="J67" s="198" t="s">
        <v>52</v>
      </c>
      <c r="K67" s="198" t="s">
        <v>53</v>
      </c>
      <c r="L67" s="198" t="s">
        <v>54</v>
      </c>
      <c r="M67" s="198" t="s">
        <v>55</v>
      </c>
      <c r="N67" s="198" t="s">
        <v>56</v>
      </c>
      <c r="O67" s="198" t="s">
        <v>57</v>
      </c>
      <c r="P67" s="198" t="s">
        <v>58</v>
      </c>
    </row>
    <row r="68" spans="1:16">
      <c r="A68" s="199">
        <v>2001</v>
      </c>
      <c r="B68" s="200">
        <f t="shared" ref="B68:B83" si="3">SUM(K68/F68)*100</f>
        <v>1.0836394780857617E-3</v>
      </c>
      <c r="C68" s="201">
        <v>0</v>
      </c>
      <c r="D68" s="201">
        <v>0</v>
      </c>
      <c r="E68" s="202">
        <f t="shared" ref="E68:E99" si="4">(SUM(I68/G68))*100</f>
        <v>1.9742220790803693E-3</v>
      </c>
      <c r="F68" s="203">
        <f>(SUM('PRs Analysis'!B10))*1000</f>
        <v>25100599.000000004</v>
      </c>
      <c r="G68" s="204">
        <v>2583296</v>
      </c>
      <c r="H68" s="204">
        <v>2583219</v>
      </c>
      <c r="I68" s="203">
        <f>(SUM('PRs Analysis'!I10))*1000</f>
        <v>51.000000000000014</v>
      </c>
      <c r="J68" s="204"/>
      <c r="K68" s="203">
        <f>(SUM('PRs Analysis'!H10))*1000</f>
        <v>272</v>
      </c>
      <c r="L68" s="204">
        <f t="shared" ref="L68:L99" si="5">SUM(F68-K68)</f>
        <v>25100327.000000004</v>
      </c>
      <c r="M68" s="204"/>
      <c r="N68" s="204"/>
      <c r="O68" s="204">
        <v>0</v>
      </c>
      <c r="P68" s="205">
        <f t="shared" ref="P68:P83" si="6">SUM(G68/F68)</f>
        <v>0.10291770327871456</v>
      </c>
    </row>
    <row r="69" spans="1:16">
      <c r="A69" s="199">
        <v>2002</v>
      </c>
      <c r="B69" s="200">
        <f t="shared" si="3"/>
        <v>1.2659286147514003E-3</v>
      </c>
      <c r="C69" s="201">
        <f t="shared" ref="C69:C100" si="7">SUM((B69-B68)/(A69-A68))</f>
        <v>1.8228913666563863E-4</v>
      </c>
      <c r="D69" s="201">
        <f t="shared" ref="D69:D117" si="8">SUM(C69-C68)</f>
        <v>1.8228913666563863E-4</v>
      </c>
      <c r="E69" s="202">
        <f t="shared" si="4"/>
        <v>2.015415690682957E-3</v>
      </c>
      <c r="F69" s="203">
        <f>(SUM('PRs Analysis'!B11))*1000</f>
        <v>25751846.999999996</v>
      </c>
      <c r="G69" s="204">
        <v>2679348</v>
      </c>
      <c r="H69" s="204">
        <v>2679286</v>
      </c>
      <c r="I69" s="203">
        <f>(SUM('PRs Analysis'!I11))*1000</f>
        <v>53.999999999999993</v>
      </c>
      <c r="J69" s="204">
        <f t="shared" ref="J69:J100" si="9">SUM(F69-F68)</f>
        <v>651247.99999999255</v>
      </c>
      <c r="K69" s="203">
        <f>(SUM('PRs Analysis'!H11))*1000</f>
        <v>326</v>
      </c>
      <c r="L69" s="204">
        <f t="shared" si="5"/>
        <v>25751520.999999996</v>
      </c>
      <c r="M69" s="204"/>
      <c r="N69" s="204"/>
      <c r="O69" s="204">
        <v>0</v>
      </c>
      <c r="P69" s="205">
        <f t="shared" si="6"/>
        <v>0.10404488656677714</v>
      </c>
    </row>
    <row r="70" spans="1:16">
      <c r="A70" s="199">
        <v>2003</v>
      </c>
      <c r="B70" s="200">
        <f t="shared" si="3"/>
        <v>1.3318029429257947E-3</v>
      </c>
      <c r="C70" s="201">
        <f t="shared" si="7"/>
        <v>6.5874328174394398E-5</v>
      </c>
      <c r="D70" s="201">
        <f t="shared" si="8"/>
        <v>-1.1641480849124424E-4</v>
      </c>
      <c r="E70" s="202">
        <f t="shared" si="4"/>
        <v>8.7040600655831867E-4</v>
      </c>
      <c r="F70" s="203">
        <f>(SUM('PRs Analysis'!B12))*1000</f>
        <v>26205078</v>
      </c>
      <c r="G70" s="204">
        <v>2642445</v>
      </c>
      <c r="H70" s="204">
        <v>2642406</v>
      </c>
      <c r="I70" s="203">
        <f>(SUM('PRs Analysis'!I12))*1000</f>
        <v>22.999999999999964</v>
      </c>
      <c r="J70" s="204">
        <f t="shared" si="9"/>
        <v>453231.00000000373</v>
      </c>
      <c r="K70" s="203">
        <f>(SUM('PRs Analysis'!H12))*1000</f>
        <v>349</v>
      </c>
      <c r="L70" s="204">
        <f t="shared" si="5"/>
        <v>26204729</v>
      </c>
      <c r="M70" s="204"/>
      <c r="N70" s="204"/>
      <c r="O70" s="204">
        <v>0</v>
      </c>
      <c r="P70" s="205">
        <f t="shared" si="6"/>
        <v>0.10083713545901295</v>
      </c>
    </row>
    <row r="71" spans="1:16">
      <c r="A71" s="199">
        <v>2004</v>
      </c>
      <c r="B71" s="200">
        <f t="shared" si="3"/>
        <v>1.4784792888210773E-3</v>
      </c>
      <c r="C71" s="201">
        <f t="shared" si="7"/>
        <v>1.4667634589528257E-4</v>
      </c>
      <c r="D71" s="201">
        <f t="shared" si="8"/>
        <v>8.0802017720888169E-5</v>
      </c>
      <c r="E71" s="202">
        <f t="shared" si="4"/>
        <v>1.9262827020198631E-3</v>
      </c>
      <c r="F71" s="203">
        <f>(SUM('PRs Analysis'!B13))*1000</f>
        <v>26987189</v>
      </c>
      <c r="G71" s="204">
        <v>2595673</v>
      </c>
      <c r="H71" s="204">
        <v>2595583</v>
      </c>
      <c r="I71" s="203">
        <f>(SUM('PRs Analysis'!I13))*1000</f>
        <v>50.000000000000043</v>
      </c>
      <c r="J71" s="204">
        <f t="shared" si="9"/>
        <v>782111</v>
      </c>
      <c r="K71" s="203">
        <f>(SUM('PRs Analysis'!H13))*1000</f>
        <v>399</v>
      </c>
      <c r="L71" s="204">
        <f t="shared" si="5"/>
        <v>26986790</v>
      </c>
      <c r="M71" s="204"/>
      <c r="N71" s="204"/>
      <c r="O71" s="204">
        <v>0</v>
      </c>
      <c r="P71" s="205">
        <f t="shared" si="6"/>
        <v>9.6181673459951683E-2</v>
      </c>
    </row>
    <row r="72" spans="1:16">
      <c r="A72" s="199">
        <v>2005</v>
      </c>
      <c r="B72" s="200">
        <f t="shared" si="3"/>
        <v>2.0529919445546572E-3</v>
      </c>
      <c r="C72" s="201">
        <f t="shared" si="7"/>
        <v>5.7451265573357996E-4</v>
      </c>
      <c r="D72" s="201">
        <f t="shared" si="8"/>
        <v>4.2783630983829739E-4</v>
      </c>
      <c r="E72" s="202">
        <f t="shared" si="4"/>
        <v>6.7691335714153813E-3</v>
      </c>
      <c r="F72" s="203">
        <f>(SUM('PRs Analysis'!B14))*1000</f>
        <v>27472100</v>
      </c>
      <c r="G72" s="204">
        <v>2437535</v>
      </c>
      <c r="H72" s="204">
        <v>2437312</v>
      </c>
      <c r="I72" s="203">
        <f>(SUM('PRs Analysis'!I14))*1000</f>
        <v>164.99999999999991</v>
      </c>
      <c r="J72" s="204">
        <f t="shared" si="9"/>
        <v>484911</v>
      </c>
      <c r="K72" s="203">
        <f>(SUM('PRs Analysis'!H14))*1000</f>
        <v>564</v>
      </c>
      <c r="L72" s="204">
        <f t="shared" si="5"/>
        <v>27471536</v>
      </c>
      <c r="M72" s="204"/>
      <c r="N72" s="204"/>
      <c r="O72" s="204">
        <v>0</v>
      </c>
      <c r="P72" s="205">
        <f t="shared" si="6"/>
        <v>8.8727654602305611E-2</v>
      </c>
    </row>
    <row r="73" spans="1:16">
      <c r="A73" s="199">
        <v>2006</v>
      </c>
      <c r="B73" s="200">
        <f t="shared" si="3"/>
        <v>2.9293115736664689E-3</v>
      </c>
      <c r="C73" s="201">
        <f t="shared" si="7"/>
        <v>8.7631962911181166E-4</v>
      </c>
      <c r="D73" s="201">
        <f t="shared" si="8"/>
        <v>3.018069733782317E-4</v>
      </c>
      <c r="E73" s="202">
        <f t="shared" si="4"/>
        <v>1.0424415267521388E-2</v>
      </c>
      <c r="F73" s="203">
        <f>(SUM('PRs Analysis'!B15))*1000</f>
        <v>27549135</v>
      </c>
      <c r="G73" s="204">
        <v>2331066</v>
      </c>
      <c r="H73" s="204">
        <v>2330745</v>
      </c>
      <c r="I73" s="203">
        <f>(SUM('PRs Analysis'!I15))*1000</f>
        <v>243.00000000000011</v>
      </c>
      <c r="J73" s="204">
        <f t="shared" si="9"/>
        <v>77035</v>
      </c>
      <c r="K73" s="203">
        <f>(SUM('PRs Analysis'!H15))*1000</f>
        <v>807</v>
      </c>
      <c r="L73" s="204">
        <f t="shared" si="5"/>
        <v>27548328</v>
      </c>
      <c r="M73" s="204"/>
      <c r="N73" s="204"/>
      <c r="O73" s="204">
        <v>0</v>
      </c>
      <c r="P73" s="205">
        <f t="shared" si="6"/>
        <v>8.4614852698641899E-2</v>
      </c>
    </row>
    <row r="74" spans="1:16">
      <c r="A74" s="199">
        <v>2007</v>
      </c>
      <c r="B74" s="200">
        <f t="shared" si="3"/>
        <v>4.2690613139991663E-3</v>
      </c>
      <c r="C74" s="201">
        <f t="shared" si="7"/>
        <v>1.3397497403326974E-3</v>
      </c>
      <c r="D74" s="201">
        <f t="shared" si="8"/>
        <v>4.6343011122088572E-4</v>
      </c>
      <c r="E74" s="202">
        <f t="shared" si="4"/>
        <v>1.6217682581619167E-2</v>
      </c>
      <c r="F74" s="203">
        <f>(SUM('PRs Analysis'!B16))*1000</f>
        <v>27921828.999999996</v>
      </c>
      <c r="G74" s="204">
        <v>2373952</v>
      </c>
      <c r="H74" s="204">
        <v>2373502</v>
      </c>
      <c r="I74" s="203">
        <f>(SUM('PRs Analysis'!I16))*1000</f>
        <v>384.99999999999989</v>
      </c>
      <c r="J74" s="204">
        <f t="shared" si="9"/>
        <v>372693.99999999627</v>
      </c>
      <c r="K74" s="203">
        <f>(SUM('PRs Analysis'!H16))*1000</f>
        <v>1192</v>
      </c>
      <c r="L74" s="204">
        <f t="shared" si="5"/>
        <v>27920636.999999996</v>
      </c>
      <c r="M74" s="204"/>
      <c r="N74" s="204"/>
      <c r="O74" s="204">
        <v>0</v>
      </c>
      <c r="P74" s="205">
        <f t="shared" si="6"/>
        <v>8.5021364467205943E-2</v>
      </c>
    </row>
    <row r="75" spans="1:16">
      <c r="A75" s="199">
        <v>2008</v>
      </c>
      <c r="B75" s="200">
        <f t="shared" si="3"/>
        <v>4.7215795033988782E-3</v>
      </c>
      <c r="C75" s="201">
        <f t="shared" si="7"/>
        <v>4.525181893997119E-4</v>
      </c>
      <c r="D75" s="201">
        <f t="shared" si="8"/>
        <v>-8.8723155093298547E-4</v>
      </c>
      <c r="E75" s="202">
        <f t="shared" si="4"/>
        <v>6.3438550700995978E-3</v>
      </c>
      <c r="F75" s="203">
        <f>(SUM('PRs Analysis'!B17))*1000</f>
        <v>28062643</v>
      </c>
      <c r="G75" s="204">
        <v>2096517</v>
      </c>
      <c r="H75" s="204">
        <v>2096297</v>
      </c>
      <c r="I75" s="203">
        <f>(SUM('PRs Analysis'!I17))*1000</f>
        <v>133</v>
      </c>
      <c r="J75" s="204">
        <f t="shared" si="9"/>
        <v>140814.00000000373</v>
      </c>
      <c r="K75" s="203">
        <f>(SUM('PRs Analysis'!H17))*1000</f>
        <v>1325</v>
      </c>
      <c r="L75" s="204">
        <f t="shared" si="5"/>
        <v>28061318</v>
      </c>
      <c r="M75" s="204"/>
      <c r="N75" s="204"/>
      <c r="O75" s="204">
        <v>0</v>
      </c>
      <c r="P75" s="205">
        <f t="shared" si="6"/>
        <v>7.4708465628130605E-2</v>
      </c>
    </row>
    <row r="76" spans="1:16">
      <c r="A76" s="199">
        <v>2009</v>
      </c>
      <c r="B76" s="200">
        <f t="shared" si="3"/>
        <v>5.1648227159495734E-3</v>
      </c>
      <c r="C76" s="201">
        <f t="shared" si="7"/>
        <v>4.4324321255069521E-4</v>
      </c>
      <c r="D76" s="201">
        <f t="shared" si="8"/>
        <v>-9.2749768490166945E-6</v>
      </c>
      <c r="E76" s="202">
        <f t="shared" si="4"/>
        <v>6.5522547434741134E-3</v>
      </c>
      <c r="F76" s="203">
        <f>(SUM('PRs Analysis'!B18))*1000</f>
        <v>28132621</v>
      </c>
      <c r="G76" s="204">
        <v>1953526</v>
      </c>
      <c r="H76" s="204">
        <v>1953344</v>
      </c>
      <c r="I76" s="203">
        <f>(SUM('PRs Analysis'!I18))*1000</f>
        <v>128.00000000000011</v>
      </c>
      <c r="J76" s="204">
        <f t="shared" si="9"/>
        <v>69978</v>
      </c>
      <c r="K76" s="203">
        <f>(SUM('PRs Analysis'!H18))*1000</f>
        <v>1453</v>
      </c>
      <c r="L76" s="204">
        <f t="shared" si="5"/>
        <v>28131168</v>
      </c>
      <c r="M76" s="204"/>
      <c r="N76" s="204"/>
      <c r="O76" s="204">
        <v>0</v>
      </c>
      <c r="P76" s="205">
        <f t="shared" si="6"/>
        <v>6.9439886173421242E-2</v>
      </c>
    </row>
    <row r="77" spans="1:16">
      <c r="A77" s="199">
        <v>2010</v>
      </c>
      <c r="B77" s="200">
        <f t="shared" si="3"/>
        <v>5.455032817519855E-3</v>
      </c>
      <c r="C77" s="201">
        <f t="shared" si="7"/>
        <v>2.9021010157028165E-4</v>
      </c>
      <c r="D77" s="201">
        <f t="shared" si="8"/>
        <v>-1.5303311098041356E-4</v>
      </c>
      <c r="E77" s="202">
        <f t="shared" si="4"/>
        <v>4.5586331394394629E-3</v>
      </c>
      <c r="F77" s="203">
        <f>(SUM('PRs Analysis'!B19))*1000</f>
        <v>28285805.999999996</v>
      </c>
      <c r="G77" s="204">
        <v>1974276</v>
      </c>
      <c r="H77" s="204">
        <v>1974020</v>
      </c>
      <c r="I77" s="203">
        <f>(SUM('PRs Analysis'!I19))*1000</f>
        <v>89.999999999999858</v>
      </c>
      <c r="J77" s="204">
        <f t="shared" si="9"/>
        <v>153184.99999999627</v>
      </c>
      <c r="K77" s="203">
        <f>(SUM('PRs Analysis'!H19))*1000</f>
        <v>1543</v>
      </c>
      <c r="L77" s="204">
        <f t="shared" si="5"/>
        <v>28284262.999999996</v>
      </c>
      <c r="M77" s="204"/>
      <c r="N77" s="204"/>
      <c r="O77" s="204">
        <v>0</v>
      </c>
      <c r="P77" s="205">
        <f t="shared" si="6"/>
        <v>6.9797410050821962E-2</v>
      </c>
    </row>
    <row r="78" spans="1:16">
      <c r="A78" s="199">
        <v>2011</v>
      </c>
      <c r="B78" s="200">
        <f t="shared" si="3"/>
        <v>9.2187136637866592E-3</v>
      </c>
      <c r="C78" s="201">
        <f t="shared" si="7"/>
        <v>3.7636808462668042E-3</v>
      </c>
      <c r="D78" s="201">
        <f t="shared" si="8"/>
        <v>3.4734707446965225E-3</v>
      </c>
      <c r="E78" s="202">
        <f t="shared" si="4"/>
        <v>5.6627215135122512E-2</v>
      </c>
      <c r="F78" s="203">
        <f>(SUM('PRs Analysis'!B20))*1000</f>
        <v>28311976.000000004</v>
      </c>
      <c r="G78" s="204">
        <v>1884253</v>
      </c>
      <c r="H78" s="204">
        <v>1883045</v>
      </c>
      <c r="I78" s="203">
        <f>(SUM('PRs Analysis'!I20))*1000</f>
        <v>1067</v>
      </c>
      <c r="J78" s="204">
        <f t="shared" si="9"/>
        <v>26170.000000007451</v>
      </c>
      <c r="K78" s="203">
        <f>(SUM('PRs Analysis'!H20))*1000</f>
        <v>2610</v>
      </c>
      <c r="L78" s="204">
        <f t="shared" si="5"/>
        <v>28309366.000000004</v>
      </c>
      <c r="M78" s="204">
        <f t="shared" ref="M78:M117" ca="1" si="10">SUM(N78+O78)</f>
        <v>2583270</v>
      </c>
      <c r="N78" s="204">
        <f t="shared" ref="N78:N117" ca="1" si="11">OFFSET(H78,-$G$65,0,1,1)</f>
        <v>2583219</v>
      </c>
      <c r="O78" s="204">
        <f t="shared" ref="O78:O117" ca="1" si="12">OFFSET(I78,-$G$65,0,1,1)</f>
        <v>51.000000000000014</v>
      </c>
      <c r="P78" s="205">
        <f t="shared" si="6"/>
        <v>6.6553214088624538E-2</v>
      </c>
    </row>
    <row r="79" spans="1:16">
      <c r="A79" s="199">
        <v>2012</v>
      </c>
      <c r="B79" s="200">
        <f t="shared" si="3"/>
        <v>1.4475926782500006E-2</v>
      </c>
      <c r="C79" s="201">
        <f t="shared" si="7"/>
        <v>5.2572131187133466E-3</v>
      </c>
      <c r="D79" s="201">
        <f t="shared" si="8"/>
        <v>1.4935322724465424E-3</v>
      </c>
      <c r="E79" s="202">
        <f t="shared" si="4"/>
        <v>7.6645524520776623E-2</v>
      </c>
      <c r="F79" s="203">
        <f>(SUM('PRs Analysis'!B21))*1000</f>
        <v>28543941</v>
      </c>
      <c r="G79" s="204">
        <v>1985765</v>
      </c>
      <c r="H79" s="204">
        <v>1983638</v>
      </c>
      <c r="I79" s="203">
        <f>(SUM('PRs Analysis'!I21))*1000</f>
        <v>1521.9999999999998</v>
      </c>
      <c r="J79" s="204">
        <f t="shared" si="9"/>
        <v>231964.99999999627</v>
      </c>
      <c r="K79" s="203">
        <f>(SUM('PRs Analysis'!H21))*1000</f>
        <v>4132</v>
      </c>
      <c r="L79" s="204">
        <f t="shared" si="5"/>
        <v>28539809</v>
      </c>
      <c r="M79" s="204">
        <f t="shared" ca="1" si="10"/>
        <v>2679340</v>
      </c>
      <c r="N79" s="204">
        <f t="shared" ca="1" si="11"/>
        <v>2679286</v>
      </c>
      <c r="O79" s="204">
        <f t="shared" ca="1" si="12"/>
        <v>53.999999999999993</v>
      </c>
      <c r="P79" s="205">
        <f t="shared" si="6"/>
        <v>6.9568704615806207E-2</v>
      </c>
    </row>
    <row r="80" spans="1:16">
      <c r="A80" s="199">
        <v>2013</v>
      </c>
      <c r="B80" s="200">
        <f t="shared" si="3"/>
        <v>2.1617860645360358E-2</v>
      </c>
      <c r="C80" s="201">
        <f t="shared" si="7"/>
        <v>7.1419338628603522E-3</v>
      </c>
      <c r="D80" s="201">
        <f t="shared" si="8"/>
        <v>1.8847207441470056E-3</v>
      </c>
      <c r="E80" s="202">
        <f t="shared" si="4"/>
        <v>9.6689159155001411E-2</v>
      </c>
      <c r="F80" s="203">
        <f>(SUM('PRs Analysis'!B22))*1000</f>
        <v>28934408.000000004</v>
      </c>
      <c r="G80" s="204">
        <v>2195696</v>
      </c>
      <c r="H80" s="204">
        <v>2192831</v>
      </c>
      <c r="I80" s="203">
        <f>(SUM('PRs Analysis'!I22))*1000</f>
        <v>2123</v>
      </c>
      <c r="J80" s="204">
        <f t="shared" si="9"/>
        <v>390467.00000000373</v>
      </c>
      <c r="K80" s="203">
        <f>(SUM('PRs Analysis'!H22))*1000</f>
        <v>6255</v>
      </c>
      <c r="L80" s="204">
        <f t="shared" si="5"/>
        <v>28928153.000000004</v>
      </c>
      <c r="M80" s="204">
        <f t="shared" ca="1" si="10"/>
        <v>2642429</v>
      </c>
      <c r="N80" s="204">
        <f t="shared" ca="1" si="11"/>
        <v>2642406</v>
      </c>
      <c r="O80" s="204">
        <f t="shared" ca="1" si="12"/>
        <v>22.999999999999964</v>
      </c>
      <c r="P80" s="205">
        <f t="shared" si="6"/>
        <v>7.5885292002518243E-2</v>
      </c>
    </row>
    <row r="81" spans="1:16">
      <c r="A81" s="199">
        <v>2014</v>
      </c>
      <c r="B81" s="200">
        <f t="shared" si="3"/>
        <v>5.5197773916824566E-2</v>
      </c>
      <c r="C81" s="201">
        <f t="shared" si="7"/>
        <v>3.3579913271464208E-2</v>
      </c>
      <c r="D81" s="201">
        <f t="shared" si="8"/>
        <v>2.6437979408603856E-2</v>
      </c>
      <c r="E81" s="202">
        <f t="shared" si="4"/>
        <v>0.41564682923651364</v>
      </c>
      <c r="F81" s="203">
        <f>(SUM('PRs Analysis'!B23))*1000</f>
        <v>29363503</v>
      </c>
      <c r="G81" s="204">
        <v>2394581</v>
      </c>
      <c r="H81" s="204">
        <v>2387410</v>
      </c>
      <c r="I81" s="203">
        <f>(SUM('PRs Analysis'!I23))*1000</f>
        <v>9953</v>
      </c>
      <c r="J81" s="204">
        <f t="shared" si="9"/>
        <v>429094.99999999627</v>
      </c>
      <c r="K81" s="203">
        <f>(SUM('PRs Analysis'!H23))*1000</f>
        <v>16207.999999999998</v>
      </c>
      <c r="L81" s="204">
        <f t="shared" si="5"/>
        <v>29347295</v>
      </c>
      <c r="M81" s="204">
        <f t="shared" ca="1" si="10"/>
        <v>2595633</v>
      </c>
      <c r="N81" s="204">
        <f t="shared" ca="1" si="11"/>
        <v>2595583</v>
      </c>
      <c r="O81" s="204">
        <f t="shared" ca="1" si="12"/>
        <v>50.000000000000043</v>
      </c>
      <c r="P81" s="205">
        <f t="shared" si="6"/>
        <v>8.1549568523891711E-2</v>
      </c>
    </row>
    <row r="82" spans="1:16">
      <c r="A82" s="199">
        <v>2015</v>
      </c>
      <c r="B82" s="200">
        <f t="shared" si="3"/>
        <v>8.2172891322468522E-2</v>
      </c>
      <c r="C82" s="201">
        <f t="shared" si="7"/>
        <v>2.6975117405643956E-2</v>
      </c>
      <c r="D82" s="201">
        <f t="shared" si="8"/>
        <v>-6.6047958658202524E-3</v>
      </c>
      <c r="E82" s="202">
        <f t="shared" si="4"/>
        <v>0.33058209225583407</v>
      </c>
      <c r="F82" s="203">
        <f>(SUM('PRs Analysis'!B24))*1000</f>
        <v>29940531.000000004</v>
      </c>
      <c r="G82" s="204">
        <v>2539460</v>
      </c>
      <c r="H82" s="204">
        <v>2529449</v>
      </c>
      <c r="I82" s="203">
        <f>(SUM('PRs Analysis'!I24))*1000</f>
        <v>8395.0000000000036</v>
      </c>
      <c r="J82" s="204">
        <f t="shared" si="9"/>
        <v>577028.00000000373</v>
      </c>
      <c r="K82" s="203">
        <f>(SUM('PRs Analysis'!H24))*1000</f>
        <v>24603</v>
      </c>
      <c r="L82" s="204">
        <f t="shared" si="5"/>
        <v>29915928.000000004</v>
      </c>
      <c r="M82" s="204">
        <f t="shared" ca="1" si="10"/>
        <v>2437477</v>
      </c>
      <c r="N82" s="204">
        <f t="shared" ca="1" si="11"/>
        <v>2437312</v>
      </c>
      <c r="O82" s="204">
        <f t="shared" ca="1" si="12"/>
        <v>164.99999999999991</v>
      </c>
      <c r="P82" s="205">
        <f t="shared" si="6"/>
        <v>8.4816799007338906E-2</v>
      </c>
    </row>
    <row r="83" spans="1:16">
      <c r="A83" s="199">
        <v>2016</v>
      </c>
      <c r="B83" s="200">
        <f t="shared" si="3"/>
        <v>0.10975423442104723</v>
      </c>
      <c r="C83" s="201">
        <f t="shared" si="7"/>
        <v>2.7581343098578709E-2</v>
      </c>
      <c r="D83" s="201">
        <f t="shared" si="8"/>
        <v>6.0622569293475315E-4</v>
      </c>
      <c r="E83" s="202">
        <f t="shared" si="4"/>
        <v>0.34142267826006256</v>
      </c>
      <c r="F83" s="203">
        <f>(SUM('PRs Analysis'!B25))*1000</f>
        <v>30462606</v>
      </c>
      <c r="G83" s="204">
        <v>2586530</v>
      </c>
      <c r="H83" s="204">
        <v>2575532</v>
      </c>
      <c r="I83" s="203">
        <f>(SUM('PRs Analysis'!I25))*1000</f>
        <v>8830.9999999999964</v>
      </c>
      <c r="J83" s="204">
        <f t="shared" si="9"/>
        <v>522074.99999999627</v>
      </c>
      <c r="K83" s="203">
        <f>(SUM('PRs Analysis'!H25))*1000</f>
        <v>33434</v>
      </c>
      <c r="L83" s="204">
        <f t="shared" si="5"/>
        <v>30429172</v>
      </c>
      <c r="M83" s="204">
        <f t="shared" ca="1" si="10"/>
        <v>2330988</v>
      </c>
      <c r="N83" s="204">
        <f t="shared" ca="1" si="11"/>
        <v>2330745</v>
      </c>
      <c r="O83" s="204">
        <f t="shared" ca="1" si="12"/>
        <v>243.00000000000011</v>
      </c>
      <c r="P83" s="205">
        <f t="shared" si="6"/>
        <v>8.4908362731671738E-2</v>
      </c>
    </row>
    <row r="84" spans="1:16">
      <c r="A84" s="206">
        <v>2017</v>
      </c>
      <c r="B84" s="207">
        <f t="shared" ref="B84:B91" si="13">IF($C$63/(1+POWER(81,($C$64+$C$65/2-$A84)/$C$65))-B83&lt;C83,B83+C83,($C$63/(1+POWER(81,($C$64+$C$65/2-$A84)/$C$65))))</f>
        <v>0.13733557751962594</v>
      </c>
      <c r="C84" s="208">
        <f t="shared" si="7"/>
        <v>2.7581343098578709E-2</v>
      </c>
      <c r="D84" s="208">
        <f t="shared" si="8"/>
        <v>0</v>
      </c>
      <c r="E84" s="209">
        <f t="shared" si="4"/>
        <v>0.3294344528854305</v>
      </c>
      <c r="F84" s="210">
        <f>IF($J$63=1,'Nº Cars Projection'!B5, IF($J$63=2,'Nº Cars Projection'!D5, IF($J$63=3,'Nº Cars Projection'!F5)))</f>
        <v>30812830</v>
      </c>
      <c r="G84" s="210">
        <f t="shared" ref="G84:G117" si="14">SUM($P$85*F84)</f>
        <v>2579752.1437860662</v>
      </c>
      <c r="H84" s="210">
        <f t="shared" ref="H84:H117" si="15">SUM(G84-I84)</f>
        <v>2571253.5514253844</v>
      </c>
      <c r="I84" s="210">
        <f t="shared" ref="I84:I117" si="16">SUM(IF(C84&lt;C83,(G84*$C$63)/100,(C84*F84)/100))</f>
        <v>8498.5923606817905</v>
      </c>
      <c r="J84" s="210">
        <f t="shared" si="9"/>
        <v>350224</v>
      </c>
      <c r="K84" s="210">
        <f t="shared" ref="K84:K117" si="17">SUM(F84*B84)/100</f>
        <v>42316.978030640559</v>
      </c>
      <c r="L84" s="210">
        <f t="shared" si="5"/>
        <v>30770513.021969359</v>
      </c>
      <c r="M84" s="210">
        <f t="shared" ca="1" si="10"/>
        <v>2373887</v>
      </c>
      <c r="N84" s="211">
        <f t="shared" ca="1" si="11"/>
        <v>2373502</v>
      </c>
      <c r="O84" s="211">
        <f t="shared" ca="1" si="12"/>
        <v>384.99999999999989</v>
      </c>
      <c r="P84" s="212" t="s">
        <v>65</v>
      </c>
    </row>
    <row r="85" spans="1:16">
      <c r="A85" s="206">
        <v>2018</v>
      </c>
      <c r="B85" s="207">
        <f t="shared" si="13"/>
        <v>0.16491692061820465</v>
      </c>
      <c r="C85" s="208">
        <f t="shared" si="7"/>
        <v>2.7581343098578709E-2</v>
      </c>
      <c r="D85" s="208">
        <f t="shared" si="8"/>
        <v>0</v>
      </c>
      <c r="E85" s="209">
        <f t="shared" si="4"/>
        <v>0.32943445288543044</v>
      </c>
      <c r="F85" s="210">
        <f>IF($J$63=1,'Nº Cars Projection'!B6, IF($J$63=2,'Nº Cars Projection'!D6, IF($J$63=3,'Nº Cars Projection'!F6)))</f>
        <v>30775220</v>
      </c>
      <c r="G85" s="210">
        <f t="shared" si="14"/>
        <v>2576603.310065574</v>
      </c>
      <c r="H85" s="210">
        <f t="shared" si="15"/>
        <v>2568115.0910480316</v>
      </c>
      <c r="I85" s="210">
        <f t="shared" si="16"/>
        <v>8488.2190175424148</v>
      </c>
      <c r="J85" s="210">
        <f t="shared" si="9"/>
        <v>-37610</v>
      </c>
      <c r="K85" s="210">
        <f t="shared" si="17"/>
        <v>50753.545137477842</v>
      </c>
      <c r="L85" s="210">
        <f t="shared" si="5"/>
        <v>30724466.454862524</v>
      </c>
      <c r="M85" s="210">
        <f t="shared" ca="1" si="10"/>
        <v>2096430</v>
      </c>
      <c r="N85" s="211">
        <f t="shared" ca="1" si="11"/>
        <v>2096297</v>
      </c>
      <c r="O85" s="211">
        <f t="shared" ca="1" si="12"/>
        <v>133</v>
      </c>
      <c r="P85" s="212">
        <f>AVERAGE(P68:P83)</f>
        <v>8.3723310834677184E-2</v>
      </c>
    </row>
    <row r="86" spans="1:16">
      <c r="A86" s="206">
        <v>2019</v>
      </c>
      <c r="B86" s="207">
        <f t="shared" si="13"/>
        <v>0.19249826371678336</v>
      </c>
      <c r="C86" s="208">
        <f t="shared" si="7"/>
        <v>2.7581343098578709E-2</v>
      </c>
      <c r="D86" s="208">
        <f t="shared" si="8"/>
        <v>0</v>
      </c>
      <c r="E86" s="209">
        <f t="shared" si="4"/>
        <v>0.32943445288543044</v>
      </c>
      <c r="F86" s="210">
        <f>IF($J$63=1,'Nº Cars Projection'!B7, IF($J$63=2,'Nº Cars Projection'!D7, IF($J$63=3,'Nº Cars Projection'!F7)))</f>
        <v>30737610</v>
      </c>
      <c r="G86" s="210">
        <f t="shared" si="14"/>
        <v>2573454.4763450818</v>
      </c>
      <c r="H86" s="210">
        <f t="shared" si="15"/>
        <v>2564976.6306706788</v>
      </c>
      <c r="I86" s="210">
        <f t="shared" si="16"/>
        <v>8477.8456744030391</v>
      </c>
      <c r="J86" s="210">
        <f t="shared" si="9"/>
        <v>-37610</v>
      </c>
      <c r="K86" s="210">
        <f t="shared" si="17"/>
        <v>59169.36555803637</v>
      </c>
      <c r="L86" s="210">
        <f t="shared" si="5"/>
        <v>30678440.634441964</v>
      </c>
      <c r="M86" s="210">
        <f t="shared" ca="1" si="10"/>
        <v>1953472</v>
      </c>
      <c r="N86" s="211">
        <f t="shared" ca="1" si="11"/>
        <v>1953344</v>
      </c>
      <c r="O86" s="211">
        <f t="shared" ca="1" si="12"/>
        <v>128.00000000000011</v>
      </c>
      <c r="P86" s="213"/>
    </row>
    <row r="87" spans="1:16">
      <c r="A87" s="206">
        <v>2020</v>
      </c>
      <c r="B87" s="207">
        <f t="shared" si="13"/>
        <v>0.22007960681536207</v>
      </c>
      <c r="C87" s="208">
        <f t="shared" si="7"/>
        <v>2.7581343098578709E-2</v>
      </c>
      <c r="D87" s="208">
        <f t="shared" si="8"/>
        <v>0</v>
      </c>
      <c r="E87" s="209">
        <f t="shared" si="4"/>
        <v>0.32943445288543044</v>
      </c>
      <c r="F87" s="210">
        <f>IF($J$63=1,'Nº Cars Projection'!B8, IF($J$63=2,'Nº Cars Projection'!D8, IF($J$63=3,'Nº Cars Projection'!F8)))</f>
        <v>30700000</v>
      </c>
      <c r="G87" s="210">
        <f t="shared" si="14"/>
        <v>2570305.6426245896</v>
      </c>
      <c r="H87" s="210">
        <f t="shared" si="15"/>
        <v>2561838.170293326</v>
      </c>
      <c r="I87" s="210">
        <f t="shared" si="16"/>
        <v>8467.4723312636634</v>
      </c>
      <c r="J87" s="210">
        <f t="shared" si="9"/>
        <v>-37610</v>
      </c>
      <c r="K87" s="210">
        <f t="shared" si="17"/>
        <v>67564.43929231615</v>
      </c>
      <c r="L87" s="210">
        <f t="shared" si="5"/>
        <v>30632435.560707685</v>
      </c>
      <c r="M87" s="210">
        <f t="shared" ca="1" si="10"/>
        <v>1974110</v>
      </c>
      <c r="N87" s="211">
        <f t="shared" ca="1" si="11"/>
        <v>1974020</v>
      </c>
      <c r="O87" s="211">
        <f t="shared" ca="1" si="12"/>
        <v>89.999999999999858</v>
      </c>
      <c r="P87" s="307" t="s">
        <v>66</v>
      </c>
    </row>
    <row r="88" spans="1:16">
      <c r="A88" s="206">
        <v>2021</v>
      </c>
      <c r="B88" s="207">
        <f t="shared" si="13"/>
        <v>0.24766094991394078</v>
      </c>
      <c r="C88" s="208">
        <f t="shared" si="7"/>
        <v>2.7581343098578709E-2</v>
      </c>
      <c r="D88" s="208">
        <f t="shared" si="8"/>
        <v>0</v>
      </c>
      <c r="E88" s="209">
        <f t="shared" si="4"/>
        <v>0.32943445288543044</v>
      </c>
      <c r="F88" s="210">
        <f>IF($J$63=1,'Nº Cars Projection'!B9, IF($J$63=2,'Nº Cars Projection'!D9, IF($J$63=3,'Nº Cars Projection'!F9)))</f>
        <v>30720000</v>
      </c>
      <c r="G88" s="210">
        <f t="shared" si="14"/>
        <v>2571980.1088412832</v>
      </c>
      <c r="H88" s="210">
        <f t="shared" si="15"/>
        <v>2563507.1202413999</v>
      </c>
      <c r="I88" s="210">
        <f t="shared" si="16"/>
        <v>8472.9885998833797</v>
      </c>
      <c r="J88" s="210">
        <f t="shared" si="9"/>
        <v>20000</v>
      </c>
      <c r="K88" s="210">
        <f t="shared" si="17"/>
        <v>76081.443813562611</v>
      </c>
      <c r="L88" s="210">
        <f t="shared" si="5"/>
        <v>30643918.556186438</v>
      </c>
      <c r="M88" s="210">
        <f t="shared" ca="1" si="10"/>
        <v>1884112</v>
      </c>
      <c r="N88" s="211">
        <f t="shared" ca="1" si="11"/>
        <v>1883045</v>
      </c>
      <c r="O88" s="211">
        <f t="shared" ca="1" si="12"/>
        <v>1067</v>
      </c>
      <c r="P88" s="307">
        <f>SUM($C$63*P85)/100</f>
        <v>8.3723310834677184E-2</v>
      </c>
    </row>
    <row r="89" spans="1:16">
      <c r="A89" s="206">
        <v>2022</v>
      </c>
      <c r="B89" s="207">
        <f t="shared" si="13"/>
        <v>0.27670019101045618</v>
      </c>
      <c r="C89" s="208">
        <f t="shared" si="7"/>
        <v>2.90392410965154E-2</v>
      </c>
      <c r="D89" s="208">
        <f t="shared" si="8"/>
        <v>1.4578979979366913E-3</v>
      </c>
      <c r="E89" s="209">
        <f t="shared" si="4"/>
        <v>0.34684773938117719</v>
      </c>
      <c r="F89" s="210">
        <f>IF($J$63=1,'Nº Cars Projection'!B10, IF($J$63=2,'Nº Cars Projection'!D10, IF($J$63=3,'Nº Cars Projection'!F10)))</f>
        <v>30740000</v>
      </c>
      <c r="G89" s="210">
        <f t="shared" si="14"/>
        <v>2573654.5750579764</v>
      </c>
      <c r="H89" s="210">
        <f t="shared" si="15"/>
        <v>2564727.9123449074</v>
      </c>
      <c r="I89" s="210">
        <f t="shared" si="16"/>
        <v>8926.6627130688339</v>
      </c>
      <c r="J89" s="210">
        <f t="shared" si="9"/>
        <v>20000</v>
      </c>
      <c r="K89" s="210">
        <f t="shared" si="17"/>
        <v>85057.638716614223</v>
      </c>
      <c r="L89" s="210">
        <f t="shared" si="5"/>
        <v>30654942.361283384</v>
      </c>
      <c r="M89" s="210">
        <f t="shared" ca="1" si="10"/>
        <v>1985160</v>
      </c>
      <c r="N89" s="211">
        <f t="shared" ca="1" si="11"/>
        <v>1983638</v>
      </c>
      <c r="O89" s="211">
        <f t="shared" ca="1" si="12"/>
        <v>1521.9999999999998</v>
      </c>
      <c r="P89" s="213"/>
    </row>
    <row r="90" spans="1:16">
      <c r="A90" s="206">
        <v>2023</v>
      </c>
      <c r="B90" s="207">
        <f t="shared" si="13"/>
        <v>0.3865597543824334</v>
      </c>
      <c r="C90" s="208">
        <f t="shared" si="7"/>
        <v>0.10985956337197722</v>
      </c>
      <c r="D90" s="208">
        <f t="shared" si="8"/>
        <v>8.082032227546182E-2</v>
      </c>
      <c r="E90" s="209">
        <f t="shared" si="4"/>
        <v>1.3121741397555282</v>
      </c>
      <c r="F90" s="210">
        <f>IF($J$63=1,'Nº Cars Projection'!B11, IF($J$63=2,'Nº Cars Projection'!D11, IF($J$63=3,'Nº Cars Projection'!F11)))</f>
        <v>30760000</v>
      </c>
      <c r="G90" s="210">
        <f t="shared" si="14"/>
        <v>2575329.04127467</v>
      </c>
      <c r="H90" s="210">
        <f t="shared" si="15"/>
        <v>2541536.2395814499</v>
      </c>
      <c r="I90" s="210">
        <f t="shared" si="16"/>
        <v>33792.801693220194</v>
      </c>
      <c r="J90" s="210">
        <f t="shared" si="9"/>
        <v>20000</v>
      </c>
      <c r="K90" s="210">
        <f t="shared" si="17"/>
        <v>118905.78044803652</v>
      </c>
      <c r="L90" s="210">
        <f t="shared" si="5"/>
        <v>30641094.219551962</v>
      </c>
      <c r="M90" s="210">
        <f t="shared" ca="1" si="10"/>
        <v>2194954</v>
      </c>
      <c r="N90" s="211">
        <f t="shared" ca="1" si="11"/>
        <v>2192831</v>
      </c>
      <c r="O90" s="211">
        <f t="shared" ca="1" si="12"/>
        <v>2123</v>
      </c>
      <c r="P90" s="213"/>
    </row>
    <row r="91" spans="1:16">
      <c r="A91" s="206">
        <v>2024</v>
      </c>
      <c r="B91" s="207">
        <f t="shared" si="13"/>
        <v>0.53980126689448049</v>
      </c>
      <c r="C91" s="208">
        <f t="shared" si="7"/>
        <v>0.1532415125120471</v>
      </c>
      <c r="D91" s="208">
        <f t="shared" si="8"/>
        <v>4.3381949140069875E-2</v>
      </c>
      <c r="E91" s="209">
        <f t="shared" si="4"/>
        <v>1.8303326873281782</v>
      </c>
      <c r="F91" s="210">
        <f>IF($J$63=1,'Nº Cars Projection'!B12, IF($J$63=2,'Nº Cars Projection'!D12, IF($J$63=3,'Nº Cars Projection'!F12)))</f>
        <v>30780000</v>
      </c>
      <c r="G91" s="210">
        <f t="shared" si="14"/>
        <v>2577003.5074913637</v>
      </c>
      <c r="H91" s="210">
        <f t="shared" si="15"/>
        <v>2529835.7699401556</v>
      </c>
      <c r="I91" s="210">
        <f t="shared" si="16"/>
        <v>47167.737551208091</v>
      </c>
      <c r="J91" s="210">
        <f t="shared" si="9"/>
        <v>20000</v>
      </c>
      <c r="K91" s="210">
        <f t="shared" si="17"/>
        <v>166150.82995012111</v>
      </c>
      <c r="L91" s="210">
        <f t="shared" si="5"/>
        <v>30613849.17004988</v>
      </c>
      <c r="M91" s="210">
        <f t="shared" ca="1" si="10"/>
        <v>2397363</v>
      </c>
      <c r="N91" s="211">
        <f t="shared" ca="1" si="11"/>
        <v>2387410</v>
      </c>
      <c r="O91" s="211">
        <f t="shared" ca="1" si="12"/>
        <v>9953</v>
      </c>
      <c r="P91" s="213"/>
    </row>
    <row r="92" spans="1:16">
      <c r="A92" s="206">
        <v>2025</v>
      </c>
      <c r="B92" s="207">
        <f t="shared" ref="B92:B117" si="18">$C$63/(1+POWER(81,($C$64+$C$65/2-$A92 )/$C$65))</f>
        <v>0.75333195784742957</v>
      </c>
      <c r="C92" s="208">
        <f t="shared" si="7"/>
        <v>0.21353069095294908</v>
      </c>
      <c r="D92" s="208">
        <f t="shared" si="8"/>
        <v>6.028917844090198E-2</v>
      </c>
      <c r="E92" s="209">
        <f t="shared" si="4"/>
        <v>2.550432953787432</v>
      </c>
      <c r="F92" s="210">
        <f>IF($J$63=1,'Nº Cars Projection'!B13, IF($J$63=2,'Nº Cars Projection'!D13, IF($J$63=3,'Nº Cars Projection'!F13)))</f>
        <v>30800000</v>
      </c>
      <c r="G92" s="210">
        <f t="shared" si="14"/>
        <v>2578677.9737080573</v>
      </c>
      <c r="H92" s="210">
        <f t="shared" si="15"/>
        <v>2512910.5208945489</v>
      </c>
      <c r="I92" s="210">
        <f t="shared" si="16"/>
        <v>65767.452813508309</v>
      </c>
      <c r="J92" s="210">
        <f t="shared" si="9"/>
        <v>20000</v>
      </c>
      <c r="K92" s="210">
        <f t="shared" si="17"/>
        <v>232026.2430170083</v>
      </c>
      <c r="L92" s="210">
        <f t="shared" si="5"/>
        <v>30567973.756982993</v>
      </c>
      <c r="M92" s="210">
        <f t="shared" ca="1" si="10"/>
        <v>2537844</v>
      </c>
      <c r="N92" s="211">
        <f t="shared" ca="1" si="11"/>
        <v>2529449</v>
      </c>
      <c r="O92" s="211">
        <f t="shared" ca="1" si="12"/>
        <v>8395.0000000000036</v>
      </c>
      <c r="P92" s="213"/>
    </row>
    <row r="93" spans="1:16">
      <c r="A93" s="206">
        <v>2026</v>
      </c>
      <c r="B93" s="207">
        <f t="shared" si="18"/>
        <v>1.0504374912812346</v>
      </c>
      <c r="C93" s="208">
        <f t="shared" si="7"/>
        <v>0.29710553343380508</v>
      </c>
      <c r="D93" s="208">
        <f t="shared" si="8"/>
        <v>8.3574842480856004E-2</v>
      </c>
      <c r="E93" s="209">
        <f t="shared" si="4"/>
        <v>3.5486596322078028</v>
      </c>
      <c r="F93" s="210">
        <f>IF($J$63=1,'Nº Cars Projection'!B14, IF($J$63=2,'Nº Cars Projection'!D14, IF($J$63=3,'Nº Cars Projection'!F14)))</f>
        <v>30840000</v>
      </c>
      <c r="G93" s="210">
        <f t="shared" si="14"/>
        <v>2582026.9061414446</v>
      </c>
      <c r="H93" s="210">
        <f t="shared" si="15"/>
        <v>2490399.5596304592</v>
      </c>
      <c r="I93" s="210">
        <f t="shared" si="16"/>
        <v>91627.346510985488</v>
      </c>
      <c r="J93" s="210">
        <f t="shared" si="9"/>
        <v>40000</v>
      </c>
      <c r="K93" s="210">
        <f t="shared" si="17"/>
        <v>323954.92231113277</v>
      </c>
      <c r="L93" s="210">
        <f t="shared" si="5"/>
        <v>30516045.077688865</v>
      </c>
      <c r="M93" s="210">
        <f t="shared" ca="1" si="10"/>
        <v>2584363</v>
      </c>
      <c r="N93" s="211">
        <f t="shared" ca="1" si="11"/>
        <v>2575532</v>
      </c>
      <c r="O93" s="211">
        <f t="shared" ca="1" si="12"/>
        <v>8830.9999999999964</v>
      </c>
      <c r="P93" s="213"/>
    </row>
    <row r="94" spans="1:16">
      <c r="A94" s="206">
        <v>2027</v>
      </c>
      <c r="B94" s="207">
        <f t="shared" si="18"/>
        <v>1.4629907869622472</v>
      </c>
      <c r="C94" s="208">
        <f t="shared" si="7"/>
        <v>0.41255329568101251</v>
      </c>
      <c r="D94" s="208">
        <f t="shared" si="8"/>
        <v>0.11544776224720743</v>
      </c>
      <c r="E94" s="209">
        <f t="shared" si="4"/>
        <v>4.9275798050515931</v>
      </c>
      <c r="F94" s="210">
        <f>IF($J$63=1,'Nº Cars Projection'!B15, IF($J$63=2,'Nº Cars Projection'!D15, IF($J$63=3,'Nº Cars Projection'!F15)))</f>
        <v>30880000</v>
      </c>
      <c r="G94" s="210">
        <f t="shared" si="14"/>
        <v>2585375.8385748314</v>
      </c>
      <c r="H94" s="210">
        <f t="shared" si="15"/>
        <v>2457979.3808685346</v>
      </c>
      <c r="I94" s="210">
        <f t="shared" si="16"/>
        <v>127396.45770629667</v>
      </c>
      <c r="J94" s="210">
        <f t="shared" si="9"/>
        <v>40000</v>
      </c>
      <c r="K94" s="210">
        <f t="shared" si="17"/>
        <v>451771.55501394189</v>
      </c>
      <c r="L94" s="210">
        <f t="shared" si="5"/>
        <v>30428228.444986057</v>
      </c>
      <c r="M94" s="210">
        <f t="shared" ca="1" si="10"/>
        <v>2579752.1437860662</v>
      </c>
      <c r="N94" s="211">
        <f t="shared" ca="1" si="11"/>
        <v>2571253.5514253844</v>
      </c>
      <c r="O94" s="211">
        <f t="shared" ca="1" si="12"/>
        <v>8498.5923606817905</v>
      </c>
      <c r="P94" s="213"/>
    </row>
    <row r="95" spans="1:16">
      <c r="A95" s="206">
        <v>2028</v>
      </c>
      <c r="B95" s="207">
        <f t="shared" si="18"/>
        <v>2.0342409925254286</v>
      </c>
      <c r="C95" s="208">
        <f t="shared" si="7"/>
        <v>0.5712502055631814</v>
      </c>
      <c r="D95" s="208">
        <f t="shared" si="8"/>
        <v>0.15869690988216889</v>
      </c>
      <c r="E95" s="209">
        <f t="shared" si="4"/>
        <v>6.8230723303715362</v>
      </c>
      <c r="F95" s="210">
        <f>IF($J$63=1,'Nº Cars Projection'!B16, IF($J$63=2,'Nº Cars Projection'!D16, IF($J$63=3,'Nº Cars Projection'!F16)))</f>
        <v>30920000</v>
      </c>
      <c r="G95" s="210">
        <f t="shared" si="14"/>
        <v>2588724.7710082186</v>
      </c>
      <c r="H95" s="210">
        <f t="shared" si="15"/>
        <v>2412094.207448083</v>
      </c>
      <c r="I95" s="210">
        <f t="shared" si="16"/>
        <v>176630.56356013569</v>
      </c>
      <c r="J95" s="210">
        <f t="shared" si="9"/>
        <v>40000</v>
      </c>
      <c r="K95" s="210">
        <f t="shared" si="17"/>
        <v>628987.31488886254</v>
      </c>
      <c r="L95" s="210">
        <f t="shared" si="5"/>
        <v>30291012.685111139</v>
      </c>
      <c r="M95" s="210">
        <f t="shared" ca="1" si="10"/>
        <v>2576603.310065574</v>
      </c>
      <c r="N95" s="211">
        <f t="shared" ca="1" si="11"/>
        <v>2568115.0910480316</v>
      </c>
      <c r="O95" s="211">
        <f t="shared" ca="1" si="12"/>
        <v>8488.2190175424148</v>
      </c>
      <c r="P95" s="213"/>
    </row>
    <row r="96" spans="1:16">
      <c r="A96" s="206">
        <v>2029</v>
      </c>
      <c r="B96" s="207">
        <f t="shared" si="18"/>
        <v>2.8221573661452535</v>
      </c>
      <c r="C96" s="208">
        <f t="shared" si="7"/>
        <v>0.78791637361982492</v>
      </c>
      <c r="D96" s="208">
        <f t="shared" si="8"/>
        <v>0.21666616805664352</v>
      </c>
      <c r="E96" s="209">
        <f t="shared" si="4"/>
        <v>9.4109557513279736</v>
      </c>
      <c r="F96" s="210">
        <f>IF($J$63=1,'Nº Cars Projection'!B17, IF($J$63=2,'Nº Cars Projection'!D17, IF($J$63=3,'Nº Cars Projection'!F17)))</f>
        <v>30960000</v>
      </c>
      <c r="G96" s="210">
        <f t="shared" si="14"/>
        <v>2592073.7034416054</v>
      </c>
      <c r="H96" s="210">
        <f t="shared" si="15"/>
        <v>2348134.7941689077</v>
      </c>
      <c r="I96" s="210">
        <f t="shared" si="16"/>
        <v>243938.90927269778</v>
      </c>
      <c r="J96" s="210">
        <f t="shared" si="9"/>
        <v>40000</v>
      </c>
      <c r="K96" s="210">
        <f t="shared" si="17"/>
        <v>873739.92055857042</v>
      </c>
      <c r="L96" s="210">
        <f t="shared" si="5"/>
        <v>30086260.079441428</v>
      </c>
      <c r="M96" s="210">
        <f t="shared" ca="1" si="10"/>
        <v>2573454.4763450818</v>
      </c>
      <c r="N96" s="211">
        <f t="shared" ca="1" si="11"/>
        <v>2564976.6306706788</v>
      </c>
      <c r="O96" s="211">
        <f t="shared" ca="1" si="12"/>
        <v>8477.8456744030391</v>
      </c>
      <c r="P96" s="213"/>
    </row>
    <row r="97" spans="1:16">
      <c r="A97" s="206">
        <v>2030</v>
      </c>
      <c r="B97" s="207">
        <f t="shared" si="18"/>
        <v>3.9030961331001874</v>
      </c>
      <c r="C97" s="208">
        <f t="shared" si="7"/>
        <v>1.080938766954934</v>
      </c>
      <c r="D97" s="208">
        <f t="shared" si="8"/>
        <v>0.29302239333510904</v>
      </c>
      <c r="E97" s="209">
        <f t="shared" si="4"/>
        <v>12.910845930225948</v>
      </c>
      <c r="F97" s="210">
        <f>IF($J$63=1,'Nº Cars Projection'!B18, IF($J$63=2,'Nº Cars Projection'!D18, IF($J$63=3,'Nº Cars Projection'!F18)))</f>
        <v>31000000</v>
      </c>
      <c r="G97" s="210">
        <f t="shared" si="14"/>
        <v>2595422.6358749927</v>
      </c>
      <c r="H97" s="210">
        <f t="shared" si="15"/>
        <v>2260331.6181189632</v>
      </c>
      <c r="I97" s="210">
        <f t="shared" si="16"/>
        <v>335091.0177560295</v>
      </c>
      <c r="J97" s="210">
        <f t="shared" si="9"/>
        <v>40000</v>
      </c>
      <c r="K97" s="210">
        <f t="shared" si="17"/>
        <v>1209959.8012610581</v>
      </c>
      <c r="L97" s="210">
        <f t="shared" si="5"/>
        <v>29790040.19873894</v>
      </c>
      <c r="M97" s="210">
        <f t="shared" ca="1" si="10"/>
        <v>2570305.6426245896</v>
      </c>
      <c r="N97" s="211">
        <f t="shared" ca="1" si="11"/>
        <v>2561838.170293326</v>
      </c>
      <c r="O97" s="211">
        <f t="shared" ca="1" si="12"/>
        <v>8467.4723312636634</v>
      </c>
      <c r="P97" s="215"/>
    </row>
    <row r="98" spans="1:16">
      <c r="A98" s="206">
        <v>2031</v>
      </c>
      <c r="B98" s="207">
        <f t="shared" si="18"/>
        <v>5.3751540726730846</v>
      </c>
      <c r="C98" s="208">
        <f t="shared" si="7"/>
        <v>1.4720579395728972</v>
      </c>
      <c r="D98" s="208">
        <f t="shared" si="8"/>
        <v>0.39111917261796325</v>
      </c>
      <c r="E98" s="209">
        <f t="shared" si="4"/>
        <v>17.582414322812333</v>
      </c>
      <c r="F98" s="210">
        <f>IF($J$63=1,'Nº Cars Projection'!B19, IF($J$63=2,'Nº Cars Projection'!D19, IF($J$63=3,'Nº Cars Projection'!F19)))</f>
        <v>30200000</v>
      </c>
      <c r="G98" s="210">
        <f t="shared" si="14"/>
        <v>2528443.9872072511</v>
      </c>
      <c r="H98" s="210">
        <f t="shared" si="15"/>
        <v>2083882.4894562361</v>
      </c>
      <c r="I98" s="210">
        <f t="shared" si="16"/>
        <v>444561.49775101501</v>
      </c>
      <c r="J98" s="210">
        <f t="shared" si="9"/>
        <v>-800000</v>
      </c>
      <c r="K98" s="210">
        <f t="shared" si="17"/>
        <v>1623296.5299472716</v>
      </c>
      <c r="L98" s="210">
        <f t="shared" si="5"/>
        <v>28576703.470052727</v>
      </c>
      <c r="M98" s="210">
        <f t="shared" ca="1" si="10"/>
        <v>2571980.1088412832</v>
      </c>
      <c r="N98" s="211">
        <f t="shared" ca="1" si="11"/>
        <v>2563507.1202413999</v>
      </c>
      <c r="O98" s="211">
        <f t="shared" ca="1" si="12"/>
        <v>8472.9885998833797</v>
      </c>
      <c r="P98" s="213"/>
    </row>
    <row r="99" spans="1:16">
      <c r="A99" s="206">
        <v>2032</v>
      </c>
      <c r="B99" s="207">
        <f t="shared" si="18"/>
        <v>7.359879792862535</v>
      </c>
      <c r="C99" s="208">
        <f t="shared" si="7"/>
        <v>1.9847257201894504</v>
      </c>
      <c r="D99" s="208">
        <f t="shared" si="8"/>
        <v>0.51266778061655316</v>
      </c>
      <c r="E99" s="209">
        <f t="shared" si="4"/>
        <v>23.7057720293522</v>
      </c>
      <c r="F99" s="210">
        <f>IF($J$63=1,'Nº Cars Projection'!B20, IF($J$63=2,'Nº Cars Projection'!D20, IF($J$63=3,'Nº Cars Projection'!F20)))</f>
        <v>29400000</v>
      </c>
      <c r="G99" s="210">
        <f t="shared" si="14"/>
        <v>2461465.3385395091</v>
      </c>
      <c r="H99" s="210">
        <f t="shared" si="15"/>
        <v>1877955.9768038108</v>
      </c>
      <c r="I99" s="210">
        <f t="shared" si="16"/>
        <v>583509.36173569842</v>
      </c>
      <c r="J99" s="210">
        <f t="shared" si="9"/>
        <v>-800000</v>
      </c>
      <c r="K99" s="210">
        <f t="shared" si="17"/>
        <v>2163804.6591015849</v>
      </c>
      <c r="L99" s="210">
        <f t="shared" si="5"/>
        <v>27236195.340898417</v>
      </c>
      <c r="M99" s="210">
        <f t="shared" ca="1" si="10"/>
        <v>2573654.5750579764</v>
      </c>
      <c r="N99" s="211">
        <f t="shared" ca="1" si="11"/>
        <v>2564727.9123449074</v>
      </c>
      <c r="O99" s="211">
        <f t="shared" ca="1" si="12"/>
        <v>8926.6627130688339</v>
      </c>
      <c r="P99" s="213"/>
    </row>
    <row r="100" spans="1:16">
      <c r="A100" s="206">
        <v>2033</v>
      </c>
      <c r="B100" s="207">
        <f t="shared" si="18"/>
        <v>10.000000000000135</v>
      </c>
      <c r="C100" s="208">
        <f t="shared" si="7"/>
        <v>2.6401202071376</v>
      </c>
      <c r="D100" s="208">
        <f t="shared" si="8"/>
        <v>0.65539448694814961</v>
      </c>
      <c r="E100" s="209">
        <f t="shared" ref="E100:E117" si="19">(SUM(I100/G100))*100</f>
        <v>31.5338724761001</v>
      </c>
      <c r="F100" s="210">
        <f>IF($J$63=1,'Nº Cars Projection'!B21, IF($J$63=2,'Nº Cars Projection'!D21, IF($J$63=3,'Nº Cars Projection'!F21)))</f>
        <v>28600000</v>
      </c>
      <c r="G100" s="210">
        <f t="shared" si="14"/>
        <v>2394486.6898717675</v>
      </c>
      <c r="H100" s="210">
        <f t="shared" si="15"/>
        <v>1639412.3106304139</v>
      </c>
      <c r="I100" s="210">
        <f t="shared" si="16"/>
        <v>755074.3792413536</v>
      </c>
      <c r="J100" s="210">
        <f t="shared" si="9"/>
        <v>-800000</v>
      </c>
      <c r="K100" s="210">
        <f t="shared" si="17"/>
        <v>2860000.0000000386</v>
      </c>
      <c r="L100" s="210">
        <f t="shared" ref="L100:L117" si="20">SUM(F100-K100)</f>
        <v>25739999.999999963</v>
      </c>
      <c r="M100" s="210">
        <f t="shared" ca="1" si="10"/>
        <v>2575329.04127467</v>
      </c>
      <c r="N100" s="211">
        <f t="shared" ca="1" si="11"/>
        <v>2541536.2395814499</v>
      </c>
      <c r="O100" s="211">
        <f t="shared" ca="1" si="12"/>
        <v>33792.801693220194</v>
      </c>
      <c r="P100" s="213"/>
    </row>
    <row r="101" spans="1:16">
      <c r="A101" s="206">
        <v>2034</v>
      </c>
      <c r="B101" s="207">
        <f t="shared" si="18"/>
        <v>13.449682579183211</v>
      </c>
      <c r="C101" s="208">
        <f t="shared" ref="C101:C117" si="21">SUM((B101-B100)/(A101-A100))</f>
        <v>3.4496825791830759</v>
      </c>
      <c r="D101" s="208">
        <f t="shared" si="8"/>
        <v>0.80956237204547588</v>
      </c>
      <c r="E101" s="209">
        <f t="shared" si="19"/>
        <v>41.20337030143174</v>
      </c>
      <c r="F101" s="210">
        <f>IF($J$63=1,'Nº Cars Projection'!B22, IF($J$63=2,'Nº Cars Projection'!D22, IF($J$63=3,'Nº Cars Projection'!F22)))</f>
        <v>27800000</v>
      </c>
      <c r="G101" s="210">
        <f t="shared" si="14"/>
        <v>2327508.0412040255</v>
      </c>
      <c r="H101" s="210">
        <f t="shared" si="15"/>
        <v>1368496.2841911304</v>
      </c>
      <c r="I101" s="210">
        <f t="shared" si="16"/>
        <v>959011.75701289508</v>
      </c>
      <c r="J101" s="210">
        <f t="shared" ref="J101:J117" si="22">SUM(F101-F100)</f>
        <v>-800000</v>
      </c>
      <c r="K101" s="210">
        <f t="shared" si="17"/>
        <v>3739011.757012933</v>
      </c>
      <c r="L101" s="210">
        <f t="shared" si="20"/>
        <v>24060988.242987067</v>
      </c>
      <c r="M101" s="210">
        <f t="shared" ca="1" si="10"/>
        <v>2577003.5074913637</v>
      </c>
      <c r="N101" s="211">
        <f t="shared" ca="1" si="11"/>
        <v>2529835.7699401556</v>
      </c>
      <c r="O101" s="211">
        <f t="shared" ca="1" si="12"/>
        <v>47167.737551208091</v>
      </c>
      <c r="P101" s="213"/>
    </row>
    <row r="102" spans="1:16">
      <c r="A102" s="206">
        <v>2035</v>
      </c>
      <c r="B102" s="207">
        <f t="shared" si="18"/>
        <v>17.853329313055223</v>
      </c>
      <c r="C102" s="208">
        <f t="shared" si="21"/>
        <v>4.4036467338720122</v>
      </c>
      <c r="D102" s="208">
        <f t="shared" si="8"/>
        <v>0.95396415468893636</v>
      </c>
      <c r="E102" s="209">
        <f t="shared" si="19"/>
        <v>52.597618154012068</v>
      </c>
      <c r="F102" s="210">
        <f>IF($J$63=1,'Nº Cars Projection'!B23, IF($J$63=2,'Nº Cars Projection'!D23, IF($J$63=3,'Nº Cars Projection'!F23)))</f>
        <v>27000000</v>
      </c>
      <c r="G102" s="210">
        <f t="shared" si="14"/>
        <v>2260529.3925362839</v>
      </c>
      <c r="H102" s="210">
        <f t="shared" si="15"/>
        <v>1071544.7743908407</v>
      </c>
      <c r="I102" s="210">
        <f t="shared" si="16"/>
        <v>1188984.6181454433</v>
      </c>
      <c r="J102" s="210">
        <f t="shared" si="22"/>
        <v>-800000</v>
      </c>
      <c r="K102" s="210">
        <f t="shared" si="17"/>
        <v>4820398.91452491</v>
      </c>
      <c r="L102" s="210">
        <f t="shared" si="20"/>
        <v>22179601.085475091</v>
      </c>
      <c r="M102" s="210">
        <f t="shared" ca="1" si="10"/>
        <v>2578677.9737080573</v>
      </c>
      <c r="N102" s="211">
        <f t="shared" ca="1" si="11"/>
        <v>2512910.5208945489</v>
      </c>
      <c r="O102" s="211">
        <f t="shared" ca="1" si="12"/>
        <v>65767.452813508309</v>
      </c>
      <c r="P102" s="213"/>
    </row>
    <row r="103" spans="1:16">
      <c r="A103" s="206">
        <v>2036</v>
      </c>
      <c r="B103" s="207">
        <f t="shared" si="18"/>
        <v>23.310477183230947</v>
      </c>
      <c r="C103" s="208">
        <f t="shared" si="21"/>
        <v>5.4571478701757243</v>
      </c>
      <c r="D103" s="208">
        <f t="shared" si="8"/>
        <v>1.0535011363037121</v>
      </c>
      <c r="E103" s="209">
        <f t="shared" si="19"/>
        <v>65.180746147886907</v>
      </c>
      <c r="F103" s="210">
        <f>IF($J$63=1,'Nº Cars Projection'!B24, IF($J$63=2,'Nº Cars Projection'!D24, IF($J$63=3,'Nº Cars Projection'!F24)))</f>
        <v>26200000</v>
      </c>
      <c r="G103" s="210">
        <f t="shared" si="14"/>
        <v>2193550.7438685424</v>
      </c>
      <c r="H103" s="210">
        <f t="shared" si="15"/>
        <v>763778.00188250258</v>
      </c>
      <c r="I103" s="210">
        <f t="shared" si="16"/>
        <v>1429772.7419860398</v>
      </c>
      <c r="J103" s="210">
        <f t="shared" si="22"/>
        <v>-800000</v>
      </c>
      <c r="K103" s="210">
        <f t="shared" si="17"/>
        <v>6107345.022006508</v>
      </c>
      <c r="L103" s="210">
        <f t="shared" si="20"/>
        <v>20092654.977993492</v>
      </c>
      <c r="M103" s="210">
        <f t="shared" ca="1" si="10"/>
        <v>2582026.9061414446</v>
      </c>
      <c r="N103" s="211">
        <f t="shared" ca="1" si="11"/>
        <v>2490399.5596304592</v>
      </c>
      <c r="O103" s="211">
        <f t="shared" ca="1" si="12"/>
        <v>91627.346510985488</v>
      </c>
      <c r="P103" s="213"/>
    </row>
    <row r="104" spans="1:16">
      <c r="A104" s="206">
        <v>2037</v>
      </c>
      <c r="B104" s="207">
        <f t="shared" si="18"/>
        <v>29.829962933703602</v>
      </c>
      <c r="C104" s="208">
        <f t="shared" si="21"/>
        <v>6.5194857504726542</v>
      </c>
      <c r="D104" s="208">
        <f t="shared" si="8"/>
        <v>1.0623378802969299</v>
      </c>
      <c r="E104" s="209">
        <f t="shared" si="19"/>
        <v>77.869421138232894</v>
      </c>
      <c r="F104" s="210">
        <f>IF($J$63=1,'Nº Cars Projection'!B25, IF($J$63=2,'Nº Cars Projection'!D25, IF($J$63=3,'Nº Cars Projection'!F25)))</f>
        <v>25400000</v>
      </c>
      <c r="G104" s="210">
        <f t="shared" si="14"/>
        <v>2126572.0952008003</v>
      </c>
      <c r="H104" s="210">
        <f t="shared" si="15"/>
        <v>470622.71458074613</v>
      </c>
      <c r="I104" s="210">
        <f t="shared" si="16"/>
        <v>1655949.3806200542</v>
      </c>
      <c r="J104" s="210">
        <f t="shared" si="22"/>
        <v>-800000</v>
      </c>
      <c r="K104" s="210">
        <f t="shared" si="17"/>
        <v>7576810.5851607146</v>
      </c>
      <c r="L104" s="210">
        <f t="shared" si="20"/>
        <v>17823189.414839286</v>
      </c>
      <c r="M104" s="210">
        <f t="shared" ca="1" si="10"/>
        <v>2585375.8385748314</v>
      </c>
      <c r="N104" s="211">
        <f t="shared" ca="1" si="11"/>
        <v>2457979.3808685346</v>
      </c>
      <c r="O104" s="211">
        <f t="shared" ca="1" si="12"/>
        <v>127396.45770629667</v>
      </c>
      <c r="P104" s="213"/>
    </row>
    <row r="105" spans="1:16">
      <c r="A105" s="206">
        <v>2038</v>
      </c>
      <c r="B105" s="207">
        <f t="shared" si="18"/>
        <v>37.28630116914217</v>
      </c>
      <c r="C105" s="208">
        <f t="shared" si="21"/>
        <v>7.4563382354385688</v>
      </c>
      <c r="D105" s="208">
        <f t="shared" si="8"/>
        <v>0.93685248496591456</v>
      </c>
      <c r="E105" s="209">
        <f t="shared" si="19"/>
        <v>89.05928541409574</v>
      </c>
      <c r="F105" s="210">
        <f>IF($J$63=1,'Nº Cars Projection'!B26, IF($J$63=2,'Nº Cars Projection'!D26, IF($J$63=3,'Nº Cars Projection'!F26)))</f>
        <v>24600000</v>
      </c>
      <c r="G105" s="210">
        <f t="shared" si="14"/>
        <v>2059593.4465330588</v>
      </c>
      <c r="H105" s="210">
        <f t="shared" si="15"/>
        <v>225334.24061517068</v>
      </c>
      <c r="I105" s="210">
        <f t="shared" si="16"/>
        <v>1834259.2059178881</v>
      </c>
      <c r="J105" s="210">
        <f t="shared" si="22"/>
        <v>-800000</v>
      </c>
      <c r="K105" s="210">
        <f t="shared" si="17"/>
        <v>9172430.0876089744</v>
      </c>
      <c r="L105" s="210">
        <f t="shared" si="20"/>
        <v>15427569.912391026</v>
      </c>
      <c r="M105" s="210">
        <f t="shared" ca="1" si="10"/>
        <v>2588724.7710082186</v>
      </c>
      <c r="N105" s="211">
        <f t="shared" ca="1" si="11"/>
        <v>2412094.207448083</v>
      </c>
      <c r="O105" s="211">
        <f t="shared" ca="1" si="12"/>
        <v>176630.56356013569</v>
      </c>
      <c r="P105" s="213"/>
    </row>
    <row r="106" spans="1:16">
      <c r="A106" s="206">
        <v>2039</v>
      </c>
      <c r="B106" s="207">
        <f t="shared" si="18"/>
        <v>45.400545445351412</v>
      </c>
      <c r="C106" s="208">
        <f t="shared" si="21"/>
        <v>8.1142442762092415</v>
      </c>
      <c r="D106" s="208">
        <f t="shared" si="8"/>
        <v>0.65790604077067272</v>
      </c>
      <c r="E106" s="209">
        <f t="shared" si="19"/>
        <v>96.917384122946331</v>
      </c>
      <c r="F106" s="210">
        <f>IF($J$63=1,'Nº Cars Projection'!B27, IF($J$63=2,'Nº Cars Projection'!D27, IF($J$63=3,'Nº Cars Projection'!F27)))</f>
        <v>23800000</v>
      </c>
      <c r="G106" s="210">
        <f t="shared" si="14"/>
        <v>1992614.797865317</v>
      </c>
      <c r="H106" s="210">
        <f t="shared" si="15"/>
        <v>61424.660127517302</v>
      </c>
      <c r="I106" s="210">
        <f t="shared" si="16"/>
        <v>1931190.1377377997</v>
      </c>
      <c r="J106" s="210">
        <f t="shared" si="22"/>
        <v>-800000</v>
      </c>
      <c r="K106" s="210">
        <f t="shared" si="17"/>
        <v>10805329.815993635</v>
      </c>
      <c r="L106" s="210">
        <f t="shared" si="20"/>
        <v>12994670.184006365</v>
      </c>
      <c r="M106" s="210">
        <f t="shared" ca="1" si="10"/>
        <v>2592073.7034416054</v>
      </c>
      <c r="N106" s="211">
        <f t="shared" ca="1" si="11"/>
        <v>2348134.7941689077</v>
      </c>
      <c r="O106" s="211">
        <f t="shared" ca="1" si="12"/>
        <v>243938.90927269778</v>
      </c>
      <c r="P106" s="213"/>
    </row>
    <row r="107" spans="1:16">
      <c r="A107" s="206">
        <v>2040</v>
      </c>
      <c r="B107" s="207">
        <f t="shared" si="18"/>
        <v>53.766708986738188</v>
      </c>
      <c r="C107" s="216">
        <f t="shared" si="21"/>
        <v>8.3661635413867756</v>
      </c>
      <c r="D107" s="208">
        <f t="shared" si="8"/>
        <v>0.25191926517753416</v>
      </c>
      <c r="E107" s="209">
        <f t="shared" si="19"/>
        <v>99.926334230939332</v>
      </c>
      <c r="F107" s="210">
        <f>IF($J$63=1,'Nº Cars Projection'!B28, IF($J$63=2,'Nº Cars Projection'!D28, IF($J$63=3,'Nº Cars Projection'!F28)))</f>
        <v>23000000</v>
      </c>
      <c r="G107" s="210">
        <f t="shared" si="14"/>
        <v>1925636.1491975752</v>
      </c>
      <c r="H107" s="210">
        <f t="shared" si="15"/>
        <v>1418.5346786167938</v>
      </c>
      <c r="I107" s="210">
        <f t="shared" si="16"/>
        <v>1924217.6145189584</v>
      </c>
      <c r="J107" s="210">
        <f t="shared" si="22"/>
        <v>-800000</v>
      </c>
      <c r="K107" s="210">
        <f t="shared" si="17"/>
        <v>12366343.066949783</v>
      </c>
      <c r="L107" s="210">
        <f t="shared" si="20"/>
        <v>10633656.933050217</v>
      </c>
      <c r="M107" s="210">
        <f t="shared" ca="1" si="10"/>
        <v>2595422.6358749927</v>
      </c>
      <c r="N107" s="211">
        <f t="shared" ca="1" si="11"/>
        <v>2260331.6181189632</v>
      </c>
      <c r="O107" s="211">
        <f t="shared" ca="1" si="12"/>
        <v>335091.0177560295</v>
      </c>
      <c r="P107" s="213"/>
    </row>
    <row r="108" spans="1:16">
      <c r="A108" s="206">
        <v>2041</v>
      </c>
      <c r="B108" s="207">
        <f t="shared" si="18"/>
        <v>61.926000115323966</v>
      </c>
      <c r="C108" s="208">
        <f t="shared" si="21"/>
        <v>8.1592911285857781</v>
      </c>
      <c r="D108" s="208">
        <f t="shared" si="8"/>
        <v>-0.20687241280099755</v>
      </c>
      <c r="E108" s="209">
        <f t="shared" si="19"/>
        <v>100</v>
      </c>
      <c r="F108" s="210">
        <f>IF($J$63=1,'Nº Cars Projection'!B29, IF($J$63=2,'Nº Cars Projection'!D29, IF($J$63=3,'Nº Cars Projection'!F29)))</f>
        <v>23220000</v>
      </c>
      <c r="G108" s="210">
        <f t="shared" si="14"/>
        <v>1944055.2775812042</v>
      </c>
      <c r="H108" s="210">
        <f t="shared" si="15"/>
        <v>0</v>
      </c>
      <c r="I108" s="210">
        <f t="shared" si="16"/>
        <v>1944055.2775812042</v>
      </c>
      <c r="J108" s="210">
        <f t="shared" si="22"/>
        <v>220000</v>
      </c>
      <c r="K108" s="210">
        <f t="shared" si="17"/>
        <v>14379217.226778226</v>
      </c>
      <c r="L108" s="210">
        <f t="shared" si="20"/>
        <v>8840782.773221774</v>
      </c>
      <c r="M108" s="210">
        <f t="shared" ca="1" si="10"/>
        <v>2528443.9872072511</v>
      </c>
      <c r="N108" s="211">
        <f t="shared" ca="1" si="11"/>
        <v>2083882.4894562361</v>
      </c>
      <c r="O108" s="211">
        <f t="shared" ca="1" si="12"/>
        <v>444561.49775101501</v>
      </c>
      <c r="P108" s="213"/>
    </row>
    <row r="109" spans="1:16">
      <c r="A109" s="206">
        <v>2042</v>
      </c>
      <c r="B109" s="207">
        <f t="shared" si="18"/>
        <v>69.463158125986936</v>
      </c>
      <c r="C109" s="208">
        <f t="shared" si="21"/>
        <v>7.5371580106629708</v>
      </c>
      <c r="D109" s="208">
        <f t="shared" si="8"/>
        <v>-0.62213311792280734</v>
      </c>
      <c r="E109" s="209">
        <f t="shared" si="19"/>
        <v>100</v>
      </c>
      <c r="F109" s="210">
        <f>IF($J$63=1,'Nº Cars Projection'!B30, IF($J$63=2,'Nº Cars Projection'!D30, IF($J$63=3,'Nº Cars Projection'!F30)))</f>
        <v>23440000</v>
      </c>
      <c r="G109" s="210">
        <f t="shared" si="14"/>
        <v>1962474.4059648332</v>
      </c>
      <c r="H109" s="210">
        <f t="shared" si="15"/>
        <v>0</v>
      </c>
      <c r="I109" s="210">
        <f t="shared" si="16"/>
        <v>1962474.4059648332</v>
      </c>
      <c r="J109" s="210">
        <f t="shared" si="22"/>
        <v>220000</v>
      </c>
      <c r="K109" s="210">
        <f t="shared" si="17"/>
        <v>16282164.264731338</v>
      </c>
      <c r="L109" s="210">
        <f t="shared" si="20"/>
        <v>7157835.7352686618</v>
      </c>
      <c r="M109" s="210">
        <f t="shared" ca="1" si="10"/>
        <v>2461465.3385395091</v>
      </c>
      <c r="N109" s="211">
        <f t="shared" ca="1" si="11"/>
        <v>1877955.9768038108</v>
      </c>
      <c r="O109" s="211">
        <f t="shared" ca="1" si="12"/>
        <v>583509.36173569842</v>
      </c>
      <c r="P109" s="213"/>
    </row>
    <row r="110" spans="1:16">
      <c r="A110" s="206">
        <v>2043</v>
      </c>
      <c r="B110" s="207">
        <f t="shared" si="18"/>
        <v>76.084481470100727</v>
      </c>
      <c r="C110" s="208">
        <f t="shared" si="21"/>
        <v>6.6213233441137902</v>
      </c>
      <c r="D110" s="208">
        <f t="shared" si="8"/>
        <v>-0.91583466654918055</v>
      </c>
      <c r="E110" s="209">
        <f t="shared" si="19"/>
        <v>100</v>
      </c>
      <c r="F110" s="210">
        <f>IF($J$63=1,'Nº Cars Projection'!B31, IF($J$63=2,'Nº Cars Projection'!D31, IF($J$63=3,'Nº Cars Projection'!F31)))</f>
        <v>23660000</v>
      </c>
      <c r="G110" s="210">
        <f t="shared" si="14"/>
        <v>1980893.5343484622</v>
      </c>
      <c r="H110" s="210">
        <f t="shared" si="15"/>
        <v>0</v>
      </c>
      <c r="I110" s="210">
        <f t="shared" si="16"/>
        <v>1980893.5343484622</v>
      </c>
      <c r="J110" s="210">
        <f t="shared" si="22"/>
        <v>220000</v>
      </c>
      <c r="K110" s="210">
        <f t="shared" si="17"/>
        <v>18001588.315825831</v>
      </c>
      <c r="L110" s="210">
        <f t="shared" si="20"/>
        <v>5658411.6841741689</v>
      </c>
      <c r="M110" s="210">
        <f t="shared" ca="1" si="10"/>
        <v>2394486.6898717675</v>
      </c>
      <c r="N110" s="211">
        <f t="shared" ca="1" si="11"/>
        <v>1639412.3106304139</v>
      </c>
      <c r="O110" s="211">
        <f t="shared" ca="1" si="12"/>
        <v>755074.3792413536</v>
      </c>
      <c r="P110" s="213"/>
    </row>
    <row r="111" spans="1:16">
      <c r="A111" s="206">
        <v>2044</v>
      </c>
      <c r="B111" s="207">
        <f t="shared" si="18"/>
        <v>81.649380471181118</v>
      </c>
      <c r="C111" s="208">
        <f t="shared" si="21"/>
        <v>5.5648990010803914</v>
      </c>
      <c r="D111" s="208">
        <f t="shared" si="8"/>
        <v>-1.0564243430333988</v>
      </c>
      <c r="E111" s="209">
        <f t="shared" si="19"/>
        <v>100</v>
      </c>
      <c r="F111" s="210">
        <f>IF($J$63=1,'Nº Cars Projection'!B32, IF($J$63=2,'Nº Cars Projection'!D32, IF($J$63=3,'Nº Cars Projection'!F32)))</f>
        <v>23880000</v>
      </c>
      <c r="G111" s="210">
        <f t="shared" si="14"/>
        <v>1999312.662732091</v>
      </c>
      <c r="H111" s="210">
        <f t="shared" si="15"/>
        <v>0</v>
      </c>
      <c r="I111" s="210">
        <f t="shared" si="16"/>
        <v>1999312.662732091</v>
      </c>
      <c r="J111" s="210">
        <f t="shared" si="22"/>
        <v>220000</v>
      </c>
      <c r="K111" s="210">
        <f t="shared" si="17"/>
        <v>19497872.056518052</v>
      </c>
      <c r="L111" s="210">
        <f t="shared" si="20"/>
        <v>4382127.9434819482</v>
      </c>
      <c r="M111" s="210">
        <f t="shared" ca="1" si="10"/>
        <v>2327508.0412040255</v>
      </c>
      <c r="N111" s="211">
        <f t="shared" ca="1" si="11"/>
        <v>1368496.2841911304</v>
      </c>
      <c r="O111" s="211">
        <f t="shared" ca="1" si="12"/>
        <v>959011.75701289508</v>
      </c>
      <c r="P111" s="213"/>
    </row>
    <row r="112" spans="1:16">
      <c r="A112" s="206">
        <v>2045</v>
      </c>
      <c r="B112" s="207">
        <f t="shared" si="18"/>
        <v>86.155014159020013</v>
      </c>
      <c r="C112" s="208">
        <f t="shared" si="21"/>
        <v>4.5056336878388947</v>
      </c>
      <c r="D112" s="208">
        <f t="shared" si="8"/>
        <v>-1.0592653132414966</v>
      </c>
      <c r="E112" s="209">
        <f t="shared" si="19"/>
        <v>100</v>
      </c>
      <c r="F112" s="210">
        <f>IF($J$63=1,'Nº Cars Projection'!B33, IF($J$63=2,'Nº Cars Projection'!D33, IF($J$63=3,'Nº Cars Projection'!F33)))</f>
        <v>24100000</v>
      </c>
      <c r="G112" s="210">
        <f t="shared" si="14"/>
        <v>2017731.7911157201</v>
      </c>
      <c r="H112" s="210">
        <f t="shared" si="15"/>
        <v>0</v>
      </c>
      <c r="I112" s="210">
        <f t="shared" si="16"/>
        <v>2017731.7911157201</v>
      </c>
      <c r="J112" s="210">
        <f t="shared" si="22"/>
        <v>220000</v>
      </c>
      <c r="K112" s="210">
        <f t="shared" si="17"/>
        <v>20763358.412323821</v>
      </c>
      <c r="L112" s="210">
        <f t="shared" si="20"/>
        <v>3336641.5876761787</v>
      </c>
      <c r="M112" s="210">
        <f t="shared" ca="1" si="10"/>
        <v>2260529.3925362839</v>
      </c>
      <c r="N112" s="211">
        <f t="shared" ca="1" si="11"/>
        <v>1071544.7743908407</v>
      </c>
      <c r="O112" s="211">
        <f t="shared" ca="1" si="12"/>
        <v>1188984.6181454433</v>
      </c>
      <c r="P112" s="213"/>
    </row>
    <row r="113" spans="1:16">
      <c r="A113" s="206">
        <v>2046</v>
      </c>
      <c r="B113" s="207">
        <f t="shared" si="18"/>
        <v>89.694014204596485</v>
      </c>
      <c r="C113" s="208">
        <f t="shared" si="21"/>
        <v>3.5390000455764721</v>
      </c>
      <c r="D113" s="208">
        <f t="shared" si="8"/>
        <v>-0.96663364226242265</v>
      </c>
      <c r="E113" s="209">
        <f t="shared" si="19"/>
        <v>100</v>
      </c>
      <c r="F113" s="210">
        <f>IF($J$63=1,'Nº Cars Projection'!B34, IF($J$63=2,'Nº Cars Projection'!D34, IF($J$63=3,'Nº Cars Projection'!F34)))</f>
        <v>24320000</v>
      </c>
      <c r="G113" s="210">
        <f t="shared" si="14"/>
        <v>2036150.9194993491</v>
      </c>
      <c r="H113" s="210">
        <f t="shared" si="15"/>
        <v>0</v>
      </c>
      <c r="I113" s="210">
        <f t="shared" si="16"/>
        <v>2036150.9194993491</v>
      </c>
      <c r="J113" s="210">
        <f t="shared" si="22"/>
        <v>220000</v>
      </c>
      <c r="K113" s="210">
        <f t="shared" si="17"/>
        <v>21813584.254557867</v>
      </c>
      <c r="L113" s="210">
        <f t="shared" si="20"/>
        <v>2506415.7454421334</v>
      </c>
      <c r="M113" s="210">
        <f t="shared" ca="1" si="10"/>
        <v>2193550.7438685424</v>
      </c>
      <c r="N113" s="211">
        <f t="shared" ca="1" si="11"/>
        <v>763778.00188250258</v>
      </c>
      <c r="O113" s="211">
        <f t="shared" ca="1" si="12"/>
        <v>1429772.7419860398</v>
      </c>
      <c r="P113" s="213"/>
    </row>
    <row r="114" spans="1:16">
      <c r="A114" s="206">
        <v>2047</v>
      </c>
      <c r="B114" s="207">
        <f t="shared" si="18"/>
        <v>92.408103859973451</v>
      </c>
      <c r="C114" s="208">
        <f t="shared" si="21"/>
        <v>2.7140896553769664</v>
      </c>
      <c r="D114" s="208">
        <f t="shared" si="8"/>
        <v>-0.82491039019950563</v>
      </c>
      <c r="E114" s="209">
        <f t="shared" si="19"/>
        <v>100</v>
      </c>
      <c r="F114" s="210">
        <f>IF($J$63=1,'Nº Cars Projection'!B35, IF($J$63=2,'Nº Cars Projection'!D35, IF($J$63=3,'Nº Cars Projection'!F35)))</f>
        <v>24540000</v>
      </c>
      <c r="G114" s="210">
        <f t="shared" si="14"/>
        <v>2054570.0478829781</v>
      </c>
      <c r="H114" s="210">
        <f t="shared" si="15"/>
        <v>0</v>
      </c>
      <c r="I114" s="210">
        <f t="shared" si="16"/>
        <v>2054570.0478829781</v>
      </c>
      <c r="J114" s="210">
        <f t="shared" si="22"/>
        <v>220000</v>
      </c>
      <c r="K114" s="210">
        <f t="shared" si="17"/>
        <v>22676948.687237486</v>
      </c>
      <c r="L114" s="210">
        <f t="shared" si="20"/>
        <v>1863051.3127625138</v>
      </c>
      <c r="M114" s="210">
        <f t="shared" ca="1" si="10"/>
        <v>2126572.0952008003</v>
      </c>
      <c r="N114" s="211">
        <f t="shared" ca="1" si="11"/>
        <v>470622.71458074613</v>
      </c>
      <c r="O114" s="211">
        <f t="shared" ca="1" si="12"/>
        <v>1655949.3806200542</v>
      </c>
      <c r="P114" s="213"/>
    </row>
    <row r="115" spans="1:16">
      <c r="A115" s="206">
        <v>2048</v>
      </c>
      <c r="B115" s="207">
        <f t="shared" si="18"/>
        <v>94.45164976278636</v>
      </c>
      <c r="C115" s="208">
        <f t="shared" si="21"/>
        <v>2.0435459028129088</v>
      </c>
      <c r="D115" s="208">
        <f t="shared" si="8"/>
        <v>-0.67054375256405763</v>
      </c>
      <c r="E115" s="209">
        <f t="shared" si="19"/>
        <v>100</v>
      </c>
      <c r="F115" s="210">
        <f>IF($J$63=1,'Nº Cars Projection'!B36, IF($J$63=2,'Nº Cars Projection'!D36, IF($J$63=3,'Nº Cars Projection'!F36)))</f>
        <v>24760000</v>
      </c>
      <c r="G115" s="210">
        <f t="shared" si="14"/>
        <v>2072989.1762666071</v>
      </c>
      <c r="H115" s="210">
        <f t="shared" si="15"/>
        <v>0</v>
      </c>
      <c r="I115" s="210">
        <f t="shared" si="16"/>
        <v>2072989.1762666071</v>
      </c>
      <c r="J115" s="210">
        <f t="shared" si="22"/>
        <v>220000</v>
      </c>
      <c r="K115" s="210">
        <f t="shared" si="17"/>
        <v>23386228.481265903</v>
      </c>
      <c r="L115" s="210">
        <f t="shared" si="20"/>
        <v>1373771.5187340975</v>
      </c>
      <c r="M115" s="210">
        <f t="shared" ca="1" si="10"/>
        <v>2059593.4465330588</v>
      </c>
      <c r="N115" s="211">
        <f t="shared" ca="1" si="11"/>
        <v>225334.24061517068</v>
      </c>
      <c r="O115" s="211">
        <f t="shared" ca="1" si="12"/>
        <v>1834259.2059178881</v>
      </c>
      <c r="P115" s="213"/>
    </row>
    <row r="116" spans="1:16">
      <c r="A116" s="206">
        <v>2049</v>
      </c>
      <c r="B116" s="207">
        <f t="shared" si="18"/>
        <v>95.969119253877309</v>
      </c>
      <c r="C116" s="208">
        <f t="shared" si="21"/>
        <v>1.5174694910909494</v>
      </c>
      <c r="D116" s="208">
        <f t="shared" si="8"/>
        <v>-0.5260764117219594</v>
      </c>
      <c r="E116" s="209">
        <f t="shared" si="19"/>
        <v>100</v>
      </c>
      <c r="F116" s="210">
        <f>IF($J$63=1,'Nº Cars Projection'!B37, IF($J$63=2,'Nº Cars Projection'!D37, IF($J$63=3,'Nº Cars Projection'!F37)))</f>
        <v>24980000</v>
      </c>
      <c r="G116" s="210">
        <f t="shared" si="14"/>
        <v>2091408.3046502362</v>
      </c>
      <c r="H116" s="210">
        <f t="shared" si="15"/>
        <v>0</v>
      </c>
      <c r="I116" s="210">
        <f t="shared" si="16"/>
        <v>2091408.3046502362</v>
      </c>
      <c r="J116" s="210">
        <f t="shared" si="22"/>
        <v>220000</v>
      </c>
      <c r="K116" s="210">
        <f t="shared" si="17"/>
        <v>23973085.989618555</v>
      </c>
      <c r="L116" s="210">
        <f t="shared" si="20"/>
        <v>1006914.0103814453</v>
      </c>
      <c r="M116" s="210">
        <f t="shared" ca="1" si="10"/>
        <v>1992614.797865317</v>
      </c>
      <c r="N116" s="211">
        <f t="shared" ca="1" si="11"/>
        <v>61424.660127517302</v>
      </c>
      <c r="O116" s="211">
        <f t="shared" ca="1" si="12"/>
        <v>1931190.1377377997</v>
      </c>
      <c r="P116" s="213"/>
    </row>
    <row r="117" spans="1:16">
      <c r="A117" s="206">
        <v>2050</v>
      </c>
      <c r="B117" s="207">
        <f t="shared" si="18"/>
        <v>97.084373468650995</v>
      </c>
      <c r="C117" s="208">
        <f t="shared" si="21"/>
        <v>1.1152542147736852</v>
      </c>
      <c r="D117" s="208">
        <f t="shared" si="8"/>
        <v>-0.40221527631726417</v>
      </c>
      <c r="E117" s="209">
        <f t="shared" si="19"/>
        <v>100</v>
      </c>
      <c r="F117" s="210">
        <f>IF($J$63=1,'Nº Cars Projection'!B38, IF($J$63=2,'Nº Cars Projection'!D38, IF($J$63=3,'Nº Cars Projection'!F38)))</f>
        <v>25200000</v>
      </c>
      <c r="G117" s="210">
        <f t="shared" si="14"/>
        <v>2109827.4330338649</v>
      </c>
      <c r="H117" s="210">
        <f t="shared" si="15"/>
        <v>0</v>
      </c>
      <c r="I117" s="210">
        <f t="shared" si="16"/>
        <v>2109827.4330338649</v>
      </c>
      <c r="J117" s="210">
        <f t="shared" si="22"/>
        <v>220000</v>
      </c>
      <c r="K117" s="210">
        <f t="shared" si="17"/>
        <v>24465262.11410005</v>
      </c>
      <c r="L117" s="210">
        <f t="shared" si="20"/>
        <v>734737.88589994982</v>
      </c>
      <c r="M117" s="210">
        <f t="shared" ca="1" si="10"/>
        <v>1925636.1491975752</v>
      </c>
      <c r="N117" s="211">
        <f t="shared" ca="1" si="11"/>
        <v>1418.5346786167938</v>
      </c>
      <c r="O117" s="211">
        <f t="shared" ca="1" si="12"/>
        <v>1924217.6145189584</v>
      </c>
      <c r="P117" s="213"/>
    </row>
  </sheetData>
  <dataConsolidate/>
  <customSheetViews>
    <customSheetView guid="{6CD3DBEE-3ADC-5D4E-9E8E-2656A4A55EE6}" scale="50">
      <pane ySplit="8" topLeftCell="A9" activePane="bottomLeft" state="frozen"/>
      <selection pane="bottomLeft" activeCell="S17" sqref="S17"/>
      <pageMargins left="0" right="0" top="0" bottom="0" header="0" footer="0"/>
      <pageSetup paperSize="9" orientation="portrait" horizontalDpi="0" verticalDpi="0"/>
    </customSheetView>
  </customSheetViews>
  <mergeCells count="6">
    <mergeCell ref="B1:E1"/>
    <mergeCell ref="J63:J65"/>
    <mergeCell ref="A64:B64"/>
    <mergeCell ref="A65:B65"/>
    <mergeCell ref="A62:B62"/>
    <mergeCell ref="A63:B63"/>
  </mergeCells>
  <conditionalFormatting sqref="E19:E52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{BF1C5DAF-0BAD-0C45-B818-0ACFD395DAE3}</x14:id>
        </ext>
      </extLst>
    </cfRule>
  </conditionalFormatting>
  <conditionalFormatting sqref="E3:E5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{F03E4E84-8FF1-7A44-8BE3-1D7A3DAC7AB4}</x14:id>
        </ext>
      </extLst>
    </cfRule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{0DC0D414-0B8F-7B4F-9264-F6957E343963}</x14:id>
        </ext>
      </extLst>
    </cfRule>
  </conditionalFormatting>
  <conditionalFormatting sqref="B3:B59 B61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{D0BEBF99-90DA-45B2-A5B0-357A01DC53F9}</x14:id>
        </ext>
      </extLst>
    </cfRule>
  </conditionalFormatting>
  <conditionalFormatting sqref="E61:F61 F43:G43 C3:D59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{0B551FF9-3F09-42EC-A2C2-F53B03FF99A0}</x14:id>
        </ext>
      </extLst>
    </cfRule>
  </conditionalFormatting>
  <conditionalFormatting sqref="E53:E59 K6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{C4F35502-AD5D-47A0-B1C8-CDB56F4933C0}</x14:id>
        </ext>
      </extLst>
    </cfRule>
  </conditionalFormatting>
  <dataValidations disablePrompts="1" count="1">
    <dataValidation type="decimal" allowBlank="1" showInputMessage="1" showErrorMessage="1" sqref="B53:B59 B61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1C5DAF-0BAD-0C45-B818-0ACFD395DA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E19:E52</xm:sqref>
        </x14:conditionalFormatting>
        <x14:conditionalFormatting xmlns:xm="http://schemas.microsoft.com/office/excel/2006/main">
          <x14:cfRule type="dataBar" id="{F03E4E84-8FF1-7A44-8BE3-1D7A3DAC7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C0D414-0B8F-7B4F-9264-F6957E3439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E3:E52</xm:sqref>
        </x14:conditionalFormatting>
        <x14:conditionalFormatting xmlns:xm="http://schemas.microsoft.com/office/excel/2006/main">
          <x14:cfRule type="dataBar" id="{D0BEBF99-90DA-45B2-A5B0-357A01DC5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B3:B59 B61</xm:sqref>
        </x14:conditionalFormatting>
        <x14:conditionalFormatting xmlns:xm="http://schemas.microsoft.com/office/excel/2006/main">
          <x14:cfRule type="dataBar" id="{0B551FF9-3F09-42EC-A2C2-F53B03FF99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E61:F61 F43:G43 C3:D59</xm:sqref>
        </x14:conditionalFormatting>
        <x14:conditionalFormatting xmlns:xm="http://schemas.microsoft.com/office/excel/2006/main">
          <x14:cfRule type="dataBar" id="{C4F35502-AD5D-47A0-B1C8-CDB56F4933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E53:E59 K61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6"/>
  <sheetViews>
    <sheetView zoomScale="55" zoomScaleNormal="55" workbookViewId="0"/>
  </sheetViews>
  <sheetFormatPr defaultColWidth="10" defaultRowHeight="14.4"/>
  <cols>
    <col min="1" max="1" width="29.59765625" style="36" customWidth="1"/>
    <col min="2" max="2" width="24.5" style="36" customWidth="1"/>
    <col min="3" max="3" width="17.09765625" style="36" customWidth="1"/>
    <col min="4" max="4" width="35.8984375" style="36" customWidth="1"/>
    <col min="5" max="5" width="23.59765625" style="36" customWidth="1"/>
    <col min="6" max="6" width="32.59765625" style="36" customWidth="1"/>
    <col min="7" max="7" width="17.8984375" style="36" customWidth="1"/>
    <col min="8" max="8" width="12.8984375" style="36" bestFit="1" customWidth="1"/>
    <col min="9" max="10" width="11.09765625" style="36" bestFit="1" customWidth="1"/>
    <col min="11" max="11" width="10" style="36"/>
    <col min="12" max="12" width="17.59765625" style="36" bestFit="1" customWidth="1"/>
    <col min="13" max="13" width="18.09765625" style="36" bestFit="1" customWidth="1"/>
    <col min="14" max="14" width="11.59765625" style="36" bestFit="1" customWidth="1"/>
    <col min="15" max="15" width="13.5" style="36" bestFit="1" customWidth="1"/>
    <col min="16" max="16" width="11.09765625" style="36" bestFit="1" customWidth="1"/>
    <col min="17" max="18" width="14" style="36" bestFit="1" customWidth="1"/>
    <col min="19" max="19" width="25.59765625" style="36" bestFit="1" customWidth="1"/>
    <col min="20" max="20" width="17.59765625" style="36" bestFit="1" customWidth="1"/>
    <col min="21" max="21" width="18.59765625" style="36" bestFit="1" customWidth="1"/>
    <col min="22" max="22" width="30" style="36" bestFit="1" customWidth="1"/>
    <col min="23" max="24" width="20.59765625" style="36" bestFit="1" customWidth="1"/>
    <col min="25" max="25" width="11.5" style="36" bestFit="1" customWidth="1"/>
    <col min="26" max="26" width="19.3984375" style="36" customWidth="1"/>
    <col min="27" max="27" width="20.59765625" style="36" bestFit="1" customWidth="1"/>
    <col min="28" max="28" width="12.59765625" style="36" bestFit="1" customWidth="1"/>
    <col min="29" max="29" width="20.59765625" style="36" bestFit="1" customWidth="1"/>
    <col min="30" max="30" width="10.8984375" style="36" bestFit="1" customWidth="1"/>
    <col min="31" max="37" width="10" style="36"/>
    <col min="38" max="38" width="12.8984375" style="36" bestFit="1" customWidth="1"/>
    <col min="39" max="16384" width="10" style="36"/>
  </cols>
  <sheetData>
    <row r="1" spans="1:29" ht="15" thickBot="1"/>
    <row r="2" spans="1:29" ht="15" thickBot="1">
      <c r="A2" s="172"/>
      <c r="B2" s="532" t="s">
        <v>100</v>
      </c>
      <c r="C2" s="533"/>
      <c r="D2" s="530" t="s">
        <v>101</v>
      </c>
      <c r="E2" s="531"/>
      <c r="F2" s="530" t="s">
        <v>102</v>
      </c>
      <c r="G2" s="531"/>
    </row>
    <row r="3" spans="1:29" ht="15" thickBot="1">
      <c r="A3" s="171" t="s">
        <v>103</v>
      </c>
      <c r="B3" s="346" t="s">
        <v>104</v>
      </c>
      <c r="C3" s="170" t="s">
        <v>105</v>
      </c>
      <c r="D3" s="346" t="s">
        <v>104</v>
      </c>
      <c r="E3" s="170" t="s">
        <v>105</v>
      </c>
      <c r="F3" s="346" t="s">
        <v>104</v>
      </c>
      <c r="G3" s="170" t="s">
        <v>105</v>
      </c>
    </row>
    <row r="4" spans="1:29">
      <c r="A4" s="161">
        <v>2016</v>
      </c>
      <c r="B4" s="169">
        <v>30850440</v>
      </c>
      <c r="C4" s="159"/>
      <c r="D4" s="169">
        <v>30850440</v>
      </c>
      <c r="E4" s="159"/>
      <c r="F4" s="169">
        <v>30850440</v>
      </c>
      <c r="G4" s="54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</row>
    <row r="5" spans="1:29">
      <c r="A5" s="161">
        <v>2017</v>
      </c>
      <c r="B5" s="160">
        <f t="shared" ref="B5:B38" si="0">B4+$C$5</f>
        <v>31253245.6875</v>
      </c>
      <c r="C5" s="168">
        <f>E48</f>
        <v>402805.6875</v>
      </c>
      <c r="D5" s="160">
        <f>INT(D4+($D$8-D4)/($A$8-A4))</f>
        <v>30993393</v>
      </c>
      <c r="E5" s="159">
        <f t="shared" ref="E5:E28" si="1">D5-D4</f>
        <v>142953</v>
      </c>
      <c r="F5" s="160">
        <f>INT(F4+($F$8-F4)/($A$8-A4))</f>
        <v>30812830</v>
      </c>
      <c r="G5" s="159">
        <f t="shared" ref="G5:G38" si="2">F5-F4</f>
        <v>-37610</v>
      </c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</row>
    <row r="6" spans="1:29">
      <c r="A6" s="161">
        <v>2018</v>
      </c>
      <c r="B6" s="160">
        <f t="shared" si="0"/>
        <v>31656051.375</v>
      </c>
      <c r="C6" s="159"/>
      <c r="D6" s="160">
        <f>INT(D5+($D$8-D5)/($A$8-A5))</f>
        <v>31136347</v>
      </c>
      <c r="E6" s="159">
        <f t="shared" si="1"/>
        <v>142954</v>
      </c>
      <c r="F6" s="160">
        <f>INT(F5+($F$8-F5)/($A$8-A5))</f>
        <v>30775220</v>
      </c>
      <c r="G6" s="159">
        <f t="shared" si="2"/>
        <v>-37610</v>
      </c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</row>
    <row r="7" spans="1:29">
      <c r="A7" s="161">
        <v>2019</v>
      </c>
      <c r="B7" s="160">
        <f t="shared" si="0"/>
        <v>32058857.0625</v>
      </c>
      <c r="C7" s="159"/>
      <c r="D7" s="160">
        <f>INT(D6+($D$8-D6)/($A$8-A6))</f>
        <v>31279301</v>
      </c>
      <c r="E7" s="159">
        <f t="shared" si="1"/>
        <v>142954</v>
      </c>
      <c r="F7" s="160">
        <f>INT(F6+($F$8-F6)/($A$8-A6))</f>
        <v>30737610</v>
      </c>
      <c r="G7" s="159">
        <f t="shared" si="2"/>
        <v>-37610</v>
      </c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</row>
    <row r="8" spans="1:29">
      <c r="A8" s="163">
        <v>2020</v>
      </c>
      <c r="B8" s="160">
        <f t="shared" si="0"/>
        <v>32461662.75</v>
      </c>
      <c r="C8" s="159"/>
      <c r="D8" s="165">
        <f>D42</f>
        <v>31422255.954363789</v>
      </c>
      <c r="E8" s="159">
        <f t="shared" si="1"/>
        <v>142954.95436378941</v>
      </c>
      <c r="F8" s="162">
        <f>D43</f>
        <v>30700000</v>
      </c>
      <c r="G8" s="159">
        <f t="shared" si="2"/>
        <v>-37610</v>
      </c>
      <c r="S8" s="167"/>
      <c r="T8" s="167"/>
      <c r="U8" s="167"/>
      <c r="V8" s="167"/>
      <c r="W8" s="167"/>
      <c r="X8" s="167"/>
      <c r="Y8" s="167"/>
      <c r="Z8" s="167"/>
      <c r="AA8" s="166"/>
      <c r="AB8" s="166"/>
      <c r="AC8" s="166"/>
    </row>
    <row r="9" spans="1:29">
      <c r="A9" s="161">
        <v>2021</v>
      </c>
      <c r="B9" s="160">
        <f t="shared" si="0"/>
        <v>32864468.4375</v>
      </c>
      <c r="C9" s="159"/>
      <c r="D9" s="160">
        <f>INT(D8+($D$13-D8)/($A$13-A8))</f>
        <v>31638710</v>
      </c>
      <c r="E9" s="159">
        <f t="shared" si="1"/>
        <v>216454.04563621059</v>
      </c>
      <c r="F9" s="160">
        <f>INT(F8+($F$13-F8)/($A$13-A8))</f>
        <v>30720000</v>
      </c>
      <c r="G9" s="159">
        <f t="shared" si="2"/>
        <v>20000</v>
      </c>
      <c r="S9" s="41"/>
      <c r="T9" s="41"/>
      <c r="U9" s="41"/>
      <c r="V9" s="41"/>
      <c r="W9" s="41"/>
      <c r="X9" s="41"/>
      <c r="Y9" s="41"/>
      <c r="Z9" s="41"/>
      <c r="AA9" s="41"/>
      <c r="AB9" s="41"/>
      <c r="AC9" s="166"/>
    </row>
    <row r="10" spans="1:29">
      <c r="A10" s="161">
        <v>2022</v>
      </c>
      <c r="B10" s="160">
        <f>B9+$C$5</f>
        <v>33267274.125</v>
      </c>
      <c r="C10" s="159"/>
      <c r="D10" s="160">
        <f>INT(D9+($D$13-D9)/($A$13-A9))</f>
        <v>31855164</v>
      </c>
      <c r="E10" s="159">
        <f t="shared" si="1"/>
        <v>216454</v>
      </c>
      <c r="F10" s="160">
        <f>INT(F9+($F$13-F9)/($A$13-A9))</f>
        <v>30740000</v>
      </c>
      <c r="G10" s="159">
        <f t="shared" si="2"/>
        <v>20000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166"/>
    </row>
    <row r="11" spans="1:29">
      <c r="A11" s="161">
        <v>2023</v>
      </c>
      <c r="B11" s="160">
        <f t="shared" si="0"/>
        <v>33670079.8125</v>
      </c>
      <c r="C11" s="159"/>
      <c r="D11" s="160">
        <f>INT(D10+($D$13-D10)/($A$13-A10))</f>
        <v>32071618</v>
      </c>
      <c r="E11" s="159">
        <f t="shared" si="1"/>
        <v>216454</v>
      </c>
      <c r="F11" s="160">
        <f>INT(F10+($F$13-F10)/($A$13-A10))</f>
        <v>30760000</v>
      </c>
      <c r="G11" s="159">
        <f t="shared" si="2"/>
        <v>20000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166"/>
    </row>
    <row r="12" spans="1:29">
      <c r="A12" s="161">
        <v>2024</v>
      </c>
      <c r="B12" s="160">
        <f t="shared" si="0"/>
        <v>34072885.5</v>
      </c>
      <c r="C12" s="159"/>
      <c r="D12" s="160">
        <f>INT(D11+($D$13-D11)/($A$13-A11))</f>
        <v>32288072</v>
      </c>
      <c r="E12" s="159">
        <f t="shared" si="1"/>
        <v>216454</v>
      </c>
      <c r="F12" s="160">
        <f>INT(F11+($F$13-F11)/($A$13-A11))</f>
        <v>30780000</v>
      </c>
      <c r="G12" s="159">
        <f t="shared" si="2"/>
        <v>20000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166"/>
    </row>
    <row r="13" spans="1:29">
      <c r="A13" s="163">
        <v>2025</v>
      </c>
      <c r="B13" s="160">
        <f t="shared" si="0"/>
        <v>34475691.1875</v>
      </c>
      <c r="C13" s="54"/>
      <c r="D13" s="165">
        <f>E42</f>
        <v>32504527.812683959</v>
      </c>
      <c r="E13" s="159">
        <f t="shared" si="1"/>
        <v>216455.81268395856</v>
      </c>
      <c r="F13" s="162">
        <f>E43</f>
        <v>30800000</v>
      </c>
      <c r="G13" s="159">
        <f t="shared" si="2"/>
        <v>20000</v>
      </c>
      <c r="S13" s="41"/>
      <c r="T13" s="144"/>
      <c r="U13" s="144"/>
      <c r="V13" s="144"/>
      <c r="W13" s="144"/>
      <c r="X13" s="144"/>
      <c r="Y13" s="144"/>
      <c r="Z13" s="144"/>
      <c r="AA13" s="166"/>
      <c r="AB13" s="166"/>
      <c r="AC13" s="166"/>
    </row>
    <row r="14" spans="1:29">
      <c r="A14" s="161">
        <v>2026</v>
      </c>
      <c r="B14" s="160">
        <f t="shared" si="0"/>
        <v>34878496.875</v>
      </c>
      <c r="C14" s="54"/>
      <c r="D14" s="160">
        <f>INT(D13+($D$18-D13)/($A$18-A13))</f>
        <v>32740834</v>
      </c>
      <c r="E14" s="159">
        <f t="shared" si="1"/>
        <v>236306.18731604144</v>
      </c>
      <c r="F14" s="160">
        <f>INT(F13+($F$18-F13)/($A$18-A13))</f>
        <v>30840000</v>
      </c>
      <c r="G14" s="159">
        <f t="shared" si="2"/>
        <v>40000</v>
      </c>
      <c r="S14" s="41"/>
      <c r="T14" s="144"/>
      <c r="U14" s="144"/>
      <c r="V14" s="144"/>
      <c r="W14" s="144"/>
      <c r="X14" s="144"/>
      <c r="Y14" s="144"/>
      <c r="Z14" s="144"/>
      <c r="AA14" s="166"/>
      <c r="AB14" s="166"/>
      <c r="AC14" s="166"/>
    </row>
    <row r="15" spans="1:29">
      <c r="A15" s="161">
        <v>2027</v>
      </c>
      <c r="B15" s="160">
        <f t="shared" si="0"/>
        <v>35281302.5625</v>
      </c>
      <c r="C15" s="54"/>
      <c r="D15" s="160">
        <f>INT(D14+($D$18-D14)/($A$18-A14))</f>
        <v>32977141</v>
      </c>
      <c r="E15" s="159">
        <f t="shared" si="1"/>
        <v>236307</v>
      </c>
      <c r="F15" s="160">
        <f>INT(F14+($F$18-F14)/($A$18-A14))</f>
        <v>30880000</v>
      </c>
      <c r="G15" s="159">
        <f t="shared" si="2"/>
        <v>40000</v>
      </c>
      <c r="S15" s="41"/>
      <c r="T15" s="144"/>
      <c r="U15" s="144"/>
      <c r="V15" s="144"/>
      <c r="W15" s="144"/>
      <c r="X15" s="144"/>
      <c r="Y15" s="144"/>
      <c r="Z15" s="144"/>
      <c r="AA15" s="166"/>
      <c r="AB15" s="166"/>
      <c r="AC15" s="166"/>
    </row>
    <row r="16" spans="1:29">
      <c r="A16" s="161">
        <v>2028</v>
      </c>
      <c r="B16" s="160">
        <f t="shared" si="0"/>
        <v>35684108.25</v>
      </c>
      <c r="C16" s="54"/>
      <c r="D16" s="160">
        <f>INT(D15+($D$18-D15)/($A$18-A15))</f>
        <v>33213448</v>
      </c>
      <c r="E16" s="159">
        <f t="shared" si="1"/>
        <v>236307</v>
      </c>
      <c r="F16" s="160">
        <f>INT(F15+($F$18-F15)/($A$18-A15))</f>
        <v>30920000</v>
      </c>
      <c r="G16" s="159">
        <f t="shared" si="2"/>
        <v>40000</v>
      </c>
      <c r="S16" s="41"/>
      <c r="T16" s="144"/>
      <c r="U16" s="144"/>
      <c r="V16" s="144"/>
      <c r="W16" s="144"/>
      <c r="X16" s="144"/>
      <c r="Y16" s="144"/>
      <c r="Z16" s="144"/>
      <c r="AA16" s="166"/>
      <c r="AB16" s="166"/>
      <c r="AC16" s="166"/>
    </row>
    <row r="17" spans="1:29">
      <c r="A17" s="161">
        <v>2029</v>
      </c>
      <c r="B17" s="160">
        <f t="shared" si="0"/>
        <v>36086913.9375</v>
      </c>
      <c r="C17" s="54"/>
      <c r="D17" s="160">
        <f>INT(D16+($D$18-D16)/($A$18-A16))</f>
        <v>33449755</v>
      </c>
      <c r="E17" s="159">
        <f t="shared" si="1"/>
        <v>236307</v>
      </c>
      <c r="F17" s="160">
        <f>INT(F16+($F$18-F16)/($A$18-A16))</f>
        <v>30960000</v>
      </c>
      <c r="G17" s="159">
        <f t="shared" si="2"/>
        <v>40000</v>
      </c>
      <c r="S17" s="41"/>
      <c r="T17" s="144"/>
      <c r="U17" s="144"/>
      <c r="V17" s="144"/>
      <c r="W17" s="144"/>
      <c r="X17" s="144"/>
      <c r="Y17" s="144"/>
      <c r="Z17" s="144"/>
      <c r="AA17" s="166"/>
      <c r="AB17" s="166"/>
      <c r="AC17" s="166"/>
    </row>
    <row r="18" spans="1:29">
      <c r="A18" s="163">
        <v>2030</v>
      </c>
      <c r="B18" s="160">
        <f t="shared" si="0"/>
        <v>36489719.625</v>
      </c>
      <c r="C18" s="54"/>
      <c r="D18" s="165">
        <f>F42</f>
        <v>33686063.263311006</v>
      </c>
      <c r="E18" s="159">
        <f t="shared" si="1"/>
        <v>236308.26331100613</v>
      </c>
      <c r="F18" s="162">
        <f>F43</f>
        <v>31000000</v>
      </c>
      <c r="G18" s="159">
        <f t="shared" si="2"/>
        <v>40000</v>
      </c>
      <c r="S18" s="41"/>
      <c r="T18" s="144"/>
      <c r="U18" s="144"/>
      <c r="V18" s="144"/>
      <c r="W18" s="144"/>
      <c r="X18" s="144"/>
      <c r="Y18" s="144"/>
      <c r="Z18" s="144"/>
      <c r="AA18" s="166"/>
      <c r="AB18" s="166"/>
      <c r="AC18" s="166"/>
    </row>
    <row r="19" spans="1:29">
      <c r="A19" s="161">
        <v>2031</v>
      </c>
      <c r="B19" s="160">
        <f t="shared" si="0"/>
        <v>36892525.3125</v>
      </c>
      <c r="C19" s="54"/>
      <c r="D19" s="160">
        <f>INT(D18+($D$23-D18)/($A$23-A18))</f>
        <v>33847095</v>
      </c>
      <c r="E19" s="159">
        <f t="shared" si="1"/>
        <v>161031.73668899387</v>
      </c>
      <c r="F19" s="160">
        <f>INT(F18+($F$23-F18)/($A$23-A18))</f>
        <v>30200000</v>
      </c>
      <c r="G19" s="159">
        <f t="shared" si="2"/>
        <v>-800000</v>
      </c>
      <c r="S19" s="41"/>
      <c r="T19" s="144"/>
      <c r="U19" s="144"/>
      <c r="V19" s="144"/>
      <c r="W19" s="144"/>
      <c r="X19" s="144"/>
      <c r="Y19" s="144"/>
      <c r="Z19" s="144"/>
      <c r="AA19" s="144"/>
      <c r="AB19" s="144"/>
      <c r="AC19" s="166"/>
    </row>
    <row r="20" spans="1:29">
      <c r="A20" s="161">
        <v>2032</v>
      </c>
      <c r="B20" s="160">
        <f t="shared" si="0"/>
        <v>37295331</v>
      </c>
      <c r="C20" s="54"/>
      <c r="D20" s="160">
        <f>INT(D19+($D$23-D19)/($A$23-A19))</f>
        <v>34008127</v>
      </c>
      <c r="E20" s="159">
        <f t="shared" si="1"/>
        <v>161032</v>
      </c>
      <c r="F20" s="160">
        <f>INT(F19+($F$23-F19)/($A$23-A19))</f>
        <v>29400000</v>
      </c>
      <c r="G20" s="159">
        <f t="shared" si="2"/>
        <v>-800000</v>
      </c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>
      <c r="A21" s="161">
        <v>2033</v>
      </c>
      <c r="B21" s="160">
        <f t="shared" si="0"/>
        <v>37698136.6875</v>
      </c>
      <c r="C21" s="54"/>
      <c r="D21" s="160">
        <f>INT(D20+($D$23-D20)/($A$23-A20))</f>
        <v>34169159</v>
      </c>
      <c r="E21" s="159">
        <f t="shared" si="1"/>
        <v>161032</v>
      </c>
      <c r="F21" s="160">
        <f>INT(F20+($F$23-F20)/($A$23-A20))</f>
        <v>28600000</v>
      </c>
      <c r="G21" s="159">
        <f t="shared" si="2"/>
        <v>-800000</v>
      </c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</row>
    <row r="22" spans="1:29">
      <c r="A22" s="161">
        <v>2034</v>
      </c>
      <c r="B22" s="160">
        <f t="shared" si="0"/>
        <v>38100942.375</v>
      </c>
      <c r="C22" s="54"/>
      <c r="D22" s="160">
        <f>INT(D21+($D$23-D21)/($A$23-A21))</f>
        <v>34330191</v>
      </c>
      <c r="E22" s="159">
        <f t="shared" si="1"/>
        <v>161032</v>
      </c>
      <c r="F22" s="160">
        <f>INT(F21+($F$23-F21)/($A$23-A21))</f>
        <v>27800000</v>
      </c>
      <c r="G22" s="159">
        <f t="shared" si="2"/>
        <v>-800000</v>
      </c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</row>
    <row r="23" spans="1:29">
      <c r="A23" s="163">
        <v>2035</v>
      </c>
      <c r="B23" s="160">
        <f t="shared" si="0"/>
        <v>38503748.0625</v>
      </c>
      <c r="C23" s="54"/>
      <c r="D23" s="165">
        <f>G42</f>
        <v>34491224.708233021</v>
      </c>
      <c r="E23" s="159">
        <f t="shared" si="1"/>
        <v>161033.7082330212</v>
      </c>
      <c r="F23" s="162">
        <f>G43</f>
        <v>27000000</v>
      </c>
      <c r="G23" s="159">
        <f t="shared" si="2"/>
        <v>-800000</v>
      </c>
    </row>
    <row r="24" spans="1:29">
      <c r="A24" s="161">
        <v>2036</v>
      </c>
      <c r="B24" s="160">
        <f t="shared" si="0"/>
        <v>38906553.75</v>
      </c>
      <c r="C24" s="54"/>
      <c r="D24" s="160">
        <f>INT(D23+($D$28-D23)/($A$28-A23))</f>
        <v>34672698</v>
      </c>
      <c r="E24" s="275">
        <f t="shared" si="1"/>
        <v>181473.2917669788</v>
      </c>
      <c r="F24" s="160">
        <f>INT(F23+($F$28-F23)/($A$28-A23))</f>
        <v>26200000</v>
      </c>
      <c r="G24" s="159">
        <f t="shared" si="2"/>
        <v>-800000</v>
      </c>
    </row>
    <row r="25" spans="1:29">
      <c r="A25" s="161">
        <v>2037</v>
      </c>
      <c r="B25" s="160">
        <f t="shared" si="0"/>
        <v>39309359.4375</v>
      </c>
      <c r="C25" s="54"/>
      <c r="D25" s="160">
        <f>INT(D24+($D$28-D24)/($A$28-A24))</f>
        <v>34854171</v>
      </c>
      <c r="E25" s="275">
        <f t="shared" si="1"/>
        <v>181473</v>
      </c>
      <c r="F25" s="160">
        <f>INT(F24+($F$28-F24)/($A$28-A24))</f>
        <v>25400000</v>
      </c>
      <c r="G25" s="159">
        <f t="shared" si="2"/>
        <v>-800000</v>
      </c>
    </row>
    <row r="26" spans="1:29">
      <c r="A26" s="161">
        <v>2038</v>
      </c>
      <c r="B26" s="160">
        <f t="shared" si="0"/>
        <v>39712165.125</v>
      </c>
      <c r="C26" s="54"/>
      <c r="D26" s="160">
        <f>INT(D25+($D$28-D25)/($A$28-A25))</f>
        <v>35035644</v>
      </c>
      <c r="E26" s="275">
        <f t="shared" si="1"/>
        <v>181473</v>
      </c>
      <c r="F26" s="160">
        <f>INT(F25+($F$28-F25)/($A$28-A25))</f>
        <v>24600000</v>
      </c>
      <c r="G26" s="159">
        <f t="shared" si="2"/>
        <v>-800000</v>
      </c>
    </row>
    <row r="27" spans="1:29">
      <c r="A27" s="161">
        <v>2039</v>
      </c>
      <c r="B27" s="160">
        <f t="shared" si="0"/>
        <v>40114970.8125</v>
      </c>
      <c r="C27" s="54"/>
      <c r="D27" s="160">
        <f>INT(D26+($D$28-D26)/($A$28-A26))</f>
        <v>35217117</v>
      </c>
      <c r="E27" s="275">
        <f t="shared" si="1"/>
        <v>181473</v>
      </c>
      <c r="F27" s="160">
        <f>INT(F26+($F$28-F26)/($A$28-A26))</f>
        <v>23800000</v>
      </c>
      <c r="G27" s="159">
        <f t="shared" si="2"/>
        <v>-800000</v>
      </c>
    </row>
    <row r="28" spans="1:29">
      <c r="A28" s="163">
        <v>2040</v>
      </c>
      <c r="B28" s="160">
        <f t="shared" si="0"/>
        <v>40517776.5</v>
      </c>
      <c r="C28" s="54"/>
      <c r="D28" s="165">
        <f>H42</f>
        <v>35398591.594862312</v>
      </c>
      <c r="E28" s="275">
        <f t="shared" si="1"/>
        <v>181474.59486231208</v>
      </c>
      <c r="F28" s="162">
        <f>H43</f>
        <v>23000000</v>
      </c>
      <c r="G28" s="159">
        <f t="shared" si="2"/>
        <v>-800000</v>
      </c>
    </row>
    <row r="29" spans="1:29">
      <c r="A29" s="161">
        <v>2041</v>
      </c>
      <c r="B29" s="160">
        <f t="shared" si="0"/>
        <v>40920582.1875</v>
      </c>
      <c r="C29" s="54"/>
      <c r="D29" s="160">
        <f t="shared" ref="D29:D38" si="3">INT(D28+$E$29)</f>
        <v>35588097</v>
      </c>
      <c r="E29" s="275">
        <f>AVERAGE(E5:E28)</f>
        <v>189506.31645259634</v>
      </c>
      <c r="F29" s="160">
        <f>INT(F28+($F$33-F28)/($A$33-A28))</f>
        <v>23220000</v>
      </c>
      <c r="G29" s="159">
        <f t="shared" si="2"/>
        <v>220000</v>
      </c>
      <c r="H29" s="164"/>
      <c r="I29" s="164"/>
      <c r="J29" s="164"/>
    </row>
    <row r="30" spans="1:29">
      <c r="A30" s="161">
        <v>2042</v>
      </c>
      <c r="B30" s="160">
        <f t="shared" si="0"/>
        <v>41323387.875</v>
      </c>
      <c r="C30" s="54"/>
      <c r="D30" s="160">
        <f t="shared" si="3"/>
        <v>35777603</v>
      </c>
      <c r="E30" s="275">
        <f t="shared" ref="E30:E38" si="4">$E$29</f>
        <v>189506.31645259634</v>
      </c>
      <c r="F30" s="160">
        <f>INT(F29+($F$33-F29)/($A$33-A29))</f>
        <v>23440000</v>
      </c>
      <c r="G30" s="159">
        <f t="shared" si="2"/>
        <v>220000</v>
      </c>
    </row>
    <row r="31" spans="1:29">
      <c r="A31" s="161">
        <v>2043</v>
      </c>
      <c r="B31" s="160">
        <f t="shared" si="0"/>
        <v>41726193.5625</v>
      </c>
      <c r="C31" s="54"/>
      <c r="D31" s="160">
        <f t="shared" si="3"/>
        <v>35967109</v>
      </c>
      <c r="E31" s="275">
        <f t="shared" si="4"/>
        <v>189506.31645259634</v>
      </c>
      <c r="F31" s="160">
        <f>INT(F30+($F$33-F30)/($A$33-A30))</f>
        <v>23660000</v>
      </c>
      <c r="G31" s="159">
        <f t="shared" si="2"/>
        <v>220000</v>
      </c>
    </row>
    <row r="32" spans="1:29">
      <c r="A32" s="161">
        <v>2044</v>
      </c>
      <c r="B32" s="160">
        <f t="shared" si="0"/>
        <v>42128999.25</v>
      </c>
      <c r="C32" s="54"/>
      <c r="D32" s="160">
        <f t="shared" si="3"/>
        <v>36156615</v>
      </c>
      <c r="E32" s="275">
        <f t="shared" si="4"/>
        <v>189506.31645259634</v>
      </c>
      <c r="F32" s="160">
        <f>INT(F31+($F$33-F31)/($A$33-A31))</f>
        <v>23880000</v>
      </c>
      <c r="G32" s="159">
        <f t="shared" si="2"/>
        <v>220000</v>
      </c>
    </row>
    <row r="33" spans="1:12">
      <c r="A33" s="163">
        <v>2045</v>
      </c>
      <c r="B33" s="160">
        <f t="shared" si="0"/>
        <v>42531804.9375</v>
      </c>
      <c r="C33" s="54"/>
      <c r="D33" s="160">
        <f t="shared" si="3"/>
        <v>36346121</v>
      </c>
      <c r="E33" s="275">
        <f t="shared" si="4"/>
        <v>189506.31645259634</v>
      </c>
      <c r="F33" s="162">
        <f>I43</f>
        <v>24100000</v>
      </c>
      <c r="G33" s="159">
        <f t="shared" si="2"/>
        <v>220000</v>
      </c>
    </row>
    <row r="34" spans="1:12">
      <c r="A34" s="161">
        <v>2046</v>
      </c>
      <c r="B34" s="160">
        <f t="shared" si="0"/>
        <v>42934610.625</v>
      </c>
      <c r="C34" s="54"/>
      <c r="D34" s="160">
        <f t="shared" si="3"/>
        <v>36535627</v>
      </c>
      <c r="E34" s="275">
        <f t="shared" si="4"/>
        <v>189506.31645259634</v>
      </c>
      <c r="F34" s="160">
        <f>INT(F33+($F$38-F33)/($A$38-A33))</f>
        <v>24320000</v>
      </c>
      <c r="G34" s="159">
        <f t="shared" si="2"/>
        <v>220000</v>
      </c>
      <c r="L34" s="41"/>
    </row>
    <row r="35" spans="1:12">
      <c r="A35" s="161">
        <v>2047</v>
      </c>
      <c r="B35" s="160">
        <f t="shared" si="0"/>
        <v>43337416.3125</v>
      </c>
      <c r="C35" s="54"/>
      <c r="D35" s="160">
        <f t="shared" si="3"/>
        <v>36725133</v>
      </c>
      <c r="E35" s="275">
        <f t="shared" si="4"/>
        <v>189506.31645259634</v>
      </c>
      <c r="F35" s="160">
        <f>INT(F34+($F$38-F34)/($A$38-A34))</f>
        <v>24540000</v>
      </c>
      <c r="G35" s="159">
        <f t="shared" si="2"/>
        <v>220000</v>
      </c>
    </row>
    <row r="36" spans="1:12">
      <c r="A36" s="161">
        <v>2048</v>
      </c>
      <c r="B36" s="160">
        <f t="shared" si="0"/>
        <v>43740222</v>
      </c>
      <c r="C36" s="54"/>
      <c r="D36" s="160">
        <f t="shared" si="3"/>
        <v>36914639</v>
      </c>
      <c r="E36" s="275">
        <f t="shared" si="4"/>
        <v>189506.31645259634</v>
      </c>
      <c r="F36" s="160">
        <f>INT(F35+($F$38-F35)/($A$38-A35))</f>
        <v>24760000</v>
      </c>
      <c r="G36" s="159">
        <f t="shared" si="2"/>
        <v>220000</v>
      </c>
    </row>
    <row r="37" spans="1:12">
      <c r="A37" s="161">
        <v>2049</v>
      </c>
      <c r="B37" s="160">
        <f t="shared" si="0"/>
        <v>44143027.6875</v>
      </c>
      <c r="C37" s="54"/>
      <c r="D37" s="160">
        <f t="shared" si="3"/>
        <v>37104145</v>
      </c>
      <c r="E37" s="275">
        <f t="shared" si="4"/>
        <v>189506.31645259634</v>
      </c>
      <c r="F37" s="160">
        <f>INT(F36+($F$38-F36)/($A$38-A36))</f>
        <v>24980000</v>
      </c>
      <c r="G37" s="159">
        <f t="shared" si="2"/>
        <v>220000</v>
      </c>
    </row>
    <row r="38" spans="1:12" ht="15" thickBot="1">
      <c r="A38" s="158">
        <v>2050</v>
      </c>
      <c r="B38" s="156">
        <f t="shared" si="0"/>
        <v>44545833.375</v>
      </c>
      <c r="C38" s="157"/>
      <c r="D38" s="156">
        <f t="shared" si="3"/>
        <v>37293651</v>
      </c>
      <c r="E38" s="276">
        <f t="shared" si="4"/>
        <v>189506.31645259634</v>
      </c>
      <c r="F38" s="155">
        <f>J43</f>
        <v>25200000</v>
      </c>
      <c r="G38" s="154">
        <f t="shared" si="2"/>
        <v>220000</v>
      </c>
    </row>
    <row r="40" spans="1:12" ht="15" thickBot="1"/>
    <row r="41" spans="1:12">
      <c r="A41" s="347" t="s">
        <v>106</v>
      </c>
      <c r="B41" s="153">
        <v>2010</v>
      </c>
      <c r="C41" s="152">
        <v>2015</v>
      </c>
      <c r="D41" s="152">
        <v>2020</v>
      </c>
      <c r="E41" s="152">
        <v>2025</v>
      </c>
      <c r="F41" s="152">
        <v>2030</v>
      </c>
      <c r="G41" s="152">
        <v>2035</v>
      </c>
      <c r="H41" s="151">
        <v>2040</v>
      </c>
      <c r="I41" s="152">
        <v>2045</v>
      </c>
      <c r="J41" s="151">
        <v>2050</v>
      </c>
    </row>
    <row r="42" spans="1:12">
      <c r="A42" s="150" t="s">
        <v>107</v>
      </c>
      <c r="B42" s="122">
        <f t="shared" ref="B42:H42" si="5">B66</f>
        <v>28420877</v>
      </c>
      <c r="C42" s="122">
        <f t="shared" si="5"/>
        <v>30338701.270398423</v>
      </c>
      <c r="D42" s="128">
        <f t="shared" si="5"/>
        <v>31422255.954363789</v>
      </c>
      <c r="E42" s="128">
        <f t="shared" si="5"/>
        <v>32504527.812683959</v>
      </c>
      <c r="F42" s="128">
        <f t="shared" si="5"/>
        <v>33686063.263311006</v>
      </c>
      <c r="G42" s="128">
        <f t="shared" si="5"/>
        <v>34491224.708233021</v>
      </c>
      <c r="H42" s="128">
        <f t="shared" si="5"/>
        <v>35398591.594862312</v>
      </c>
      <c r="I42" s="124" t="s">
        <v>86</v>
      </c>
      <c r="J42" s="149" t="s">
        <v>86</v>
      </c>
    </row>
    <row r="43" spans="1:12">
      <c r="A43" s="148" t="s">
        <v>108</v>
      </c>
      <c r="B43" s="147">
        <v>29700000</v>
      </c>
      <c r="C43" s="147">
        <v>30500000</v>
      </c>
      <c r="D43" s="146">
        <v>30700000</v>
      </c>
      <c r="E43" s="146">
        <v>30800000</v>
      </c>
      <c r="F43" s="146">
        <v>31000000</v>
      </c>
      <c r="G43" s="146">
        <v>27000000</v>
      </c>
      <c r="H43" s="146">
        <v>23000000</v>
      </c>
      <c r="I43" s="146">
        <v>24100000</v>
      </c>
      <c r="J43" s="145">
        <v>25200000</v>
      </c>
    </row>
    <row r="44" spans="1:12">
      <c r="B44" s="144"/>
      <c r="C44" s="144"/>
      <c r="D44" s="144"/>
      <c r="E44" s="144"/>
      <c r="F44" s="144"/>
      <c r="G44" s="144"/>
      <c r="H44" s="144"/>
      <c r="I44" s="143"/>
      <c r="J44" s="142"/>
    </row>
    <row r="45" spans="1:12">
      <c r="B45" s="41" t="s">
        <v>109</v>
      </c>
      <c r="C45" s="144"/>
      <c r="D45" s="144"/>
      <c r="E45" s="144"/>
      <c r="F45" s="144"/>
      <c r="G45" s="144"/>
      <c r="H45" s="144"/>
      <c r="I45" s="143"/>
      <c r="J45" s="142"/>
    </row>
    <row r="46" spans="1:12">
      <c r="A46" s="141"/>
      <c r="B46" s="141" t="s">
        <v>110</v>
      </c>
      <c r="C46" s="40"/>
      <c r="D46" s="40"/>
      <c r="E46" s="40"/>
      <c r="F46" s="40"/>
      <c r="G46" s="40"/>
      <c r="H46" s="40"/>
      <c r="I46" s="39"/>
    </row>
    <row r="48" spans="1:12" s="136" customFormat="1">
      <c r="A48" s="140" t="s">
        <v>111</v>
      </c>
      <c r="B48" s="139"/>
      <c r="C48" s="139"/>
      <c r="D48" s="138"/>
      <c r="E48" s="137">
        <f>(N121-N105)/(A121-A105)*1000</f>
        <v>402805.6875</v>
      </c>
    </row>
    <row r="49" spans="1:23" s="136" customFormat="1">
      <c r="A49" s="41"/>
      <c r="B49" s="41"/>
      <c r="C49" s="41"/>
    </row>
    <row r="50" spans="1:23" s="136" customFormat="1">
      <c r="A50" s="41"/>
      <c r="B50" s="41"/>
      <c r="C50" s="41"/>
    </row>
    <row r="51" spans="1:23" s="136" customFormat="1">
      <c r="A51" s="41"/>
      <c r="B51" s="41"/>
      <c r="C51" s="41"/>
    </row>
    <row r="52" spans="1:23" s="136" customFormat="1">
      <c r="A52" s="41"/>
      <c r="B52" s="41"/>
      <c r="C52" s="41"/>
    </row>
    <row r="53" spans="1:23" s="136" customFormat="1">
      <c r="A53" s="41"/>
      <c r="B53" s="41"/>
      <c r="C53" s="41"/>
    </row>
    <row r="54" spans="1:23" s="136" customFormat="1">
      <c r="A54" s="41"/>
      <c r="B54" s="41"/>
      <c r="C54" s="41"/>
    </row>
    <row r="55" spans="1:23" s="136" customFormat="1">
      <c r="A55" s="41"/>
      <c r="B55" s="41"/>
      <c r="C55" s="41"/>
    </row>
    <row r="56" spans="1:23" s="136" customFormat="1">
      <c r="A56" s="41"/>
      <c r="B56" s="41"/>
      <c r="C56" s="41"/>
    </row>
    <row r="57" spans="1:23" s="136" customFormat="1">
      <c r="A57" s="41"/>
      <c r="B57" s="41"/>
      <c r="C57" s="41"/>
    </row>
    <row r="58" spans="1:23" s="136" customFormat="1">
      <c r="A58" s="41"/>
      <c r="B58" s="41"/>
      <c r="C58" s="41"/>
    </row>
    <row r="59" spans="1:23" s="136" customFormat="1">
      <c r="A59" s="41"/>
      <c r="B59" s="41"/>
      <c r="C59" s="41"/>
    </row>
    <row r="60" spans="1:23" ht="15" thickBot="1"/>
    <row r="61" spans="1:23" ht="15" thickBot="1">
      <c r="A61" s="534" t="s">
        <v>112</v>
      </c>
      <c r="B61" s="535"/>
      <c r="C61" s="535"/>
      <c r="D61" s="535"/>
      <c r="E61" s="535"/>
      <c r="F61" s="535"/>
      <c r="G61" s="535"/>
      <c r="H61" s="536"/>
      <c r="V61" s="135" t="s">
        <v>113</v>
      </c>
    </row>
    <row r="62" spans="1:23" ht="15" thickBot="1">
      <c r="A62" s="530" t="s">
        <v>114</v>
      </c>
      <c r="B62" s="537"/>
      <c r="C62" s="537"/>
      <c r="D62" s="537"/>
      <c r="E62" s="537"/>
      <c r="F62" s="537"/>
      <c r="G62" s="537"/>
      <c r="H62" s="531"/>
      <c r="V62" s="36" t="s">
        <v>115</v>
      </c>
    </row>
    <row r="63" spans="1:23" ht="15" thickBot="1">
      <c r="A63" s="347" t="s">
        <v>106</v>
      </c>
      <c r="B63" s="343">
        <v>2010</v>
      </c>
      <c r="C63" s="345">
        <v>2015</v>
      </c>
      <c r="D63" s="345">
        <v>2020</v>
      </c>
      <c r="E63" s="345">
        <v>2025</v>
      </c>
      <c r="F63" s="345">
        <v>2030</v>
      </c>
      <c r="G63" s="345">
        <v>2035</v>
      </c>
      <c r="H63" s="344">
        <v>2040</v>
      </c>
      <c r="V63" s="36" t="s">
        <v>116</v>
      </c>
    </row>
    <row r="64" spans="1:23" ht="15">
      <c r="A64" s="125" t="s">
        <v>117</v>
      </c>
      <c r="B64" s="134">
        <v>28420877</v>
      </c>
      <c r="C64" s="133">
        <v>30250294</v>
      </c>
      <c r="D64" s="132"/>
      <c r="E64" s="132"/>
      <c r="F64" s="132"/>
      <c r="G64" s="132"/>
      <c r="H64" s="131"/>
      <c r="V64" s="36" t="s">
        <v>118</v>
      </c>
      <c r="W64" s="130">
        <v>40664</v>
      </c>
    </row>
    <row r="65" spans="1:30">
      <c r="A65" s="125" t="s">
        <v>119</v>
      </c>
      <c r="B65" s="124">
        <f t="shared" ref="B65:H65" si="6">$B64*C80/100</f>
        <v>28420877</v>
      </c>
      <c r="C65" s="124">
        <f t="shared" si="6"/>
        <v>30438990.874312576</v>
      </c>
      <c r="D65" s="124">
        <f t="shared" si="6"/>
        <v>32083559.384876013</v>
      </c>
      <c r="E65" s="124">
        <f t="shared" si="6"/>
        <v>33770894.081845351</v>
      </c>
      <c r="F65" s="124">
        <f t="shared" si="6"/>
        <v>35664569.881424293</v>
      </c>
      <c r="G65" s="124">
        <f t="shared" si="6"/>
        <v>37205723.368376799</v>
      </c>
      <c r="H65" s="121">
        <f t="shared" si="6"/>
        <v>38926888.400043078</v>
      </c>
      <c r="V65" s="36" t="s">
        <v>120</v>
      </c>
      <c r="W65" s="130"/>
    </row>
    <row r="66" spans="1:30" ht="15.6">
      <c r="A66" s="129" t="s">
        <v>121</v>
      </c>
      <c r="B66" s="128">
        <f t="shared" ref="B66:H66" si="7">$B64*C82/100</f>
        <v>28420877</v>
      </c>
      <c r="C66" s="128">
        <f t="shared" si="7"/>
        <v>30338701.270398423</v>
      </c>
      <c r="D66" s="128">
        <f t="shared" si="7"/>
        <v>31422255.954363789</v>
      </c>
      <c r="E66" s="128">
        <f t="shared" si="7"/>
        <v>32504527.812683959</v>
      </c>
      <c r="F66" s="128">
        <f t="shared" si="7"/>
        <v>33686063.263311006</v>
      </c>
      <c r="G66" s="128">
        <f t="shared" si="7"/>
        <v>34491224.708233021</v>
      </c>
      <c r="H66" s="127">
        <f t="shared" si="7"/>
        <v>35398591.594862312</v>
      </c>
      <c r="V66" s="36" t="s">
        <v>122</v>
      </c>
      <c r="W66" s="126" t="s">
        <v>123</v>
      </c>
    </row>
    <row r="67" spans="1:30" ht="15" thickBot="1">
      <c r="A67" s="125" t="s">
        <v>124</v>
      </c>
      <c r="B67" s="124">
        <f t="shared" ref="B67:H67" si="8">$B64*C84/100</f>
        <v>28420877</v>
      </c>
      <c r="C67" s="124">
        <f t="shared" si="8"/>
        <v>30438990.874312576</v>
      </c>
      <c r="D67" s="124">
        <f t="shared" si="8"/>
        <v>32083559.384876013</v>
      </c>
      <c r="E67" s="124">
        <f t="shared" si="8"/>
        <v>33770894.081845351</v>
      </c>
      <c r="F67" s="124">
        <f t="shared" si="8"/>
        <v>35664569.881424293</v>
      </c>
      <c r="G67" s="124">
        <f t="shared" si="8"/>
        <v>37205723.368376799</v>
      </c>
      <c r="H67" s="121">
        <f t="shared" si="8"/>
        <v>38926888.400043078</v>
      </c>
      <c r="N67" s="41"/>
      <c r="O67" s="40"/>
      <c r="P67" s="40"/>
      <c r="Q67" s="40"/>
      <c r="R67" s="40"/>
      <c r="S67" s="40"/>
      <c r="T67" s="40"/>
      <c r="U67" s="40"/>
    </row>
    <row r="68" spans="1:30" ht="15" thickBot="1">
      <c r="A68" s="123" t="s">
        <v>125</v>
      </c>
      <c r="B68" s="122">
        <f t="shared" ref="B68:H68" si="9">$B64*C86/100</f>
        <v>28420877</v>
      </c>
      <c r="C68" s="122">
        <f t="shared" si="9"/>
        <v>30221362.652996968</v>
      </c>
      <c r="D68" s="122">
        <f t="shared" si="9"/>
        <v>31395100.618223451</v>
      </c>
      <c r="E68" s="122">
        <f t="shared" si="9"/>
        <v>32844245.284730691</v>
      </c>
      <c r="F68" s="122">
        <f t="shared" si="9"/>
        <v>34479851.070645332</v>
      </c>
      <c r="G68" s="122">
        <f t="shared" si="9"/>
        <v>35729062.056057483</v>
      </c>
      <c r="H68" s="121">
        <f t="shared" si="9"/>
        <v>37154756.740756005</v>
      </c>
      <c r="N68" s="41"/>
      <c r="O68" s="40"/>
      <c r="P68" s="40"/>
      <c r="V68" s="519" t="s">
        <v>126</v>
      </c>
      <c r="W68" s="520"/>
      <c r="X68" s="520"/>
      <c r="Y68" s="520"/>
      <c r="Z68" s="520"/>
      <c r="AA68" s="520"/>
      <c r="AB68" s="520"/>
      <c r="AC68" s="520"/>
      <c r="AD68" s="521"/>
    </row>
    <row r="69" spans="1:30" ht="15" thickBot="1">
      <c r="A69" s="120" t="s">
        <v>127</v>
      </c>
      <c r="B69" s="119">
        <f t="shared" ref="B69:H69" si="10">$B64*C88/100</f>
        <v>28420877</v>
      </c>
      <c r="C69" s="119">
        <f t="shared" si="10"/>
        <v>30638411.503509812</v>
      </c>
      <c r="D69" s="119">
        <f t="shared" si="10"/>
        <v>32743700.987113513</v>
      </c>
      <c r="E69" s="119">
        <f t="shared" si="10"/>
        <v>34630330.775627345</v>
      </c>
      <c r="F69" s="119">
        <f t="shared" si="10"/>
        <v>36728596.511682115</v>
      </c>
      <c r="G69" s="119">
        <f t="shared" si="10"/>
        <v>38421839.821387127</v>
      </c>
      <c r="H69" s="118">
        <f t="shared" si="10"/>
        <v>40303730.822790019</v>
      </c>
      <c r="N69" s="41"/>
      <c r="O69" s="40"/>
      <c r="P69" s="40"/>
      <c r="Q69" s="40"/>
      <c r="R69" s="40"/>
      <c r="S69" s="40"/>
      <c r="T69" s="40"/>
      <c r="U69" s="40"/>
      <c r="V69" s="522" t="s">
        <v>128</v>
      </c>
      <c r="W69" s="523"/>
      <c r="X69" s="523"/>
      <c r="Y69" s="523"/>
      <c r="Z69" s="523"/>
      <c r="AA69" s="523"/>
      <c r="AB69" s="523"/>
      <c r="AC69" s="523"/>
      <c r="AD69" s="524"/>
    </row>
    <row r="70" spans="1:30" ht="15" thickBot="1">
      <c r="N70" s="41"/>
      <c r="O70" s="40"/>
      <c r="P70" s="40"/>
      <c r="Q70" s="40"/>
      <c r="R70" s="40"/>
      <c r="S70" s="40"/>
      <c r="T70" s="40"/>
      <c r="U70" s="40"/>
      <c r="V70" s="348" t="s">
        <v>43</v>
      </c>
      <c r="W70" s="117">
        <v>2006</v>
      </c>
      <c r="X70" s="117">
        <v>2011</v>
      </c>
      <c r="Y70" s="117">
        <v>2016</v>
      </c>
      <c r="Z70" s="117">
        <v>2021</v>
      </c>
      <c r="AA70" s="117">
        <v>2026</v>
      </c>
      <c r="AB70" s="117">
        <v>2031</v>
      </c>
      <c r="AC70" s="117">
        <v>2036</v>
      </c>
      <c r="AD70" s="116">
        <v>2041</v>
      </c>
    </row>
    <row r="71" spans="1:30" ht="15" thickBot="1">
      <c r="N71" s="41"/>
      <c r="O71" s="40"/>
      <c r="P71" s="40"/>
      <c r="Q71" s="40"/>
      <c r="R71" s="40"/>
      <c r="S71" s="40"/>
      <c r="T71" s="40"/>
      <c r="U71" s="40"/>
      <c r="V71" s="115" t="s">
        <v>104</v>
      </c>
      <c r="W71" s="114">
        <f>(W82*0+X82*1+Y82*2+Z82*3)*1000</f>
        <v>28343000</v>
      </c>
      <c r="X71" s="113">
        <f>(W83*0+X83*1+Y83*2+Z83*3)*1000</f>
        <v>29661000</v>
      </c>
      <c r="Y71" s="113">
        <f>(W84*0+X84*1+Y84*2+Z84*3)*1000</f>
        <v>32000000</v>
      </c>
      <c r="Z71" s="113">
        <f>(W85*0+X85*1+Y85*2+Z85*3)*1000</f>
        <v>33666000</v>
      </c>
      <c r="AA71" s="113">
        <f>(W86*0+X86*1+Y86*2+Z86*3)*1000</f>
        <v>35334000</v>
      </c>
      <c r="AB71" s="113">
        <f>(W87*0+X87*1+Y87*2+Z87*3)*1000</f>
        <v>36929000</v>
      </c>
      <c r="AC71" s="113">
        <f>(W88*0+X88*1+Y88*2+Z88*3)*1000</f>
        <v>38590000</v>
      </c>
      <c r="AD71" s="112">
        <f>(W89*0+X89*1+Y89*2+Z89*3)*1000</f>
        <v>40227000</v>
      </c>
    </row>
    <row r="72" spans="1:30" ht="15.6">
      <c r="A72" s="38" t="s">
        <v>129</v>
      </c>
      <c r="B72" s="38"/>
      <c r="C72" s="37"/>
      <c r="D72" s="37"/>
      <c r="E72" s="37"/>
      <c r="F72" s="37"/>
      <c r="G72" s="37"/>
      <c r="H72" s="37"/>
      <c r="I72" s="37"/>
      <c r="J72" s="37"/>
    </row>
    <row r="73" spans="1:30" ht="15" thickBot="1">
      <c r="A73" s="111" t="s">
        <v>130</v>
      </c>
      <c r="B73" s="110"/>
      <c r="C73" s="97"/>
      <c r="D73" s="97"/>
      <c r="E73" s="109"/>
      <c r="F73" s="97"/>
      <c r="G73" s="97"/>
      <c r="H73" s="97"/>
      <c r="I73" s="97"/>
      <c r="J73" s="97"/>
    </row>
    <row r="74" spans="1:30" ht="15.6">
      <c r="A74" s="108" t="s">
        <v>131</v>
      </c>
      <c r="B74" s="108"/>
      <c r="C74" s="37"/>
      <c r="D74" s="37"/>
      <c r="E74" s="37"/>
      <c r="F74" s="37"/>
      <c r="G74" s="37"/>
      <c r="H74" s="37"/>
      <c r="I74" s="37"/>
      <c r="J74" s="37"/>
      <c r="V74" s="525" t="s">
        <v>132</v>
      </c>
      <c r="W74" s="526"/>
      <c r="X74" s="526"/>
      <c r="Y74" s="526"/>
      <c r="Z74" s="526"/>
      <c r="AA74" s="526"/>
      <c r="AB74" s="526"/>
      <c r="AC74" s="526"/>
      <c r="AD74" s="527"/>
    </row>
    <row r="75" spans="1:30" ht="18.600000000000001" thickBot="1">
      <c r="A75" s="108" t="s">
        <v>133</v>
      </c>
      <c r="B75" s="108"/>
      <c r="C75" s="107"/>
      <c r="D75" s="107"/>
      <c r="E75" s="107"/>
      <c r="F75" s="37"/>
      <c r="G75" s="37"/>
      <c r="H75" s="37"/>
      <c r="I75" s="37"/>
      <c r="J75" s="37"/>
      <c r="V75" s="91" t="s">
        <v>134</v>
      </c>
      <c r="W75" s="90">
        <v>2006</v>
      </c>
      <c r="X75" s="90">
        <v>2011</v>
      </c>
      <c r="Y75" s="90">
        <v>2016</v>
      </c>
      <c r="Z75" s="90">
        <v>2021</v>
      </c>
      <c r="AA75" s="90">
        <v>2026</v>
      </c>
      <c r="AB75" s="90">
        <v>2031</v>
      </c>
      <c r="AC75" s="90">
        <v>2036</v>
      </c>
      <c r="AD75" s="89">
        <v>2041</v>
      </c>
    </row>
    <row r="76" spans="1:30" ht="15" thickBot="1">
      <c r="A76" s="106"/>
      <c r="B76" s="106"/>
      <c r="C76" s="106"/>
      <c r="D76" s="105"/>
      <c r="E76" s="105"/>
      <c r="F76" s="104"/>
      <c r="G76" s="104"/>
      <c r="H76" s="104"/>
      <c r="I76" s="104" t="s">
        <v>135</v>
      </c>
      <c r="J76" s="97"/>
      <c r="V76" s="103" t="s">
        <v>136</v>
      </c>
      <c r="W76" s="102">
        <v>10228</v>
      </c>
      <c r="X76" s="102">
        <v>11116</v>
      </c>
      <c r="Y76" s="102">
        <v>12031</v>
      </c>
      <c r="Z76" s="102">
        <v>12980</v>
      </c>
      <c r="AA76" s="102">
        <v>13941</v>
      </c>
      <c r="AB76" s="102">
        <v>14840</v>
      </c>
      <c r="AC76" s="102">
        <v>15732</v>
      </c>
      <c r="AD76" s="101">
        <v>16540</v>
      </c>
    </row>
    <row r="77" spans="1:30" ht="15" thickBot="1">
      <c r="A77" s="100"/>
      <c r="B77" s="100"/>
      <c r="C77" s="98">
        <v>2010</v>
      </c>
      <c r="D77" s="98">
        <v>2015</v>
      </c>
      <c r="E77" s="99">
        <v>2020</v>
      </c>
      <c r="F77" s="99">
        <v>2025</v>
      </c>
      <c r="G77" s="99">
        <v>2030</v>
      </c>
      <c r="H77" s="99">
        <v>2035</v>
      </c>
      <c r="I77" s="98">
        <v>2040</v>
      </c>
      <c r="J77" s="97"/>
      <c r="V77" s="96" t="s">
        <v>137</v>
      </c>
      <c r="W77" s="80">
        <v>18690</v>
      </c>
      <c r="X77" s="80">
        <v>19053</v>
      </c>
      <c r="Y77" s="80">
        <v>19529</v>
      </c>
      <c r="Z77" s="80">
        <v>19985</v>
      </c>
      <c r="AA77" s="80">
        <v>20367</v>
      </c>
      <c r="AB77" s="80">
        <v>20713</v>
      </c>
      <c r="AC77" s="80">
        <v>20972</v>
      </c>
      <c r="AD77" s="79">
        <v>21052</v>
      </c>
    </row>
    <row r="78" spans="1:30" ht="16.8" thickBot="1">
      <c r="A78" s="95" t="s">
        <v>138</v>
      </c>
      <c r="B78" s="95"/>
      <c r="C78" s="94"/>
      <c r="D78" s="94"/>
      <c r="E78" s="94"/>
      <c r="F78" s="94"/>
      <c r="G78" s="94"/>
      <c r="H78" s="94"/>
      <c r="I78" s="94"/>
      <c r="J78" s="93"/>
      <c r="V78" s="91" t="s">
        <v>139</v>
      </c>
      <c r="W78" s="72">
        <f t="shared" ref="W78:AD78" si="11">W76+W77</f>
        <v>28918</v>
      </c>
      <c r="X78" s="72">
        <f t="shared" si="11"/>
        <v>30169</v>
      </c>
      <c r="Y78" s="72">
        <f t="shared" si="11"/>
        <v>31560</v>
      </c>
      <c r="Z78" s="72">
        <f t="shared" si="11"/>
        <v>32965</v>
      </c>
      <c r="AA78" s="72">
        <f t="shared" si="11"/>
        <v>34308</v>
      </c>
      <c r="AB78" s="72">
        <f t="shared" si="11"/>
        <v>35553</v>
      </c>
      <c r="AC78" s="72">
        <f t="shared" si="11"/>
        <v>36704</v>
      </c>
      <c r="AD78" s="71">
        <f t="shared" si="11"/>
        <v>37592</v>
      </c>
    </row>
    <row r="79" spans="1:30" ht="15" thickBot="1">
      <c r="A79" s="516" t="s">
        <v>119</v>
      </c>
      <c r="B79" s="88" t="s">
        <v>140</v>
      </c>
      <c r="C79" s="87">
        <v>100</v>
      </c>
      <c r="D79" s="87">
        <v>103.42379561944648</v>
      </c>
      <c r="E79" s="87">
        <v>105.26150669649618</v>
      </c>
      <c r="F79" s="87">
        <v>107.23710284971497</v>
      </c>
      <c r="G79" s="87">
        <v>110.04761051051774</v>
      </c>
      <c r="H79" s="87">
        <v>111.97096827051563</v>
      </c>
      <c r="I79" s="86">
        <v>114.45664592896701</v>
      </c>
      <c r="J79" s="92"/>
    </row>
    <row r="80" spans="1:30">
      <c r="A80" s="517"/>
      <c r="B80" s="85" t="s">
        <v>141</v>
      </c>
      <c r="C80" s="84">
        <v>100</v>
      </c>
      <c r="D80" s="84">
        <v>107.10081491965423</v>
      </c>
      <c r="E80" s="84">
        <v>112.88729543735055</v>
      </c>
      <c r="F80" s="84">
        <v>118.82425050375944</v>
      </c>
      <c r="G80" s="84">
        <v>125.48722504736322</v>
      </c>
      <c r="H80" s="84">
        <v>130.90983564081009</v>
      </c>
      <c r="I80" s="83">
        <v>136.96582410192013</v>
      </c>
      <c r="J80" s="92"/>
      <c r="V80" s="528" t="s">
        <v>43</v>
      </c>
      <c r="W80" s="525" t="s">
        <v>142</v>
      </c>
      <c r="X80" s="526"/>
      <c r="Y80" s="526"/>
      <c r="Z80" s="527"/>
      <c r="AA80" s="525" t="s">
        <v>143</v>
      </c>
      <c r="AB80" s="526"/>
      <c r="AC80" s="526"/>
      <c r="AD80" s="527"/>
    </row>
    <row r="81" spans="1:30" ht="15" thickBot="1">
      <c r="A81" s="516" t="s">
        <v>121</v>
      </c>
      <c r="B81" s="88" t="s">
        <v>140</v>
      </c>
      <c r="C81" s="87">
        <v>100</v>
      </c>
      <c r="D81" s="87">
        <v>103.08303755881295</v>
      </c>
      <c r="E81" s="87">
        <v>103.09186602027836</v>
      </c>
      <c r="F81" s="87">
        <v>103.21584568304509</v>
      </c>
      <c r="G81" s="87">
        <v>103.9426742551105</v>
      </c>
      <c r="H81" s="87">
        <v>103.80165946993316</v>
      </c>
      <c r="I81" s="86">
        <v>104.08240244942823</v>
      </c>
      <c r="V81" s="529"/>
      <c r="W81" s="91">
        <v>0</v>
      </c>
      <c r="X81" s="90">
        <v>1</v>
      </c>
      <c r="Y81" s="90">
        <v>2</v>
      </c>
      <c r="Z81" s="89" t="s">
        <v>144</v>
      </c>
      <c r="AA81" s="91" t="s">
        <v>145</v>
      </c>
      <c r="AB81" s="90" t="s">
        <v>146</v>
      </c>
      <c r="AC81" s="90" t="s">
        <v>147</v>
      </c>
      <c r="AD81" s="89" t="s">
        <v>148</v>
      </c>
    </row>
    <row r="82" spans="1:30">
      <c r="A82" s="517"/>
      <c r="B82" s="85" t="s">
        <v>141</v>
      </c>
      <c r="C82" s="84">
        <v>100</v>
      </c>
      <c r="D82" s="84">
        <v>106.74794191044288</v>
      </c>
      <c r="E82" s="84">
        <v>110.5604726918307</v>
      </c>
      <c r="F82" s="84">
        <v>114.368489799537</v>
      </c>
      <c r="G82" s="84">
        <v>118.52576985330541</v>
      </c>
      <c r="H82" s="84">
        <v>121.35876281450786</v>
      </c>
      <c r="I82" s="83">
        <v>124.55136973733187</v>
      </c>
      <c r="V82" s="82">
        <v>2006</v>
      </c>
      <c r="W82" s="81">
        <v>5838</v>
      </c>
      <c r="X82" s="80">
        <v>11366</v>
      </c>
      <c r="Y82" s="80">
        <v>6120</v>
      </c>
      <c r="Z82" s="79">
        <v>1579</v>
      </c>
      <c r="AA82" s="78">
        <v>0.23</v>
      </c>
      <c r="AB82" s="77">
        <v>0.46</v>
      </c>
      <c r="AC82" s="77">
        <v>0.25</v>
      </c>
      <c r="AD82" s="76">
        <v>0.06</v>
      </c>
    </row>
    <row r="83" spans="1:30">
      <c r="A83" s="516" t="s">
        <v>124</v>
      </c>
      <c r="B83" s="88" t="s">
        <v>140</v>
      </c>
      <c r="C83" s="87">
        <v>100</v>
      </c>
      <c r="D83" s="87">
        <v>103.42379561944648</v>
      </c>
      <c r="E83" s="87">
        <v>105.26150669649618</v>
      </c>
      <c r="F83" s="87">
        <v>107.23710284971497</v>
      </c>
      <c r="G83" s="87">
        <v>110.04761051051774</v>
      </c>
      <c r="H83" s="87">
        <v>111.97096827051563</v>
      </c>
      <c r="I83" s="86">
        <v>114.45664592896701</v>
      </c>
      <c r="V83" s="82">
        <v>2011</v>
      </c>
      <c r="W83" s="81">
        <v>5908</v>
      </c>
      <c r="X83" s="80">
        <v>12319</v>
      </c>
      <c r="Y83" s="80">
        <v>6298</v>
      </c>
      <c r="Z83" s="79">
        <v>1582</v>
      </c>
      <c r="AA83" s="78">
        <v>0.23</v>
      </c>
      <c r="AB83" s="77">
        <v>0.47</v>
      </c>
      <c r="AC83" s="77">
        <v>0.24</v>
      </c>
      <c r="AD83" s="76">
        <v>0.06</v>
      </c>
    </row>
    <row r="84" spans="1:30">
      <c r="A84" s="517"/>
      <c r="B84" s="85" t="s">
        <v>141</v>
      </c>
      <c r="C84" s="84">
        <v>100</v>
      </c>
      <c r="D84" s="84">
        <v>107.10081491965423</v>
      </c>
      <c r="E84" s="84">
        <v>112.88729543735055</v>
      </c>
      <c r="F84" s="84">
        <v>118.82425050375944</v>
      </c>
      <c r="G84" s="84">
        <v>125.48722504736322</v>
      </c>
      <c r="H84" s="84">
        <v>130.90983564081009</v>
      </c>
      <c r="I84" s="83">
        <v>136.96582410192013</v>
      </c>
      <c r="V84" s="82">
        <v>2016</v>
      </c>
      <c r="W84" s="81">
        <v>5713</v>
      </c>
      <c r="X84" s="80">
        <v>13207</v>
      </c>
      <c r="Y84" s="80">
        <v>6806</v>
      </c>
      <c r="Z84" s="79">
        <v>1727</v>
      </c>
      <c r="AA84" s="78">
        <v>0.21</v>
      </c>
      <c r="AB84" s="77">
        <v>0.48</v>
      </c>
      <c r="AC84" s="77">
        <v>0.25</v>
      </c>
      <c r="AD84" s="76">
        <v>0.06</v>
      </c>
    </row>
    <row r="85" spans="1:30">
      <c r="A85" s="516" t="s">
        <v>125</v>
      </c>
      <c r="B85" s="88" t="s">
        <v>140</v>
      </c>
      <c r="C85" s="87">
        <v>100</v>
      </c>
      <c r="D85" s="87">
        <v>102.68435137258206</v>
      </c>
      <c r="E85" s="87">
        <v>103.00277329952714</v>
      </c>
      <c r="F85" s="87">
        <v>104.29459466142363</v>
      </c>
      <c r="G85" s="87">
        <v>106.39200847503683</v>
      </c>
      <c r="H85" s="87">
        <v>107.52694240624395</v>
      </c>
      <c r="I85" s="86">
        <v>109.24605103676623</v>
      </c>
      <c r="V85" s="82">
        <v>2021</v>
      </c>
      <c r="W85" s="81">
        <v>5860</v>
      </c>
      <c r="X85" s="80">
        <v>13917</v>
      </c>
      <c r="Y85" s="80">
        <v>7149</v>
      </c>
      <c r="Z85" s="79">
        <v>1817</v>
      </c>
      <c r="AA85" s="78">
        <v>0.2</v>
      </c>
      <c r="AB85" s="77">
        <v>0.48</v>
      </c>
      <c r="AC85" s="77">
        <v>0.25</v>
      </c>
      <c r="AD85" s="76">
        <v>0.06</v>
      </c>
    </row>
    <row r="86" spans="1:30">
      <c r="A86" s="517"/>
      <c r="B86" s="85" t="s">
        <v>141</v>
      </c>
      <c r="C86" s="84">
        <v>100</v>
      </c>
      <c r="D86" s="84">
        <v>106.3350812608526</v>
      </c>
      <c r="E86" s="84">
        <v>110.46492554829837</v>
      </c>
      <c r="F86" s="84">
        <v>115.56379940256838</v>
      </c>
      <c r="G86" s="84">
        <v>121.31874421273254</v>
      </c>
      <c r="H86" s="84">
        <v>125.71414336038076</v>
      </c>
      <c r="I86" s="83">
        <v>130.73050750951845</v>
      </c>
      <c r="V86" s="82">
        <v>2026</v>
      </c>
      <c r="W86" s="81">
        <v>5940</v>
      </c>
      <c r="X86" s="80">
        <v>14512</v>
      </c>
      <c r="Y86" s="80">
        <v>7486</v>
      </c>
      <c r="Z86" s="79">
        <v>1950</v>
      </c>
      <c r="AA86" s="78">
        <v>0.2</v>
      </c>
      <c r="AB86" s="77">
        <v>0.49</v>
      </c>
      <c r="AC86" s="77">
        <v>0.25</v>
      </c>
      <c r="AD86" s="76">
        <v>7.0000000000000007E-2</v>
      </c>
    </row>
    <row r="87" spans="1:30">
      <c r="A87" s="516" t="s">
        <v>127</v>
      </c>
      <c r="B87" s="88" t="s">
        <v>140</v>
      </c>
      <c r="C87" s="87">
        <v>100</v>
      </c>
      <c r="D87" s="87">
        <v>104.10137519104133</v>
      </c>
      <c r="E87" s="87">
        <v>107.42733558259276</v>
      </c>
      <c r="F87" s="87">
        <v>109.96618372333815</v>
      </c>
      <c r="G87" s="87">
        <v>113.33080132338154</v>
      </c>
      <c r="H87" s="87">
        <v>115.63088197317487</v>
      </c>
      <c r="I87" s="86">
        <v>118.50497273230206</v>
      </c>
      <c r="V87" s="82">
        <v>2031</v>
      </c>
      <c r="W87" s="81">
        <v>6016</v>
      </c>
      <c r="X87" s="80">
        <v>15133</v>
      </c>
      <c r="Y87" s="80">
        <v>7802</v>
      </c>
      <c r="Z87" s="79">
        <v>2064</v>
      </c>
      <c r="AA87" s="78">
        <v>0.19</v>
      </c>
      <c r="AB87" s="77">
        <v>0.49</v>
      </c>
      <c r="AC87" s="77">
        <v>0.25</v>
      </c>
      <c r="AD87" s="76">
        <v>7.0000000000000007E-2</v>
      </c>
    </row>
    <row r="88" spans="1:30">
      <c r="A88" s="517"/>
      <c r="B88" s="85" t="s">
        <v>141</v>
      </c>
      <c r="C88" s="84">
        <v>100</v>
      </c>
      <c r="D88" s="84">
        <v>107.80248443251703</v>
      </c>
      <c r="E88" s="84">
        <v>115.21003024330851</v>
      </c>
      <c r="F88" s="84">
        <v>121.84821311329466</v>
      </c>
      <c r="G88" s="84">
        <v>129.23104558554655</v>
      </c>
      <c r="H88" s="84">
        <v>135.18879034375726</v>
      </c>
      <c r="I88" s="83">
        <v>141.81029960050148</v>
      </c>
      <c r="V88" s="82">
        <v>2036</v>
      </c>
      <c r="W88" s="81">
        <v>6036</v>
      </c>
      <c r="X88" s="80">
        <v>15705</v>
      </c>
      <c r="Y88" s="80">
        <v>8129</v>
      </c>
      <c r="Z88" s="79">
        <v>2209</v>
      </c>
      <c r="AA88" s="78">
        <v>0.19</v>
      </c>
      <c r="AB88" s="77">
        <v>0.49</v>
      </c>
      <c r="AC88" s="77">
        <v>0.25</v>
      </c>
      <c r="AD88" s="76">
        <v>7.0000000000000007E-2</v>
      </c>
    </row>
    <row r="89" spans="1:30" ht="15" thickBot="1">
      <c r="E89" s="75"/>
      <c r="F89" s="75"/>
      <c r="G89" s="75"/>
      <c r="H89" s="75"/>
      <c r="I89" s="75"/>
      <c r="V89" s="74">
        <v>2041</v>
      </c>
      <c r="W89" s="73">
        <v>6010</v>
      </c>
      <c r="X89" s="72">
        <v>16157</v>
      </c>
      <c r="Y89" s="72">
        <v>8453</v>
      </c>
      <c r="Z89" s="71">
        <v>2388</v>
      </c>
      <c r="AA89" s="70">
        <v>0.18</v>
      </c>
      <c r="AB89" s="69">
        <v>0.49</v>
      </c>
      <c r="AC89" s="69">
        <v>0.26</v>
      </c>
      <c r="AD89" s="68">
        <v>7.0000000000000007E-2</v>
      </c>
    </row>
    <row r="92" spans="1:30" ht="15.6">
      <c r="A92" s="67" t="s">
        <v>129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3" spans="1:30" ht="15.6">
      <c r="A93" s="518" t="s">
        <v>149</v>
      </c>
      <c r="B93" s="518"/>
      <c r="C93" s="518"/>
      <c r="D93" s="518"/>
      <c r="E93" s="518"/>
      <c r="F93" s="518"/>
      <c r="G93" s="518"/>
      <c r="H93" s="518"/>
      <c r="I93" s="64"/>
      <c r="J93" s="64"/>
      <c r="K93" s="64"/>
      <c r="L93" s="64"/>
      <c r="M93" s="64"/>
      <c r="N93" s="64"/>
      <c r="O93" s="64"/>
      <c r="P93" s="64"/>
      <c r="Q93" s="64"/>
    </row>
    <row r="94" spans="1:30" ht="15.6">
      <c r="A94" s="66" t="s">
        <v>150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</row>
    <row r="95" spans="1:30" ht="15.6">
      <c r="A95" s="65" t="s">
        <v>151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</row>
    <row r="96" spans="1:30" ht="16.2" thickBo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3"/>
      <c r="N96" s="63"/>
      <c r="O96" s="61"/>
      <c r="P96" s="62"/>
      <c r="Q96" s="61" t="s">
        <v>152</v>
      </c>
    </row>
    <row r="97" spans="1:27" ht="65.400000000000006" thickBot="1">
      <c r="A97" s="60" t="s">
        <v>43</v>
      </c>
      <c r="B97" s="59" t="s">
        <v>153</v>
      </c>
      <c r="C97" s="59" t="s">
        <v>154</v>
      </c>
      <c r="D97" s="59" t="s">
        <v>155</v>
      </c>
      <c r="E97" s="59" t="s">
        <v>156</v>
      </c>
      <c r="F97" s="59" t="s">
        <v>157</v>
      </c>
      <c r="G97" s="59" t="s">
        <v>158</v>
      </c>
      <c r="H97" s="59" t="s">
        <v>159</v>
      </c>
      <c r="I97" s="59" t="s">
        <v>160</v>
      </c>
      <c r="J97" s="59" t="s">
        <v>161</v>
      </c>
      <c r="K97" s="59" t="s">
        <v>162</v>
      </c>
      <c r="L97" s="59" t="s">
        <v>163</v>
      </c>
      <c r="M97" s="59" t="s">
        <v>164</v>
      </c>
      <c r="N97" s="59" t="s">
        <v>165</v>
      </c>
      <c r="O97" s="59" t="s">
        <v>166</v>
      </c>
      <c r="P97" s="59" t="s">
        <v>167</v>
      </c>
      <c r="Q97" s="59" t="s">
        <v>168</v>
      </c>
      <c r="S97" s="57" t="s">
        <v>169</v>
      </c>
      <c r="T97" s="58" t="s">
        <v>170</v>
      </c>
      <c r="U97" s="56" t="s">
        <v>171</v>
      </c>
      <c r="W97" s="57" t="s">
        <v>172</v>
      </c>
      <c r="X97" s="56" t="s">
        <v>173</v>
      </c>
      <c r="Z97" s="57" t="s">
        <v>174</v>
      </c>
      <c r="AA97" s="56" t="s">
        <v>175</v>
      </c>
    </row>
    <row r="98" spans="1:27" ht="15.6">
      <c r="A98" s="53" t="s">
        <v>141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S98" s="51">
        <f t="shared" ref="S98:S120" si="12">SUM(B99:J99)</f>
        <v>18009.381000000001</v>
      </c>
      <c r="T98" s="50">
        <f t="shared" ref="T98:T120" si="13">S98/N99</f>
        <v>0.84953104133207269</v>
      </c>
      <c r="U98" s="54"/>
      <c r="W98" s="51">
        <f t="shared" ref="W98:W120" si="14">K99</f>
        <v>1006.393</v>
      </c>
      <c r="X98" s="54"/>
      <c r="Z98" s="51">
        <f t="shared" ref="Z98:Z120" si="15">L99</f>
        <v>1588.711</v>
      </c>
      <c r="AA98" s="54"/>
    </row>
    <row r="99" spans="1:27" ht="15.6">
      <c r="A99" s="53">
        <v>1994</v>
      </c>
      <c r="B99" s="52">
        <v>741.73599999999999</v>
      </c>
      <c r="C99" s="52">
        <v>2364.34</v>
      </c>
      <c r="D99" s="52">
        <v>1625.002</v>
      </c>
      <c r="E99" s="52">
        <v>1529.1790000000001</v>
      </c>
      <c r="F99" s="52">
        <v>2059.991</v>
      </c>
      <c r="G99" s="52">
        <v>2165.6280000000002</v>
      </c>
      <c r="H99" s="52">
        <v>2266.2260000000001</v>
      </c>
      <c r="I99" s="52">
        <v>3287.3809999999999</v>
      </c>
      <c r="J99" s="52">
        <v>1969.8979999999999</v>
      </c>
      <c r="K99" s="52">
        <v>1006.393</v>
      </c>
      <c r="L99" s="52">
        <v>1588.711</v>
      </c>
      <c r="M99" s="52">
        <v>594.71799999999996</v>
      </c>
      <c r="N99" s="52">
        <v>21199.203000000001</v>
      </c>
      <c r="O99" s="52"/>
      <c r="P99" s="52"/>
      <c r="Q99" s="52"/>
      <c r="S99" s="51">
        <f t="shared" si="12"/>
        <v>18211.864000000001</v>
      </c>
      <c r="T99" s="50">
        <f t="shared" si="13"/>
        <v>0.85125625505308644</v>
      </c>
      <c r="U99" s="54">
        <f t="shared" ref="U99:U120" si="16">(S99-S98)/S98*100</f>
        <v>1.1243195976585767</v>
      </c>
      <c r="W99" s="51">
        <f t="shared" si="14"/>
        <v>1017.436</v>
      </c>
      <c r="X99" s="54">
        <f t="shared" ref="X99:X120" si="17">(W99-W98)/W98*100</f>
        <v>1.0972850566329462</v>
      </c>
      <c r="Z99" s="51">
        <f t="shared" si="15"/>
        <v>1609.413</v>
      </c>
      <c r="AA99" s="54">
        <f t="shared" ref="AA99:AA120" si="18">(Z99-Z98)/Z98*100</f>
        <v>1.3030689659730434</v>
      </c>
    </row>
    <row r="100" spans="1:27" ht="15.6">
      <c r="A100" s="53">
        <v>1995</v>
      </c>
      <c r="B100" s="52">
        <v>750.97</v>
      </c>
      <c r="C100" s="52">
        <v>2388.1930000000002</v>
      </c>
      <c r="D100" s="52">
        <v>1645.954</v>
      </c>
      <c r="E100" s="52">
        <v>1547.5150000000001</v>
      </c>
      <c r="F100" s="52">
        <v>2094.0050000000001</v>
      </c>
      <c r="G100" s="52">
        <v>2211.0419999999999</v>
      </c>
      <c r="H100" s="52">
        <v>2260.84</v>
      </c>
      <c r="I100" s="52">
        <v>3322.9830000000002</v>
      </c>
      <c r="J100" s="52">
        <v>1990.3620000000001</v>
      </c>
      <c r="K100" s="52">
        <v>1017.436</v>
      </c>
      <c r="L100" s="52">
        <v>1609.413</v>
      </c>
      <c r="M100" s="52">
        <v>555.39</v>
      </c>
      <c r="N100" s="52">
        <v>21394.102999999999</v>
      </c>
      <c r="O100" s="52"/>
      <c r="P100" s="52"/>
      <c r="Q100" s="52"/>
      <c r="R100" s="42"/>
      <c r="S100" s="51">
        <f t="shared" si="12"/>
        <v>18964.363999999998</v>
      </c>
      <c r="T100" s="50">
        <f t="shared" si="13"/>
        <v>0.85280861577392231</v>
      </c>
      <c r="U100" s="54">
        <f t="shared" si="16"/>
        <v>4.131921916394699</v>
      </c>
      <c r="W100" s="51">
        <f t="shared" si="14"/>
        <v>1067.3009999999999</v>
      </c>
      <c r="X100" s="54">
        <f t="shared" si="17"/>
        <v>4.90104537287848</v>
      </c>
      <c r="Z100" s="51">
        <f t="shared" si="15"/>
        <v>1678.2470000000001</v>
      </c>
      <c r="AA100" s="54">
        <f t="shared" si="18"/>
        <v>4.2769630915122505</v>
      </c>
    </row>
    <row r="101" spans="1:27" ht="15.6">
      <c r="A101" s="53">
        <v>1996</v>
      </c>
      <c r="B101" s="52">
        <v>781.63099999999997</v>
      </c>
      <c r="C101" s="52">
        <v>2495.107</v>
      </c>
      <c r="D101" s="52">
        <v>1703.9549999999999</v>
      </c>
      <c r="E101" s="52">
        <v>1606.934</v>
      </c>
      <c r="F101" s="52">
        <v>2176.9140000000002</v>
      </c>
      <c r="G101" s="52">
        <v>2293.2730000000001</v>
      </c>
      <c r="H101" s="52">
        <v>2336.7919999999999</v>
      </c>
      <c r="I101" s="52">
        <v>3464.5230000000001</v>
      </c>
      <c r="J101" s="52">
        <v>2105.2350000000001</v>
      </c>
      <c r="K101" s="52">
        <v>1067.3009999999999</v>
      </c>
      <c r="L101" s="52">
        <v>1678.2470000000001</v>
      </c>
      <c r="M101" s="52">
        <v>527.62599999999998</v>
      </c>
      <c r="N101" s="52">
        <v>22237.538</v>
      </c>
      <c r="O101" s="52"/>
      <c r="P101" s="52"/>
      <c r="Q101" s="52"/>
      <c r="R101" s="42"/>
      <c r="S101" s="51">
        <f t="shared" si="12"/>
        <v>19542.320999999996</v>
      </c>
      <c r="T101" s="50">
        <f t="shared" si="13"/>
        <v>0.8559293750293997</v>
      </c>
      <c r="U101" s="54">
        <f t="shared" si="16"/>
        <v>3.0475949523010559</v>
      </c>
      <c r="W101" s="51">
        <f t="shared" si="14"/>
        <v>1100.7349999999999</v>
      </c>
      <c r="X101" s="54">
        <f t="shared" si="17"/>
        <v>3.1325745970443171</v>
      </c>
      <c r="Z101" s="51">
        <f t="shared" si="15"/>
        <v>1730.1479999999999</v>
      </c>
      <c r="AA101" s="54">
        <f t="shared" si="18"/>
        <v>3.0925721899100571</v>
      </c>
    </row>
    <row r="102" spans="1:27" ht="15.6">
      <c r="A102" s="53">
        <v>1997</v>
      </c>
      <c r="B102" s="52">
        <v>799.90700000000004</v>
      </c>
      <c r="C102" s="52">
        <v>2586.8879999999999</v>
      </c>
      <c r="D102" s="52">
        <v>1761.673</v>
      </c>
      <c r="E102" s="52">
        <v>1655.136</v>
      </c>
      <c r="F102" s="52">
        <v>2279.2539999999999</v>
      </c>
      <c r="G102" s="52">
        <v>2371.6390000000001</v>
      </c>
      <c r="H102" s="52">
        <v>2340.819</v>
      </c>
      <c r="I102" s="52">
        <v>3589.1039999999998</v>
      </c>
      <c r="J102" s="52">
        <v>2157.9009999999998</v>
      </c>
      <c r="K102" s="52">
        <v>1100.7349999999999</v>
      </c>
      <c r="L102" s="52">
        <v>1730.1479999999999</v>
      </c>
      <c r="M102" s="52">
        <v>458.49400000000003</v>
      </c>
      <c r="N102" s="52">
        <v>22831.698</v>
      </c>
      <c r="O102" s="52"/>
      <c r="P102" s="52"/>
      <c r="Q102" s="52"/>
      <c r="R102" s="42"/>
      <c r="S102" s="51">
        <f t="shared" si="12"/>
        <v>20001.074000000001</v>
      </c>
      <c r="T102" s="50">
        <f t="shared" si="13"/>
        <v>0.85866092493766033</v>
      </c>
      <c r="U102" s="54">
        <f t="shared" si="16"/>
        <v>2.3474847230275477</v>
      </c>
      <c r="W102" s="51">
        <f t="shared" si="14"/>
        <v>1131.4059999999999</v>
      </c>
      <c r="X102" s="54">
        <f t="shared" si="17"/>
        <v>2.7864108981725892</v>
      </c>
      <c r="Z102" s="51">
        <f t="shared" si="15"/>
        <v>1777.9880000000001</v>
      </c>
      <c r="AA102" s="54">
        <f t="shared" si="18"/>
        <v>2.7650813687615248</v>
      </c>
    </row>
    <row r="103" spans="1:27" ht="15.6">
      <c r="A103" s="53">
        <v>1998</v>
      </c>
      <c r="B103" s="52">
        <v>823.41</v>
      </c>
      <c r="C103" s="52">
        <v>2647.027</v>
      </c>
      <c r="D103" s="52">
        <v>1804.94</v>
      </c>
      <c r="E103" s="52">
        <v>1699.396</v>
      </c>
      <c r="F103" s="52">
        <v>2288.0189999999998</v>
      </c>
      <c r="G103" s="52">
        <v>2428.7069999999999</v>
      </c>
      <c r="H103" s="52">
        <v>2371.1590000000001</v>
      </c>
      <c r="I103" s="52">
        <v>3708.8440000000001</v>
      </c>
      <c r="J103" s="52">
        <v>2229.5720000000001</v>
      </c>
      <c r="K103" s="52">
        <v>1131.4059999999999</v>
      </c>
      <c r="L103" s="52">
        <v>1777.9880000000001</v>
      </c>
      <c r="M103" s="52">
        <v>382.86399999999998</v>
      </c>
      <c r="N103" s="52">
        <v>23293.331999999999</v>
      </c>
      <c r="O103" s="52"/>
      <c r="P103" s="52"/>
      <c r="Q103" s="52"/>
      <c r="R103" s="42"/>
      <c r="S103" s="51">
        <f t="shared" si="12"/>
        <v>20472.244999999999</v>
      </c>
      <c r="T103" s="50">
        <f t="shared" si="13"/>
        <v>0.85390193100403133</v>
      </c>
      <c r="U103" s="54">
        <f t="shared" si="16"/>
        <v>2.3557284973796828</v>
      </c>
      <c r="W103" s="51">
        <f t="shared" si="14"/>
        <v>1169.2539999999999</v>
      </c>
      <c r="X103" s="54">
        <f t="shared" si="17"/>
        <v>3.3452182505661057</v>
      </c>
      <c r="Z103" s="51">
        <f t="shared" si="15"/>
        <v>1826.9169999999999</v>
      </c>
      <c r="AA103" s="54">
        <f t="shared" si="18"/>
        <v>2.7519308341788502</v>
      </c>
    </row>
    <row r="104" spans="1:27" ht="15.6">
      <c r="A104" s="53">
        <v>1999</v>
      </c>
      <c r="B104" s="52">
        <v>843.08100000000002</v>
      </c>
      <c r="C104" s="52">
        <v>2692.7040000000002</v>
      </c>
      <c r="D104" s="52">
        <v>1857.893</v>
      </c>
      <c r="E104" s="52">
        <v>1741.645</v>
      </c>
      <c r="F104" s="52">
        <v>2319.895</v>
      </c>
      <c r="G104" s="52">
        <v>2492.6529999999998</v>
      </c>
      <c r="H104" s="52">
        <v>2402.7910000000002</v>
      </c>
      <c r="I104" s="52">
        <v>3813.7829999999999</v>
      </c>
      <c r="J104" s="52">
        <v>2307.8000000000002</v>
      </c>
      <c r="K104" s="52">
        <v>1169.2539999999999</v>
      </c>
      <c r="L104" s="52">
        <v>1826.9169999999999</v>
      </c>
      <c r="M104" s="52">
        <v>506.52100000000002</v>
      </c>
      <c r="N104" s="52">
        <v>23974.937000000002</v>
      </c>
      <c r="O104" s="52"/>
      <c r="P104" s="52"/>
      <c r="Q104" s="52"/>
      <c r="R104" s="42"/>
      <c r="S104" s="51">
        <f t="shared" si="12"/>
        <v>21014.716</v>
      </c>
      <c r="T104" s="50">
        <f t="shared" si="13"/>
        <v>0.86106303119835581</v>
      </c>
      <c r="U104" s="54">
        <f t="shared" si="16"/>
        <v>2.6497875538320366</v>
      </c>
      <c r="W104" s="51">
        <f t="shared" si="14"/>
        <v>1169.797</v>
      </c>
      <c r="X104" s="54">
        <f t="shared" si="17"/>
        <v>4.6439866786867533E-2</v>
      </c>
      <c r="Z104" s="51">
        <f t="shared" si="15"/>
        <v>1875.9559999999999</v>
      </c>
      <c r="AA104" s="54">
        <f t="shared" si="18"/>
        <v>2.6842489286595939</v>
      </c>
    </row>
    <row r="105" spans="1:27" ht="15.6">
      <c r="A105" s="53">
        <v>2000</v>
      </c>
      <c r="B105" s="52">
        <v>866.87699999999995</v>
      </c>
      <c r="C105" s="52">
        <v>2755.9259999999999</v>
      </c>
      <c r="D105" s="52">
        <v>1908.403</v>
      </c>
      <c r="E105" s="52">
        <v>1813.7829999999999</v>
      </c>
      <c r="F105" s="52">
        <v>2391.3890000000001</v>
      </c>
      <c r="G105" s="52">
        <v>2570.306</v>
      </c>
      <c r="H105" s="52">
        <v>2415.855</v>
      </c>
      <c r="I105" s="52">
        <v>3910.2139999999999</v>
      </c>
      <c r="J105" s="52">
        <v>2381.9630000000002</v>
      </c>
      <c r="K105" s="52">
        <v>1169.797</v>
      </c>
      <c r="L105" s="52">
        <v>1875.9559999999999</v>
      </c>
      <c r="M105" s="52">
        <v>345.08</v>
      </c>
      <c r="N105" s="52">
        <v>24405.548999999999</v>
      </c>
      <c r="O105" s="52"/>
      <c r="P105" s="52"/>
      <c r="Q105" s="52"/>
      <c r="R105" s="42"/>
      <c r="S105" s="51">
        <f t="shared" si="12"/>
        <v>21541.146000000001</v>
      </c>
      <c r="T105" s="50">
        <f t="shared" si="13"/>
        <v>0.85732946051175074</v>
      </c>
      <c r="U105" s="54">
        <f t="shared" si="16"/>
        <v>2.5050540773427548</v>
      </c>
      <c r="W105" s="51">
        <f t="shared" si="14"/>
        <v>1216.9839999999999</v>
      </c>
      <c r="X105" s="54">
        <f t="shared" si="17"/>
        <v>4.0337768005901786</v>
      </c>
      <c r="Z105" s="51">
        <f t="shared" si="15"/>
        <v>1938.8219999999999</v>
      </c>
      <c r="AA105" s="54">
        <f t="shared" si="18"/>
        <v>3.3511446963574834</v>
      </c>
    </row>
    <row r="106" spans="1:27" ht="15.6">
      <c r="A106" s="53">
        <v>2001</v>
      </c>
      <c r="B106" s="52">
        <v>893.04</v>
      </c>
      <c r="C106" s="52">
        <v>2819.9859999999999</v>
      </c>
      <c r="D106" s="52">
        <v>1931.5409999999999</v>
      </c>
      <c r="E106" s="52">
        <v>1863.0229999999999</v>
      </c>
      <c r="F106" s="52">
        <v>2478.616</v>
      </c>
      <c r="G106" s="52">
        <v>2639.7979999999998</v>
      </c>
      <c r="H106" s="52">
        <v>2461.6570000000002</v>
      </c>
      <c r="I106" s="52">
        <v>4006.451</v>
      </c>
      <c r="J106" s="52">
        <v>2447.0340000000001</v>
      </c>
      <c r="K106" s="52">
        <v>1216.9839999999999</v>
      </c>
      <c r="L106" s="52">
        <v>1938.8219999999999</v>
      </c>
      <c r="M106" s="52">
        <v>428.91500000000002</v>
      </c>
      <c r="N106" s="52">
        <v>25125.866999999998</v>
      </c>
      <c r="O106" s="52"/>
      <c r="P106" s="52"/>
      <c r="Q106" s="52"/>
      <c r="R106" s="42"/>
      <c r="S106" s="51">
        <f t="shared" si="12"/>
        <v>22052.588000000003</v>
      </c>
      <c r="T106" s="50">
        <f t="shared" si="13"/>
        <v>0.85535051660792993</v>
      </c>
      <c r="U106" s="54">
        <f t="shared" si="16"/>
        <v>2.3742562257365636</v>
      </c>
      <c r="W106" s="51">
        <f t="shared" si="14"/>
        <v>1269.355</v>
      </c>
      <c r="X106" s="54">
        <f t="shared" si="17"/>
        <v>4.3033433471598723</v>
      </c>
      <c r="Z106" s="51">
        <f t="shared" si="15"/>
        <v>1993.52</v>
      </c>
      <c r="AA106" s="54">
        <f t="shared" si="18"/>
        <v>2.8211976138088022</v>
      </c>
    </row>
    <row r="107" spans="1:27" ht="15.6">
      <c r="A107" s="53">
        <v>2002</v>
      </c>
      <c r="B107" s="52">
        <v>921.87099999999998</v>
      </c>
      <c r="C107" s="52">
        <v>2875.886</v>
      </c>
      <c r="D107" s="52">
        <v>2000.0150000000001</v>
      </c>
      <c r="E107" s="52">
        <v>1926.6479999999999</v>
      </c>
      <c r="F107" s="52">
        <v>2562.288</v>
      </c>
      <c r="G107" s="52">
        <v>2694.4780000000001</v>
      </c>
      <c r="H107" s="52">
        <v>2473.6689999999999</v>
      </c>
      <c r="I107" s="52">
        <v>4103.1170000000002</v>
      </c>
      <c r="J107" s="52">
        <v>2494.616</v>
      </c>
      <c r="K107" s="52">
        <v>1269.355</v>
      </c>
      <c r="L107" s="52">
        <v>1993.52</v>
      </c>
      <c r="M107" s="52">
        <v>466.46800000000002</v>
      </c>
      <c r="N107" s="52">
        <v>25781.931</v>
      </c>
      <c r="O107" s="52"/>
      <c r="P107" s="52"/>
      <c r="Q107" s="52"/>
      <c r="R107" s="42"/>
      <c r="S107" s="51">
        <f t="shared" si="12"/>
        <v>22382.719000000001</v>
      </c>
      <c r="T107" s="50">
        <f t="shared" si="13"/>
        <v>0.85298682901376066</v>
      </c>
      <c r="U107" s="54">
        <f t="shared" si="16"/>
        <v>1.4970170394513223</v>
      </c>
      <c r="W107" s="51">
        <f t="shared" si="14"/>
        <v>1305.1949999999999</v>
      </c>
      <c r="X107" s="54">
        <f t="shared" si="17"/>
        <v>2.8234812168384664</v>
      </c>
      <c r="Z107" s="51">
        <f t="shared" si="15"/>
        <v>2031.0329999999999</v>
      </c>
      <c r="AA107" s="54">
        <f t="shared" si="18"/>
        <v>1.8817468598258318</v>
      </c>
    </row>
    <row r="108" spans="1:27" ht="15.6">
      <c r="A108" s="53">
        <v>2003</v>
      </c>
      <c r="B108" s="52">
        <v>947.85599999999999</v>
      </c>
      <c r="C108" s="52">
        <v>2941.7449999999999</v>
      </c>
      <c r="D108" s="52">
        <v>2039.423</v>
      </c>
      <c r="E108" s="52">
        <v>1964.943</v>
      </c>
      <c r="F108" s="52">
        <v>2612.107</v>
      </c>
      <c r="G108" s="52">
        <v>2711.0920000000001</v>
      </c>
      <c r="H108" s="52">
        <v>2479.98</v>
      </c>
      <c r="I108" s="52">
        <v>4162.567</v>
      </c>
      <c r="J108" s="52">
        <v>2523.0059999999999</v>
      </c>
      <c r="K108" s="52">
        <v>1305.1949999999999</v>
      </c>
      <c r="L108" s="52">
        <v>2031.0329999999999</v>
      </c>
      <c r="M108" s="52">
        <v>521.45699999999999</v>
      </c>
      <c r="N108" s="52">
        <v>26240.403999999999</v>
      </c>
      <c r="O108" s="52"/>
      <c r="P108" s="52"/>
      <c r="Q108" s="52"/>
      <c r="R108" s="42"/>
      <c r="S108" s="51">
        <f t="shared" si="12"/>
        <v>22923.752000000004</v>
      </c>
      <c r="T108" s="50">
        <f t="shared" si="13"/>
        <v>0.84814518401756656</v>
      </c>
      <c r="U108" s="54">
        <f t="shared" si="16"/>
        <v>2.4171906907288747</v>
      </c>
      <c r="W108" s="51">
        <f t="shared" si="14"/>
        <v>1357.0060000000001</v>
      </c>
      <c r="X108" s="54">
        <f t="shared" si="17"/>
        <v>3.9695984124977608</v>
      </c>
      <c r="Z108" s="51">
        <f t="shared" si="15"/>
        <v>2076.7739999999999</v>
      </c>
      <c r="AA108" s="54">
        <f t="shared" si="18"/>
        <v>2.2521052095165359</v>
      </c>
    </row>
    <row r="109" spans="1:27" ht="15.6">
      <c r="A109" s="53">
        <v>2004</v>
      </c>
      <c r="B109" s="52">
        <v>981.73900000000003</v>
      </c>
      <c r="C109" s="52">
        <v>3056.2939999999999</v>
      </c>
      <c r="D109" s="52">
        <v>2110.3000000000002</v>
      </c>
      <c r="E109" s="52">
        <v>2001.1780000000001</v>
      </c>
      <c r="F109" s="52">
        <v>2675.192</v>
      </c>
      <c r="G109" s="52">
        <v>2756.9969999999998</v>
      </c>
      <c r="H109" s="52">
        <v>2523.1289999999999</v>
      </c>
      <c r="I109" s="52">
        <v>4248.0429999999997</v>
      </c>
      <c r="J109" s="52">
        <v>2570.88</v>
      </c>
      <c r="K109" s="52">
        <v>1357.0060000000001</v>
      </c>
      <c r="L109" s="52">
        <v>2076.7739999999999</v>
      </c>
      <c r="M109" s="52">
        <v>670.56700000000001</v>
      </c>
      <c r="N109" s="52">
        <v>27028.098999999998</v>
      </c>
      <c r="O109" s="52"/>
      <c r="P109" s="52"/>
      <c r="Q109" s="52"/>
      <c r="R109" s="42"/>
      <c r="S109" s="51">
        <f t="shared" si="12"/>
        <v>23427.813999999998</v>
      </c>
      <c r="T109" s="50">
        <f t="shared" si="13"/>
        <v>0.85128906929325654</v>
      </c>
      <c r="U109" s="54">
        <f t="shared" si="16"/>
        <v>2.1988634321292357</v>
      </c>
      <c r="W109" s="51">
        <f t="shared" si="14"/>
        <v>1392.098</v>
      </c>
      <c r="X109" s="54">
        <f t="shared" si="17"/>
        <v>2.5859870921720223</v>
      </c>
      <c r="Z109" s="51">
        <f t="shared" si="15"/>
        <v>2139.1880000000001</v>
      </c>
      <c r="AA109" s="54">
        <f t="shared" si="18"/>
        <v>3.0053342347313774</v>
      </c>
    </row>
    <row r="110" spans="1:27" ht="15.6">
      <c r="A110" s="53">
        <v>2005</v>
      </c>
      <c r="B110" s="52">
        <v>1005.914</v>
      </c>
      <c r="C110" s="52">
        <v>3141.0410000000002</v>
      </c>
      <c r="D110" s="52">
        <v>2161.5749999999998</v>
      </c>
      <c r="E110" s="52">
        <v>2064.5540000000001</v>
      </c>
      <c r="F110" s="52">
        <v>2723.8809999999999</v>
      </c>
      <c r="G110" s="52">
        <v>2812.518</v>
      </c>
      <c r="H110" s="52">
        <v>2561.9140000000002</v>
      </c>
      <c r="I110" s="52">
        <v>4344.6279999999997</v>
      </c>
      <c r="J110" s="52">
        <v>2611.7890000000002</v>
      </c>
      <c r="K110" s="52">
        <v>1392.098</v>
      </c>
      <c r="L110" s="52">
        <v>2139.1880000000001</v>
      </c>
      <c r="M110" s="52">
        <v>561.298</v>
      </c>
      <c r="N110" s="52">
        <v>27520.398000000001</v>
      </c>
      <c r="O110" s="52"/>
      <c r="P110" s="52"/>
      <c r="Q110" s="52"/>
      <c r="R110" s="42"/>
      <c r="S110" s="51">
        <f t="shared" si="12"/>
        <v>23464.721000000001</v>
      </c>
      <c r="T110" s="50">
        <f t="shared" si="13"/>
        <v>0.84988864750774307</v>
      </c>
      <c r="U110" s="54">
        <f t="shared" si="16"/>
        <v>0.157534971039137</v>
      </c>
      <c r="W110" s="51">
        <f t="shared" si="14"/>
        <v>1399.9449999999999</v>
      </c>
      <c r="X110" s="54">
        <f t="shared" si="17"/>
        <v>0.56368157988877077</v>
      </c>
      <c r="Z110" s="51">
        <f t="shared" si="15"/>
        <v>2156.8110000000001</v>
      </c>
      <c r="AA110" s="54">
        <f t="shared" si="18"/>
        <v>0.82381726150296486</v>
      </c>
    </row>
    <row r="111" spans="1:27" ht="15.6">
      <c r="A111" s="53">
        <v>2006</v>
      </c>
      <c r="B111" s="52">
        <v>1009.629</v>
      </c>
      <c r="C111" s="52">
        <v>3178.4630000000002</v>
      </c>
      <c r="D111" s="52">
        <v>2162.8879999999999</v>
      </c>
      <c r="E111" s="52">
        <v>2070.6669999999999</v>
      </c>
      <c r="F111" s="52">
        <v>2673.1289999999999</v>
      </c>
      <c r="G111" s="52">
        <v>2817.5189999999998</v>
      </c>
      <c r="H111" s="52">
        <v>2560.1030000000001</v>
      </c>
      <c r="I111" s="52">
        <v>4374.3530000000001</v>
      </c>
      <c r="J111" s="52">
        <v>2617.9699999999998</v>
      </c>
      <c r="K111" s="52">
        <v>1399.9449999999999</v>
      </c>
      <c r="L111" s="52">
        <v>2156.8110000000001</v>
      </c>
      <c r="M111" s="52">
        <v>587.69399999999996</v>
      </c>
      <c r="N111" s="52">
        <v>27609.170999999998</v>
      </c>
      <c r="O111" s="52"/>
      <c r="P111" s="52"/>
      <c r="Q111" s="52"/>
      <c r="R111" s="42"/>
      <c r="S111" s="51">
        <f t="shared" si="12"/>
        <v>23775.826000000001</v>
      </c>
      <c r="T111" s="50">
        <f t="shared" si="13"/>
        <v>0.8491286367871389</v>
      </c>
      <c r="U111" s="54">
        <f t="shared" si="16"/>
        <v>1.3258414621678201</v>
      </c>
      <c r="W111" s="51">
        <f t="shared" si="14"/>
        <v>1420.163</v>
      </c>
      <c r="X111" s="54">
        <f t="shared" si="17"/>
        <v>1.4441995935554666</v>
      </c>
      <c r="Z111" s="51">
        <f t="shared" si="15"/>
        <v>2200.8249999999998</v>
      </c>
      <c r="AA111" s="54">
        <f t="shared" si="18"/>
        <v>2.0406980491104538</v>
      </c>
    </row>
    <row r="112" spans="1:27" ht="15.6">
      <c r="A112" s="53">
        <v>2007</v>
      </c>
      <c r="B112" s="52">
        <v>1024.0719999999999</v>
      </c>
      <c r="C112" s="52">
        <v>3196.5639999999999</v>
      </c>
      <c r="D112" s="52">
        <v>2204.152</v>
      </c>
      <c r="E112" s="52">
        <v>2109.915</v>
      </c>
      <c r="F112" s="52">
        <v>2715.9259999999999</v>
      </c>
      <c r="G112" s="52">
        <v>2854.4029999999998</v>
      </c>
      <c r="H112" s="52">
        <v>2578.9430000000002</v>
      </c>
      <c r="I112" s="52">
        <v>4436.6130000000003</v>
      </c>
      <c r="J112" s="52">
        <v>2655.2379999999998</v>
      </c>
      <c r="K112" s="52">
        <v>1420.163</v>
      </c>
      <c r="L112" s="52">
        <v>2200.8249999999998</v>
      </c>
      <c r="M112" s="52">
        <v>603.45000000000005</v>
      </c>
      <c r="N112" s="52">
        <v>28000.263999999999</v>
      </c>
      <c r="O112" s="52"/>
      <c r="P112" s="52"/>
      <c r="Q112" s="52"/>
      <c r="R112" s="42"/>
      <c r="S112" s="51">
        <f t="shared" si="12"/>
        <v>23996.637000000002</v>
      </c>
      <c r="T112" s="50">
        <f t="shared" si="13"/>
        <v>0.85213205977606676</v>
      </c>
      <c r="U112" s="54">
        <f t="shared" si="16"/>
        <v>0.92872062573136882</v>
      </c>
      <c r="W112" s="51">
        <f t="shared" si="14"/>
        <v>1428.9670000000001</v>
      </c>
      <c r="X112" s="54">
        <f t="shared" si="17"/>
        <v>0.6199288391543849</v>
      </c>
      <c r="Z112" s="51">
        <f t="shared" si="15"/>
        <v>2233.1869999999999</v>
      </c>
      <c r="AA112" s="54">
        <f t="shared" si="18"/>
        <v>1.4704485817818356</v>
      </c>
    </row>
    <row r="113" spans="1:27" ht="15.6">
      <c r="A113" s="53">
        <v>2008</v>
      </c>
      <c r="B113" s="52">
        <v>1035.4739999999999</v>
      </c>
      <c r="C113" s="52">
        <v>3201.4470000000001</v>
      </c>
      <c r="D113" s="52">
        <v>2238.8429999999998</v>
      </c>
      <c r="E113" s="52">
        <v>2141.998</v>
      </c>
      <c r="F113" s="52">
        <v>2734.3380000000002</v>
      </c>
      <c r="G113" s="52">
        <v>2875.5929999999998</v>
      </c>
      <c r="H113" s="52">
        <v>2594.741</v>
      </c>
      <c r="I113" s="52">
        <v>4488.1710000000003</v>
      </c>
      <c r="J113" s="52">
        <v>2686.0320000000002</v>
      </c>
      <c r="K113" s="52">
        <v>1428.9670000000001</v>
      </c>
      <c r="L113" s="52">
        <v>2233.1869999999999</v>
      </c>
      <c r="M113" s="52">
        <v>501.911</v>
      </c>
      <c r="N113" s="52">
        <v>28160.702000000001</v>
      </c>
      <c r="O113" s="52"/>
      <c r="P113" s="52"/>
      <c r="Q113" s="52"/>
      <c r="R113" s="42"/>
      <c r="S113" s="51">
        <f t="shared" si="12"/>
        <v>24028.539000000001</v>
      </c>
      <c r="T113" s="50">
        <f t="shared" si="13"/>
        <v>0.8506740488280482</v>
      </c>
      <c r="U113" s="54">
        <f t="shared" si="16"/>
        <v>0.13294362872596782</v>
      </c>
      <c r="W113" s="51">
        <f t="shared" si="14"/>
        <v>1429.008</v>
      </c>
      <c r="X113" s="54">
        <f t="shared" si="17"/>
        <v>2.8692055169881438E-3</v>
      </c>
      <c r="Z113" s="51">
        <f t="shared" si="15"/>
        <v>2248.54</v>
      </c>
      <c r="AA113" s="54">
        <f t="shared" si="18"/>
        <v>0.68749280736454521</v>
      </c>
    </row>
    <row r="114" spans="1:27" ht="15.6">
      <c r="A114" s="53">
        <v>2009</v>
      </c>
      <c r="B114" s="52">
        <v>1037.9159999999999</v>
      </c>
      <c r="C114" s="52">
        <v>3162.0819999999999</v>
      </c>
      <c r="D114" s="52">
        <v>2238.14</v>
      </c>
      <c r="E114" s="52">
        <v>2146.1759999999999</v>
      </c>
      <c r="F114" s="52">
        <v>2721.38</v>
      </c>
      <c r="G114" s="52">
        <v>2896.1480000000001</v>
      </c>
      <c r="H114" s="52">
        <v>2556.7289999999998</v>
      </c>
      <c r="I114" s="52">
        <v>4551.6440000000002</v>
      </c>
      <c r="J114" s="52">
        <v>2718.3240000000001</v>
      </c>
      <c r="K114" s="52">
        <v>1429.008</v>
      </c>
      <c r="L114" s="52">
        <v>2248.54</v>
      </c>
      <c r="M114" s="52">
        <v>540.38300000000004</v>
      </c>
      <c r="N114" s="52">
        <v>28246.47</v>
      </c>
      <c r="O114" s="52"/>
      <c r="P114" s="52"/>
      <c r="Q114" s="52"/>
      <c r="R114" s="42"/>
      <c r="S114" s="51">
        <f t="shared" si="12"/>
        <v>24097.983999999997</v>
      </c>
      <c r="T114" s="50">
        <f t="shared" si="13"/>
        <v>0.84789726932071785</v>
      </c>
      <c r="U114" s="54">
        <f t="shared" si="16"/>
        <v>0.28901049705933463</v>
      </c>
      <c r="W114" s="51">
        <f t="shared" si="14"/>
        <v>1433.3330000000001</v>
      </c>
      <c r="X114" s="54">
        <f t="shared" si="17"/>
        <v>0.30265750786559947</v>
      </c>
      <c r="Z114" s="51">
        <f t="shared" si="15"/>
        <v>2254.538</v>
      </c>
      <c r="AA114" s="54">
        <f t="shared" si="18"/>
        <v>0.26675086945306942</v>
      </c>
    </row>
    <row r="115" spans="1:27" ht="15.6">
      <c r="A115" s="53">
        <v>2010</v>
      </c>
      <c r="B115" s="52">
        <v>1037.2049999999999</v>
      </c>
      <c r="C115" s="52">
        <v>3083.7440000000001</v>
      </c>
      <c r="D115" s="52">
        <v>2241.65</v>
      </c>
      <c r="E115" s="52">
        <v>2156.875</v>
      </c>
      <c r="F115" s="52">
        <v>2744.2559999999999</v>
      </c>
      <c r="G115" s="52">
        <v>2920.9780000000001</v>
      </c>
      <c r="H115" s="52">
        <v>2557.384</v>
      </c>
      <c r="I115" s="52">
        <v>4605.6360000000004</v>
      </c>
      <c r="J115" s="52">
        <v>2750.2559999999999</v>
      </c>
      <c r="K115" s="52">
        <v>1433.3330000000001</v>
      </c>
      <c r="L115" s="52">
        <v>2254.538</v>
      </c>
      <c r="M115" s="52">
        <v>635.02200000000005</v>
      </c>
      <c r="N115" s="52">
        <v>28420.877</v>
      </c>
      <c r="O115" s="52"/>
      <c r="P115" s="52"/>
      <c r="Q115" s="52"/>
      <c r="R115" s="42"/>
      <c r="S115" s="51">
        <f t="shared" si="12"/>
        <v>24167.782999999999</v>
      </c>
      <c r="T115" s="50">
        <f t="shared" si="13"/>
        <v>0.84896679132319197</v>
      </c>
      <c r="U115" s="54">
        <f t="shared" si="16"/>
        <v>0.28964663600076551</v>
      </c>
      <c r="W115" s="51">
        <f t="shared" si="14"/>
        <v>1437.547</v>
      </c>
      <c r="X115" s="54">
        <f t="shared" si="17"/>
        <v>0.29400006837210485</v>
      </c>
      <c r="Z115" s="51">
        <f t="shared" si="15"/>
        <v>2264.384</v>
      </c>
      <c r="AA115" s="54">
        <f t="shared" si="18"/>
        <v>0.43671918592634074</v>
      </c>
    </row>
    <row r="116" spans="1:27" ht="15.6">
      <c r="A116" s="53">
        <v>2011</v>
      </c>
      <c r="B116" s="52">
        <v>1040.0930000000001</v>
      </c>
      <c r="C116" s="52">
        <v>3006.498</v>
      </c>
      <c r="D116" s="52">
        <v>2248.9450000000002</v>
      </c>
      <c r="E116" s="52">
        <v>2166.4830000000002</v>
      </c>
      <c r="F116" s="52">
        <v>2823.8159999999998</v>
      </c>
      <c r="G116" s="52">
        <v>2944.28</v>
      </c>
      <c r="H116" s="52">
        <v>2542.7339999999999</v>
      </c>
      <c r="I116" s="52">
        <v>4605.8909999999996</v>
      </c>
      <c r="J116" s="52">
        <v>2789.0430000000001</v>
      </c>
      <c r="K116" s="52">
        <v>1437.547</v>
      </c>
      <c r="L116" s="52">
        <v>2264.384</v>
      </c>
      <c r="M116" s="52">
        <v>597.57500000000005</v>
      </c>
      <c r="N116" s="52">
        <v>28467.289000000001</v>
      </c>
      <c r="O116" s="52"/>
      <c r="P116" s="52"/>
      <c r="Q116" s="52"/>
      <c r="R116" s="42"/>
      <c r="S116" s="51">
        <f t="shared" si="12"/>
        <v>24342.818000000003</v>
      </c>
      <c r="T116" s="50">
        <f t="shared" si="13"/>
        <v>0.84751876867898446</v>
      </c>
      <c r="U116" s="54">
        <f t="shared" si="16"/>
        <v>0.72424930329771453</v>
      </c>
      <c r="W116" s="51">
        <f t="shared" si="14"/>
        <v>1447.433</v>
      </c>
      <c r="X116" s="54">
        <f t="shared" si="17"/>
        <v>0.68769925435481183</v>
      </c>
      <c r="Z116" s="51">
        <f t="shared" si="15"/>
        <v>2285.127</v>
      </c>
      <c r="AA116" s="54">
        <f t="shared" si="18"/>
        <v>0.91605487408495812</v>
      </c>
    </row>
    <row r="117" spans="1:27" ht="15.6">
      <c r="A117" s="53">
        <v>2012</v>
      </c>
      <c r="B117" s="52">
        <v>1043.279</v>
      </c>
      <c r="C117" s="52">
        <v>3008.1930000000002</v>
      </c>
      <c r="D117" s="52">
        <v>2262.3969999999999</v>
      </c>
      <c r="E117" s="52">
        <v>2183.9369999999999</v>
      </c>
      <c r="F117" s="52">
        <v>2824.2629999999999</v>
      </c>
      <c r="G117" s="52">
        <v>2978.7860000000001</v>
      </c>
      <c r="H117" s="52">
        <v>2535.453</v>
      </c>
      <c r="I117" s="52">
        <v>4683.7759999999998</v>
      </c>
      <c r="J117" s="52">
        <v>2822.7339999999999</v>
      </c>
      <c r="K117" s="52">
        <v>1447.433</v>
      </c>
      <c r="L117" s="52">
        <v>2285.127</v>
      </c>
      <c r="M117" s="52">
        <v>647.07500000000005</v>
      </c>
      <c r="N117" s="52">
        <v>28722.453000000001</v>
      </c>
      <c r="O117" s="52"/>
      <c r="P117" s="52"/>
      <c r="Q117" s="52"/>
      <c r="R117" s="42"/>
      <c r="S117" s="51">
        <f t="shared" si="12"/>
        <v>24682.02</v>
      </c>
      <c r="T117" s="50">
        <f t="shared" si="13"/>
        <v>0.84698786452885844</v>
      </c>
      <c r="U117" s="54">
        <f t="shared" si="16"/>
        <v>1.3934376866310114</v>
      </c>
      <c r="W117" s="51">
        <f t="shared" si="14"/>
        <v>1460.2339999999999</v>
      </c>
      <c r="X117" s="54">
        <f t="shared" si="17"/>
        <v>0.88439326725312539</v>
      </c>
      <c r="Z117" s="51">
        <f t="shared" si="15"/>
        <v>2319.1689999999999</v>
      </c>
      <c r="AA117" s="54">
        <f t="shared" si="18"/>
        <v>1.489720265000585</v>
      </c>
    </row>
    <row r="118" spans="1:27" ht="15.6">
      <c r="A118" s="53">
        <v>2013</v>
      </c>
      <c r="B118" s="52">
        <v>1054.598</v>
      </c>
      <c r="C118" s="52">
        <v>3042.6840000000002</v>
      </c>
      <c r="D118" s="52">
        <v>2260.502</v>
      </c>
      <c r="E118" s="52">
        <v>2221.9380000000001</v>
      </c>
      <c r="F118" s="52">
        <v>2805.7310000000002</v>
      </c>
      <c r="G118" s="52">
        <v>3103.9119999999998</v>
      </c>
      <c r="H118" s="52">
        <v>2549.2750000000001</v>
      </c>
      <c r="I118" s="52">
        <v>4770.6059999999998</v>
      </c>
      <c r="J118" s="52">
        <v>2872.7739999999999</v>
      </c>
      <c r="K118" s="52">
        <v>1460.2339999999999</v>
      </c>
      <c r="L118" s="52">
        <v>2319.1689999999999</v>
      </c>
      <c r="M118" s="52">
        <v>679.51400000000001</v>
      </c>
      <c r="N118" s="52">
        <v>29140.937000000002</v>
      </c>
      <c r="O118" s="52"/>
      <c r="P118" s="52"/>
      <c r="Q118" s="52"/>
      <c r="R118" s="42"/>
      <c r="S118" s="51">
        <f t="shared" si="12"/>
        <v>25216.22</v>
      </c>
      <c r="T118" s="50">
        <f t="shared" si="13"/>
        <v>0.85156879480123404</v>
      </c>
      <c r="U118" s="54">
        <f t="shared" si="16"/>
        <v>2.1643285274057829</v>
      </c>
      <c r="W118" s="51">
        <f t="shared" si="14"/>
        <v>1484.893</v>
      </c>
      <c r="X118" s="54">
        <f t="shared" si="17"/>
        <v>1.6887019477700222</v>
      </c>
      <c r="Z118" s="51">
        <f t="shared" si="15"/>
        <v>2369.34</v>
      </c>
      <c r="AA118" s="54">
        <f t="shared" si="18"/>
        <v>2.1633179815701351</v>
      </c>
    </row>
    <row r="119" spans="1:27" ht="15.6">
      <c r="A119" s="53">
        <v>2014</v>
      </c>
      <c r="B119" s="52">
        <v>1075.0039999999999</v>
      </c>
      <c r="C119" s="52">
        <v>3098.8449999999998</v>
      </c>
      <c r="D119" s="52">
        <v>2304.549</v>
      </c>
      <c r="E119" s="52">
        <v>2271.1889999999999</v>
      </c>
      <c r="F119" s="52">
        <v>2867.7660000000001</v>
      </c>
      <c r="G119" s="52">
        <v>3182.3820000000001</v>
      </c>
      <c r="H119" s="52">
        <v>2588.373</v>
      </c>
      <c r="I119" s="52">
        <v>4878.1409999999996</v>
      </c>
      <c r="J119" s="52">
        <v>2949.971</v>
      </c>
      <c r="K119" s="52">
        <v>1484.893</v>
      </c>
      <c r="L119" s="52">
        <v>2369.34</v>
      </c>
      <c r="M119" s="52">
        <v>541.03599999999994</v>
      </c>
      <c r="N119" s="52">
        <v>29611.489000000001</v>
      </c>
      <c r="O119" s="52">
        <v>882.45899999999995</v>
      </c>
      <c r="P119" s="52">
        <v>19.32</v>
      </c>
      <c r="Q119" s="52">
        <v>30513.268</v>
      </c>
      <c r="R119" s="42"/>
      <c r="S119" s="51">
        <f t="shared" si="12"/>
        <v>25730.554999999997</v>
      </c>
      <c r="T119" s="50">
        <f t="shared" si="13"/>
        <v>0.85058859262657072</v>
      </c>
      <c r="U119" s="54">
        <f t="shared" si="16"/>
        <v>2.0396990508489989</v>
      </c>
      <c r="W119" s="51">
        <f t="shared" si="14"/>
        <v>1503.8710000000001</v>
      </c>
      <c r="X119" s="54">
        <f t="shared" si="17"/>
        <v>1.2780718880080966</v>
      </c>
      <c r="Z119" s="51">
        <f t="shared" si="15"/>
        <v>2394.1950000000002</v>
      </c>
      <c r="AA119" s="54">
        <f t="shared" si="18"/>
        <v>1.0490263111246176</v>
      </c>
    </row>
    <row r="120" spans="1:27" ht="15.6">
      <c r="A120" s="53">
        <v>2015</v>
      </c>
      <c r="B120" s="52">
        <v>1089.6949999999999</v>
      </c>
      <c r="C120" s="52">
        <v>3141.547</v>
      </c>
      <c r="D120" s="52">
        <v>2348.0160000000001</v>
      </c>
      <c r="E120" s="52">
        <v>2314.9</v>
      </c>
      <c r="F120" s="52">
        <v>2938.31</v>
      </c>
      <c r="G120" s="52">
        <v>3263.223</v>
      </c>
      <c r="H120" s="52">
        <v>2635.884</v>
      </c>
      <c r="I120" s="52">
        <v>4973.9120000000003</v>
      </c>
      <c r="J120" s="52">
        <v>3025.0680000000002</v>
      </c>
      <c r="K120" s="52">
        <v>1503.8710000000001</v>
      </c>
      <c r="L120" s="52">
        <v>2394.1950000000002</v>
      </c>
      <c r="M120" s="52">
        <v>621.673</v>
      </c>
      <c r="N120" s="52">
        <v>30250.294000000002</v>
      </c>
      <c r="O120" s="52">
        <v>904.24300000000005</v>
      </c>
      <c r="P120" s="52">
        <v>16.164000000000001</v>
      </c>
      <c r="Q120" s="52">
        <v>31170.701000000001</v>
      </c>
      <c r="R120" s="42"/>
      <c r="S120" s="51">
        <f t="shared" si="12"/>
        <v>26283.297999999995</v>
      </c>
      <c r="T120" s="50">
        <f t="shared" si="13"/>
        <v>0.85195861063894052</v>
      </c>
      <c r="U120" s="54">
        <f t="shared" si="16"/>
        <v>2.1481969588296819</v>
      </c>
      <c r="W120" s="51">
        <f t="shared" si="14"/>
        <v>1527.0809999999999</v>
      </c>
      <c r="X120" s="54">
        <f t="shared" si="17"/>
        <v>1.5433504602455801</v>
      </c>
      <c r="Z120" s="51">
        <f t="shared" si="15"/>
        <v>2433.096</v>
      </c>
      <c r="AA120" s="54">
        <f t="shared" si="18"/>
        <v>1.6248049970866967</v>
      </c>
    </row>
    <row r="121" spans="1:27" ht="15.6">
      <c r="A121" s="53">
        <v>2016</v>
      </c>
      <c r="B121" s="52">
        <v>1106.796</v>
      </c>
      <c r="C121" s="52">
        <v>3171.9140000000002</v>
      </c>
      <c r="D121" s="52">
        <v>2410.877</v>
      </c>
      <c r="E121" s="52">
        <v>2358.8629999999998</v>
      </c>
      <c r="F121" s="52">
        <v>3017.9389999999999</v>
      </c>
      <c r="G121" s="52">
        <v>3342.4</v>
      </c>
      <c r="H121" s="52">
        <v>2668.1610000000001</v>
      </c>
      <c r="I121" s="52">
        <v>5107.3360000000002</v>
      </c>
      <c r="J121" s="52">
        <v>3099.0120000000002</v>
      </c>
      <c r="K121" s="52">
        <v>1527.0809999999999</v>
      </c>
      <c r="L121" s="52">
        <v>2433.096</v>
      </c>
      <c r="M121" s="52">
        <v>606.96500000000003</v>
      </c>
      <c r="N121" s="52">
        <v>30850.44</v>
      </c>
      <c r="O121" s="52">
        <v>927.52700000000004</v>
      </c>
      <c r="P121" s="52">
        <v>14.292</v>
      </c>
      <c r="Q121" s="52">
        <v>31792.258999999998</v>
      </c>
      <c r="R121" s="42"/>
      <c r="S121" s="51"/>
      <c r="T121" s="50"/>
      <c r="U121" s="48">
        <f>AVERAGE(U99:U120)</f>
        <v>1.7383103660781787</v>
      </c>
      <c r="W121" s="49"/>
      <c r="X121" s="48">
        <f>AVERAGE(X99:X120)</f>
        <v>1.9243052056056618</v>
      </c>
      <c r="Z121" s="49"/>
      <c r="AA121" s="48">
        <f>AVERAGE(AA99:AA120)</f>
        <v>1.9615565989655257</v>
      </c>
    </row>
    <row r="122" spans="1:27" ht="15" thickBot="1">
      <c r="S122" s="46"/>
      <c r="T122" s="47"/>
      <c r="U122" s="45" t="s">
        <v>176</v>
      </c>
      <c r="W122" s="46"/>
      <c r="X122" s="45" t="s">
        <v>176</v>
      </c>
      <c r="Z122" s="46"/>
      <c r="AA122" s="45" t="s">
        <v>176</v>
      </c>
    </row>
    <row r="123" spans="1:27" ht="15">
      <c r="A123" s="44" t="s">
        <v>177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27" ht="15">
      <c r="A124" s="44" t="s">
        <v>178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2"/>
    </row>
    <row r="128" spans="1:27">
      <c r="N128" s="41"/>
      <c r="O128" s="40"/>
      <c r="P128" s="40"/>
      <c r="Q128" s="40"/>
      <c r="R128" s="40"/>
      <c r="S128" s="40"/>
      <c r="T128" s="40"/>
      <c r="U128" s="40"/>
      <c r="V128" s="39"/>
    </row>
    <row r="129" spans="14:22">
      <c r="N129" s="41"/>
      <c r="O129" s="40"/>
      <c r="P129" s="40"/>
      <c r="Q129" s="40"/>
      <c r="R129" s="40"/>
      <c r="S129" s="40"/>
      <c r="T129" s="40"/>
      <c r="U129" s="40"/>
      <c r="V129" s="39"/>
    </row>
    <row r="130" spans="14:22">
      <c r="N130" s="41"/>
      <c r="O130" s="40"/>
      <c r="P130" s="40"/>
      <c r="Q130" s="40"/>
      <c r="R130" s="40"/>
      <c r="S130" s="40"/>
      <c r="T130" s="40"/>
      <c r="U130" s="40"/>
      <c r="V130" s="39"/>
    </row>
    <row r="131" spans="14:22">
      <c r="N131" s="41"/>
      <c r="O131" s="40"/>
      <c r="P131" s="40"/>
      <c r="Q131" s="40"/>
      <c r="R131" s="40"/>
      <c r="S131" s="40"/>
      <c r="T131" s="40"/>
      <c r="U131" s="40"/>
      <c r="V131" s="39"/>
    </row>
    <row r="132" spans="14:22">
      <c r="N132" s="41"/>
      <c r="O132" s="40"/>
      <c r="P132" s="40"/>
      <c r="Q132" s="40"/>
      <c r="R132" s="40"/>
      <c r="S132" s="40"/>
      <c r="T132" s="40"/>
      <c r="U132" s="40"/>
      <c r="V132" s="39"/>
    </row>
    <row r="133" spans="14:22">
      <c r="N133" s="41"/>
      <c r="O133" s="40"/>
      <c r="P133" s="40"/>
      <c r="Q133" s="40"/>
      <c r="R133" s="40"/>
      <c r="S133" s="40"/>
      <c r="T133" s="40"/>
      <c r="U133" s="40"/>
      <c r="V133" s="39"/>
    </row>
    <row r="134" spans="14:22">
      <c r="N134" s="41"/>
      <c r="O134" s="40"/>
      <c r="P134" s="40"/>
      <c r="Q134" s="40"/>
      <c r="R134" s="40"/>
      <c r="S134" s="40"/>
      <c r="T134" s="40"/>
      <c r="U134" s="40"/>
      <c r="V134" s="39"/>
    </row>
    <row r="135" spans="14:22">
      <c r="N135" s="41"/>
      <c r="O135" s="40"/>
      <c r="P135" s="40"/>
      <c r="Q135" s="40"/>
      <c r="R135" s="40"/>
      <c r="S135" s="40"/>
      <c r="T135" s="40"/>
      <c r="U135" s="40"/>
      <c r="V135" s="39"/>
    </row>
    <row r="136" spans="14:22">
      <c r="N136" s="41"/>
      <c r="O136" s="40"/>
      <c r="P136" s="40"/>
      <c r="Q136" s="40"/>
      <c r="R136" s="40"/>
      <c r="S136" s="40"/>
      <c r="T136" s="40"/>
      <c r="U136" s="40"/>
      <c r="V136" s="39"/>
    </row>
    <row r="137" spans="14:22">
      <c r="N137" s="41"/>
      <c r="O137" s="40"/>
      <c r="P137" s="40"/>
      <c r="Q137" s="40"/>
      <c r="R137" s="40"/>
      <c r="S137" s="40"/>
      <c r="T137" s="40"/>
      <c r="U137" s="40"/>
      <c r="V137" s="39"/>
    </row>
    <row r="138" spans="14:22">
      <c r="N138" s="41"/>
      <c r="O138" s="40"/>
      <c r="P138" s="40"/>
      <c r="Q138" s="40"/>
      <c r="R138" s="40"/>
      <c r="S138" s="40"/>
      <c r="T138" s="40"/>
      <c r="U138" s="40"/>
      <c r="V138" s="39"/>
    </row>
    <row r="139" spans="14:22">
      <c r="N139" s="41"/>
      <c r="O139" s="40"/>
      <c r="P139" s="40"/>
      <c r="Q139" s="40"/>
      <c r="R139" s="40"/>
      <c r="S139" s="40"/>
      <c r="T139" s="40"/>
      <c r="U139" s="40"/>
      <c r="V139" s="39"/>
    </row>
    <row r="140" spans="14:22">
      <c r="N140" s="41"/>
      <c r="O140" s="40"/>
      <c r="P140" s="40"/>
      <c r="Q140" s="40"/>
      <c r="R140" s="40"/>
      <c r="S140" s="40"/>
      <c r="T140" s="40"/>
      <c r="U140" s="40"/>
      <c r="V140" s="39"/>
    </row>
    <row r="141" spans="14:22">
      <c r="N141" s="41"/>
      <c r="O141" s="40"/>
      <c r="P141" s="40"/>
      <c r="Q141" s="40"/>
      <c r="R141" s="40"/>
      <c r="S141" s="40"/>
      <c r="T141" s="40"/>
      <c r="U141" s="40"/>
      <c r="V141" s="39"/>
    </row>
    <row r="142" spans="14:22">
      <c r="N142" s="41"/>
      <c r="O142" s="40"/>
      <c r="P142" s="40"/>
      <c r="Q142" s="40"/>
      <c r="R142" s="40"/>
      <c r="S142" s="40"/>
      <c r="T142" s="40"/>
      <c r="U142" s="40"/>
      <c r="V142" s="39"/>
    </row>
    <row r="143" spans="14:22">
      <c r="N143" s="41"/>
      <c r="O143" s="40"/>
      <c r="P143" s="40"/>
      <c r="Q143" s="40"/>
      <c r="R143" s="40"/>
      <c r="S143" s="40"/>
      <c r="T143" s="40"/>
      <c r="U143" s="40"/>
      <c r="V143" s="39"/>
    </row>
    <row r="144" spans="14:22">
      <c r="N144" s="41"/>
      <c r="O144" s="40"/>
      <c r="P144" s="40"/>
      <c r="Q144" s="40"/>
      <c r="R144" s="40"/>
      <c r="S144" s="40"/>
      <c r="T144" s="40"/>
      <c r="U144" s="40"/>
      <c r="V144" s="39"/>
    </row>
    <row r="145" spans="4:22">
      <c r="N145" s="41"/>
      <c r="O145" s="40"/>
      <c r="P145" s="40"/>
      <c r="Q145" s="40"/>
      <c r="R145" s="40"/>
      <c r="S145" s="40"/>
      <c r="T145" s="40"/>
      <c r="U145" s="40"/>
      <c r="V145" s="39"/>
    </row>
    <row r="146" spans="4:22">
      <c r="N146" s="41"/>
      <c r="O146" s="40"/>
      <c r="P146" s="40"/>
      <c r="Q146" s="40"/>
      <c r="R146" s="40"/>
      <c r="S146" s="40"/>
      <c r="T146" s="40"/>
      <c r="U146" s="40"/>
      <c r="V146" s="39"/>
    </row>
    <row r="147" spans="4:22">
      <c r="N147" s="41"/>
      <c r="O147" s="40"/>
      <c r="P147" s="40"/>
      <c r="Q147" s="40"/>
      <c r="R147" s="40"/>
      <c r="S147" s="40"/>
      <c r="T147" s="40"/>
      <c r="U147" s="40"/>
      <c r="V147" s="39"/>
    </row>
    <row r="148" spans="4:22">
      <c r="N148" s="41"/>
      <c r="O148" s="40"/>
      <c r="P148" s="40"/>
      <c r="Q148" s="40"/>
      <c r="R148" s="40"/>
      <c r="S148" s="40"/>
      <c r="T148" s="40"/>
      <c r="U148" s="40"/>
      <c r="V148" s="39"/>
    </row>
    <row r="149" spans="4:22">
      <c r="N149" s="41"/>
      <c r="O149" s="40"/>
      <c r="P149" s="40"/>
      <c r="Q149" s="40"/>
      <c r="R149" s="40"/>
      <c r="S149" s="40"/>
      <c r="T149" s="40"/>
      <c r="U149" s="40"/>
      <c r="V149" s="39"/>
    </row>
    <row r="150" spans="4:22">
      <c r="N150" s="41"/>
      <c r="O150" s="40"/>
      <c r="P150" s="40"/>
      <c r="Q150" s="40"/>
      <c r="R150" s="40"/>
      <c r="S150" s="40"/>
      <c r="T150" s="40"/>
      <c r="U150" s="40"/>
      <c r="V150" s="39"/>
    </row>
    <row r="151" spans="4:22">
      <c r="N151" s="41"/>
      <c r="O151" s="40"/>
      <c r="P151" s="40"/>
      <c r="Q151" s="40"/>
      <c r="R151" s="40"/>
      <c r="S151" s="40"/>
      <c r="T151" s="40"/>
      <c r="U151" s="40"/>
      <c r="V151" s="39"/>
    </row>
    <row r="152" spans="4:22">
      <c r="N152" s="41"/>
      <c r="O152" s="40"/>
      <c r="P152" s="40"/>
      <c r="Q152" s="40"/>
      <c r="R152" s="40"/>
      <c r="S152" s="40"/>
      <c r="T152" s="40"/>
      <c r="U152" s="40"/>
      <c r="V152" s="39"/>
    </row>
    <row r="153" spans="4:22">
      <c r="N153" s="41"/>
      <c r="O153" s="40"/>
      <c r="P153" s="40"/>
      <c r="Q153" s="40"/>
      <c r="R153" s="40"/>
      <c r="S153" s="40"/>
      <c r="T153" s="40"/>
      <c r="U153" s="40"/>
      <c r="V153" s="39"/>
    </row>
    <row r="154" spans="4:22">
      <c r="N154" s="41"/>
      <c r="O154" s="40"/>
      <c r="P154" s="40"/>
      <c r="Q154" s="40"/>
      <c r="R154" s="40"/>
      <c r="S154" s="40"/>
      <c r="T154" s="40"/>
      <c r="U154" s="40"/>
      <c r="V154" s="39"/>
    </row>
    <row r="156" spans="4:22" ht="15.6">
      <c r="D156" s="38"/>
      <c r="E156" s="37"/>
      <c r="F156" s="37"/>
      <c r="G156" s="37"/>
      <c r="H156" s="37"/>
      <c r="I156" s="37"/>
      <c r="J156" s="37"/>
      <c r="K156" s="37"/>
      <c r="L156" s="37"/>
    </row>
  </sheetData>
  <mergeCells count="17">
    <mergeCell ref="D2:E2"/>
    <mergeCell ref="F2:G2"/>
    <mergeCell ref="B2:C2"/>
    <mergeCell ref="A61:H61"/>
    <mergeCell ref="A62:H62"/>
    <mergeCell ref="A83:A84"/>
    <mergeCell ref="A85:A86"/>
    <mergeCell ref="A87:A88"/>
    <mergeCell ref="A93:H93"/>
    <mergeCell ref="V68:AD68"/>
    <mergeCell ref="V69:AD69"/>
    <mergeCell ref="V74:AD74"/>
    <mergeCell ref="V80:V81"/>
    <mergeCell ref="W80:Z80"/>
    <mergeCell ref="AA80:AD80"/>
    <mergeCell ref="A81:A82"/>
    <mergeCell ref="A79:A80"/>
  </mergeCells>
  <hyperlinks>
    <hyperlink ref="A93" r:id="rId1"/>
    <hyperlink ref="A73" r:id="rId2" display="Traffic (http://www.dft.gov.uk/statistics/series/traffic)"/>
    <hyperlink ref="W66" r:id="rId3"/>
    <hyperlink ref="B46" r:id="rId4"/>
  </hyperlinks>
  <pageMargins left="0.7" right="0.7" top="0.75" bottom="0.75" header="0.3" footer="0.3"/>
  <pageSetup paperSize="9" orientation="portrait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BL123"/>
  <sheetViews>
    <sheetView zoomScale="40" zoomScaleNormal="40" workbookViewId="0">
      <selection activeCell="AU5" sqref="AU5:AU40"/>
    </sheetView>
  </sheetViews>
  <sheetFormatPr defaultColWidth="11" defaultRowHeight="15.6"/>
  <cols>
    <col min="1" max="3" width="3.3984375" style="267" customWidth="1"/>
    <col min="4" max="4" width="11.09765625" style="270" bestFit="1" customWidth="1"/>
    <col min="5" max="5" width="18.5" style="270" customWidth="1"/>
    <col min="6" max="6" width="2.8984375" style="270" customWidth="1"/>
    <col min="7" max="7" width="14.8984375" style="270" bestFit="1" customWidth="1"/>
    <col min="8" max="8" width="12.19921875" style="270" customWidth="1"/>
    <col min="9" max="9" width="18.5" style="270" bestFit="1" customWidth="1"/>
    <col min="10" max="10" width="12.3984375" style="270" customWidth="1"/>
    <col min="11" max="11" width="2.8984375" style="270" customWidth="1"/>
    <col min="12" max="12" width="18.59765625" style="270" bestFit="1" customWidth="1"/>
    <col min="13" max="13" width="19.09765625" style="270" bestFit="1" customWidth="1"/>
    <col min="14" max="14" width="18.59765625" style="270" bestFit="1" customWidth="1"/>
    <col min="15" max="15" width="13.19921875" style="270" bestFit="1" customWidth="1"/>
    <col min="16" max="16" width="2.8984375" style="270" customWidth="1"/>
    <col min="17" max="17" width="13.09765625" style="270" customWidth="1"/>
    <col min="18" max="18" width="13.3984375" style="270" customWidth="1"/>
    <col min="19" max="19" width="18.59765625" style="267" bestFit="1" customWidth="1"/>
    <col min="20" max="20" width="14.09765625" style="267" bestFit="1" customWidth="1"/>
    <col min="21" max="24" width="3.69921875" style="267" customWidth="1"/>
    <col min="25" max="25" width="5.19921875" style="267" customWidth="1"/>
    <col min="26" max="26" width="9" style="267" customWidth="1"/>
    <col min="27" max="27" width="18" style="267" customWidth="1"/>
    <col min="28" max="28" width="2.8984375" style="267" customWidth="1"/>
    <col min="29" max="29" width="18.59765625" style="267" bestFit="1" customWidth="1"/>
    <col min="30" max="30" width="19.09765625" style="267" bestFit="1" customWidth="1"/>
    <col min="31" max="31" width="18.59765625" style="267" bestFit="1" customWidth="1"/>
    <col min="32" max="32" width="12.19921875" style="267" bestFit="1" customWidth="1"/>
    <col min="33" max="33" width="2.8984375" style="267" customWidth="1"/>
    <col min="34" max="34" width="18.59765625" style="267" bestFit="1" customWidth="1"/>
    <col min="35" max="35" width="19.09765625" style="267" bestFit="1" customWidth="1"/>
    <col min="36" max="36" width="18.59765625" style="267" bestFit="1" customWidth="1"/>
    <col min="37" max="37" width="13.19921875" style="267" bestFit="1" customWidth="1"/>
    <col min="38" max="38" width="2.8984375" style="267" customWidth="1"/>
    <col min="39" max="39" width="13.09765625" style="267" customWidth="1"/>
    <col min="40" max="40" width="13.3984375" style="267" customWidth="1"/>
    <col min="41" max="41" width="15" style="267" bestFit="1" customWidth="1"/>
    <col min="42" max="42" width="10.59765625" style="267" bestFit="1" customWidth="1"/>
    <col min="43" max="43" width="3.3984375" style="267" customWidth="1"/>
    <col min="44" max="44" width="6.59765625" style="267" customWidth="1"/>
    <col min="45" max="45" width="5.3984375" style="267" customWidth="1"/>
    <col min="46" max="46" width="11" style="267"/>
    <col min="47" max="47" width="11.19921875" style="267" bestFit="1" customWidth="1"/>
    <col min="48" max="48" width="20" style="267" customWidth="1"/>
    <col min="49" max="49" width="4.8984375" style="267" customWidth="1"/>
    <col min="50" max="50" width="18.59765625" style="267" bestFit="1" customWidth="1"/>
    <col min="51" max="51" width="15.3984375" style="267" customWidth="1"/>
    <col min="52" max="52" width="14.59765625" style="267" customWidth="1"/>
    <col min="53" max="53" width="12.09765625" style="267" bestFit="1" customWidth="1"/>
    <col min="54" max="54" width="4.3984375" style="267" customWidth="1"/>
    <col min="55" max="55" width="18.59765625" style="267" bestFit="1" customWidth="1"/>
    <col min="56" max="56" width="18.69921875" style="267" bestFit="1" customWidth="1"/>
    <col min="57" max="57" width="18.59765625" style="267" bestFit="1" customWidth="1"/>
    <col min="58" max="58" width="12.8984375" style="267" bestFit="1" customWidth="1"/>
    <col min="59" max="59" width="3.5" style="267" customWidth="1"/>
    <col min="60" max="60" width="13.09765625" style="267" customWidth="1"/>
    <col min="61" max="61" width="14.19921875" style="267" bestFit="1" customWidth="1"/>
    <col min="62" max="62" width="18.59765625" style="267" bestFit="1" customWidth="1"/>
    <col min="63" max="63" width="12.19921875" style="267" bestFit="1" customWidth="1"/>
    <col min="64" max="16384" width="11" style="267"/>
  </cols>
  <sheetData>
    <row r="2" spans="3:64" ht="16.2" thickBot="1"/>
    <row r="3" spans="3:64" ht="16.2" thickBot="1">
      <c r="C3" s="326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8"/>
      <c r="T3" s="328"/>
      <c r="U3" s="329"/>
      <c r="Y3" s="32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29"/>
      <c r="AT3" s="326"/>
      <c r="AU3" s="336"/>
      <c r="AV3" s="336"/>
      <c r="AW3" s="336"/>
      <c r="AX3" s="336"/>
      <c r="AY3" s="336"/>
      <c r="AZ3" s="336"/>
      <c r="BA3" s="336"/>
      <c r="BB3" s="336"/>
      <c r="BC3" s="336"/>
      <c r="BD3" s="336"/>
      <c r="BE3" s="336"/>
      <c r="BF3" s="336"/>
      <c r="BG3" s="336"/>
      <c r="BH3" s="336"/>
      <c r="BI3" s="336"/>
      <c r="BJ3" s="336"/>
      <c r="BK3" s="336"/>
      <c r="BL3" s="329"/>
    </row>
    <row r="4" spans="3:64" ht="51.75" customHeight="1" thickBot="1">
      <c r="C4" s="330"/>
      <c r="D4" s="544" t="s">
        <v>179</v>
      </c>
      <c r="E4" s="545"/>
      <c r="F4" s="269"/>
      <c r="G4" s="538" t="s">
        <v>180</v>
      </c>
      <c r="H4" s="539"/>
      <c r="I4" s="539"/>
      <c r="J4" s="540"/>
      <c r="K4" s="269"/>
      <c r="L4" s="541" t="s">
        <v>181</v>
      </c>
      <c r="M4" s="542"/>
      <c r="N4" s="542"/>
      <c r="O4" s="543"/>
      <c r="P4" s="269"/>
      <c r="Q4" s="541" t="s">
        <v>182</v>
      </c>
      <c r="R4" s="542"/>
      <c r="S4" s="542"/>
      <c r="T4" s="543"/>
      <c r="U4" s="331"/>
      <c r="Y4" s="330"/>
      <c r="Z4" s="544" t="s">
        <v>183</v>
      </c>
      <c r="AA4" s="545"/>
      <c r="AB4" s="274"/>
      <c r="AC4" s="510" t="s">
        <v>184</v>
      </c>
      <c r="AD4" s="511"/>
      <c r="AE4" s="511"/>
      <c r="AF4" s="512"/>
      <c r="AG4" s="274"/>
      <c r="AH4" s="510" t="s">
        <v>185</v>
      </c>
      <c r="AI4" s="511"/>
      <c r="AJ4" s="511"/>
      <c r="AK4" s="512"/>
      <c r="AL4" s="274"/>
      <c r="AM4" s="510" t="s">
        <v>186</v>
      </c>
      <c r="AN4" s="511"/>
      <c r="AO4" s="511"/>
      <c r="AP4" s="512"/>
      <c r="AQ4" s="331"/>
      <c r="AT4" s="330"/>
      <c r="AU4" s="544" t="s">
        <v>187</v>
      </c>
      <c r="AV4" s="545"/>
      <c r="AW4" s="274"/>
      <c r="AX4" s="510" t="s">
        <v>188</v>
      </c>
      <c r="AY4" s="511"/>
      <c r="AZ4" s="511"/>
      <c r="BA4" s="512"/>
      <c r="BB4" s="274"/>
      <c r="BC4" s="510" t="s">
        <v>189</v>
      </c>
      <c r="BD4" s="511"/>
      <c r="BE4" s="511"/>
      <c r="BF4" s="512"/>
      <c r="BG4" s="274"/>
      <c r="BH4" s="510" t="s">
        <v>190</v>
      </c>
      <c r="BI4" s="511"/>
      <c r="BJ4" s="511"/>
      <c r="BK4" s="512"/>
      <c r="BL4" s="331"/>
    </row>
    <row r="5" spans="3:64" ht="54.9" customHeight="1">
      <c r="C5" s="330"/>
      <c r="D5" s="271" t="s">
        <v>43</v>
      </c>
      <c r="E5" s="271" t="s">
        <v>191</v>
      </c>
      <c r="F5" s="272"/>
      <c r="G5" s="376" t="s">
        <v>192</v>
      </c>
      <c r="H5" s="376" t="s">
        <v>193</v>
      </c>
      <c r="I5" s="377" t="s">
        <v>85</v>
      </c>
      <c r="J5" s="378" t="s">
        <v>194</v>
      </c>
      <c r="K5" s="273"/>
      <c r="L5" s="376" t="s">
        <v>192</v>
      </c>
      <c r="M5" s="376" t="s">
        <v>193</v>
      </c>
      <c r="N5" s="377" t="s">
        <v>85</v>
      </c>
      <c r="O5" s="378" t="s">
        <v>194</v>
      </c>
      <c r="P5" s="272"/>
      <c r="Q5" s="376" t="s">
        <v>192</v>
      </c>
      <c r="R5" s="376" t="s">
        <v>193</v>
      </c>
      <c r="S5" s="377" t="s">
        <v>85</v>
      </c>
      <c r="T5" s="378" t="s">
        <v>194</v>
      </c>
      <c r="U5" s="331"/>
      <c r="Y5" s="330"/>
      <c r="Z5" s="271" t="s">
        <v>43</v>
      </c>
      <c r="AA5" s="271" t="s">
        <v>191</v>
      </c>
      <c r="AB5" s="274"/>
      <c r="AC5" s="376" t="s">
        <v>192</v>
      </c>
      <c r="AD5" s="376" t="s">
        <v>193</v>
      </c>
      <c r="AE5" s="377" t="s">
        <v>85</v>
      </c>
      <c r="AF5" s="378" t="s">
        <v>194</v>
      </c>
      <c r="AG5" s="273"/>
      <c r="AH5" s="376" t="s">
        <v>192</v>
      </c>
      <c r="AI5" s="376" t="s">
        <v>193</v>
      </c>
      <c r="AJ5" s="377" t="s">
        <v>85</v>
      </c>
      <c r="AK5" s="378" t="s">
        <v>194</v>
      </c>
      <c r="AL5" s="272"/>
      <c r="AM5" s="376" t="s">
        <v>192</v>
      </c>
      <c r="AN5" s="376" t="s">
        <v>193</v>
      </c>
      <c r="AO5" s="377" t="s">
        <v>85</v>
      </c>
      <c r="AP5" s="378" t="s">
        <v>194</v>
      </c>
      <c r="AQ5" s="331"/>
      <c r="AT5" s="330"/>
      <c r="AU5" s="271" t="str">
        <f t="shared" ref="AU5:AU40" si="0">Z5</f>
        <v>Year</v>
      </c>
      <c r="AV5" s="271" t="str">
        <f t="shared" ref="AV5" si="1">AA5</f>
        <v xml:space="preserve">Total Number of Cars </v>
      </c>
      <c r="AW5" s="274"/>
      <c r="AX5" s="376" t="s">
        <v>192</v>
      </c>
      <c r="AY5" s="376" t="s">
        <v>193</v>
      </c>
      <c r="AZ5" s="377" t="s">
        <v>85</v>
      </c>
      <c r="BA5" s="378" t="s">
        <v>194</v>
      </c>
      <c r="BB5" s="273"/>
      <c r="BC5" s="376" t="s">
        <v>192</v>
      </c>
      <c r="BD5" s="376" t="s">
        <v>193</v>
      </c>
      <c r="BE5" s="377" t="s">
        <v>85</v>
      </c>
      <c r="BF5" s="378" t="s">
        <v>194</v>
      </c>
      <c r="BG5" s="272"/>
      <c r="BH5" s="376" t="s">
        <v>192</v>
      </c>
      <c r="BI5" s="376" t="s">
        <v>193</v>
      </c>
      <c r="BJ5" s="377" t="s">
        <v>85</v>
      </c>
      <c r="BK5" s="378" t="s">
        <v>194</v>
      </c>
      <c r="BL5" s="331"/>
    </row>
    <row r="6" spans="3:64">
      <c r="C6" s="330"/>
      <c r="D6" s="359">
        <v>2016</v>
      </c>
      <c r="E6" s="371">
        <f>'Nº Cars Projection'!B4</f>
        <v>30850440</v>
      </c>
      <c r="F6" s="337"/>
      <c r="G6" s="372">
        <f>'Business as Usual PR'!B18</f>
        <v>0.10975423442104723</v>
      </c>
      <c r="H6" s="373">
        <f t="shared" ref="H6:H40" si="2">E6*(G6/100)</f>
        <v>33859.664237524528</v>
      </c>
      <c r="I6" s="374">
        <f>SUM('Business as Usual PR'!K82)</f>
        <v>1.045783804576667</v>
      </c>
      <c r="J6" s="375">
        <f t="shared" ref="J6:J40" si="3">SUM(I6*E6)/100</f>
        <v>322628.90516064188</v>
      </c>
      <c r="K6" s="354"/>
      <c r="L6" s="372">
        <f>'Intermediate Limit PR'!B18</f>
        <v>0.10975423442104723</v>
      </c>
      <c r="M6" s="373">
        <f t="shared" ref="M6:M40" si="4">E6*(L6/100)</f>
        <v>33859.664237524528</v>
      </c>
      <c r="N6" s="374">
        <v>1.045783804576667</v>
      </c>
      <c r="O6" s="375">
        <f t="shared" ref="O6:O40" si="5">SUM(N6*E6)/100</f>
        <v>322628.90516064188</v>
      </c>
      <c r="P6" s="355"/>
      <c r="Q6" s="372">
        <f>'Upper Limit  PR'!B18</f>
        <v>0.10975423442104723</v>
      </c>
      <c r="R6" s="373">
        <f t="shared" ref="R6:R40" si="6">E6*(Q6/100)</f>
        <v>33859.664237524528</v>
      </c>
      <c r="S6" s="374">
        <v>0</v>
      </c>
      <c r="T6" s="375">
        <v>0</v>
      </c>
      <c r="U6" s="356"/>
      <c r="V6" s="270"/>
      <c r="W6" s="270"/>
      <c r="X6" s="270"/>
      <c r="Y6" s="357"/>
      <c r="Z6" s="359">
        <v>2016</v>
      </c>
      <c r="AA6" s="371">
        <f>'Nº Cars Projection'!D4</f>
        <v>30850440</v>
      </c>
      <c r="AB6" s="269"/>
      <c r="AC6" s="372">
        <f t="shared" ref="AC6:AC40" si="7">G6</f>
        <v>0.10975423442104723</v>
      </c>
      <c r="AD6" s="373">
        <f>AA6*(AC6/100)</f>
        <v>33859.664237524528</v>
      </c>
      <c r="AE6" s="374">
        <f>SUM('Business as Usual PR'!K82)</f>
        <v>1.045783804576667</v>
      </c>
      <c r="AF6" s="375">
        <f t="shared" ref="AF6:AF40" si="8">SUM(AE6*AA6)/100</f>
        <v>322628.90516064188</v>
      </c>
      <c r="AG6" s="354"/>
      <c r="AH6" s="372">
        <f t="shared" ref="AH6:AH22" si="9">L6</f>
        <v>0.10975423442104723</v>
      </c>
      <c r="AI6" s="373">
        <f>AA6*(AH6/100)</f>
        <v>33859.664237524528</v>
      </c>
      <c r="AJ6" s="374">
        <v>1.045783804576667</v>
      </c>
      <c r="AK6" s="375">
        <f t="shared" ref="AK6:AK40" si="10">SUM(AJ6*AA6)/100</f>
        <v>322628.90516064188</v>
      </c>
      <c r="AL6" s="355"/>
      <c r="AM6" s="372">
        <f t="shared" ref="AM6:AM22" si="11">Q6</f>
        <v>0.10975423442104723</v>
      </c>
      <c r="AN6" s="373">
        <f>AA6*(AM6/100)</f>
        <v>33859.664237524528</v>
      </c>
      <c r="AO6" s="374">
        <v>0</v>
      </c>
      <c r="AP6" s="375">
        <v>0</v>
      </c>
      <c r="AQ6" s="356"/>
      <c r="AR6" s="270"/>
      <c r="AS6" s="270"/>
      <c r="AT6" s="357"/>
      <c r="AU6" s="359">
        <f t="shared" si="0"/>
        <v>2016</v>
      </c>
      <c r="AV6" s="371">
        <f>'Nº Cars Projection'!F4</f>
        <v>30850440</v>
      </c>
      <c r="AW6" s="269"/>
      <c r="AX6" s="372">
        <f t="shared" ref="AX6:AX40" si="12">AC6</f>
        <v>0.10975423442104723</v>
      </c>
      <c r="AY6" s="373">
        <f>AV6*(BC6/100)</f>
        <v>33859.664237524528</v>
      </c>
      <c r="AZ6" s="374">
        <f>SUM('Business as Usual PR'!K82)</f>
        <v>1.045783804576667</v>
      </c>
      <c r="BA6" s="375">
        <f t="shared" ref="BA6:BA40" si="13">SUM(AZ6*AV6)/100</f>
        <v>322628.90516064188</v>
      </c>
      <c r="BB6" s="354"/>
      <c r="BC6" s="372">
        <f t="shared" ref="BC6:BC40" si="14">AH6</f>
        <v>0.10975423442104723</v>
      </c>
      <c r="BD6" s="373">
        <f>AV6*(BC6/100)</f>
        <v>33859.664237524528</v>
      </c>
      <c r="BE6" s="374">
        <v>1.045783804576667</v>
      </c>
      <c r="BF6" s="375">
        <f t="shared" ref="BF6:BF40" si="15">SUM(BE6*AV6)/100</f>
        <v>322628.90516064188</v>
      </c>
      <c r="BG6" s="355"/>
      <c r="BH6" s="372">
        <f t="shared" ref="BH6:BH40" si="16">AM6</f>
        <v>0.10975423442104723</v>
      </c>
      <c r="BI6" s="373">
        <f>AV6*(BH6/100)</f>
        <v>33859.664237524528</v>
      </c>
      <c r="BJ6" s="374">
        <v>0</v>
      </c>
      <c r="BK6" s="375">
        <v>0</v>
      </c>
      <c r="BL6" s="331"/>
    </row>
    <row r="7" spans="3:64">
      <c r="C7" s="330"/>
      <c r="D7" s="360">
        <v>2017</v>
      </c>
      <c r="E7" s="370">
        <f>'Nº Cars Projection'!B5</f>
        <v>31253245.6875</v>
      </c>
      <c r="F7" s="337"/>
      <c r="G7" s="366">
        <f>'Business as Usual PR'!B19</f>
        <v>0.13733557751962594</v>
      </c>
      <c r="H7" s="367">
        <f t="shared" si="2"/>
        <v>42921.825458555708</v>
      </c>
      <c r="I7" s="363">
        <f>SUM('Business as Usual PR'!K83)</f>
        <v>1.1444631459968828</v>
      </c>
      <c r="J7" s="361">
        <f t="shared" si="3"/>
        <v>357681.87882129761</v>
      </c>
      <c r="K7" s="354"/>
      <c r="L7" s="366">
        <f>'Intermediate Limit PR'!B19</f>
        <v>0.13733557751962594</v>
      </c>
      <c r="M7" s="367">
        <f t="shared" si="4"/>
        <v>42921.825458555708</v>
      </c>
      <c r="N7" s="363">
        <v>1.2729949525762012</v>
      </c>
      <c r="O7" s="361">
        <f t="shared" si="5"/>
        <v>397852.24011811428</v>
      </c>
      <c r="P7" s="355"/>
      <c r="Q7" s="366">
        <f>'Upper Limit  PR'!B19</f>
        <v>0.13733557751962594</v>
      </c>
      <c r="R7" s="367">
        <f t="shared" si="6"/>
        <v>42921.825458555708</v>
      </c>
      <c r="S7" s="363">
        <v>0</v>
      </c>
      <c r="T7" s="361">
        <v>0</v>
      </c>
      <c r="U7" s="356"/>
      <c r="V7" s="270"/>
      <c r="W7" s="270"/>
      <c r="X7" s="270"/>
      <c r="Y7" s="357"/>
      <c r="Z7" s="360">
        <v>2017</v>
      </c>
      <c r="AA7" s="370">
        <f>'Nº Cars Projection'!D5</f>
        <v>30993393</v>
      </c>
      <c r="AB7" s="269"/>
      <c r="AC7" s="366">
        <f t="shared" si="7"/>
        <v>0.13733557751962594</v>
      </c>
      <c r="AD7" s="367">
        <f t="shared" ref="AD7:AD40" si="17">AA7*(AC7/100)</f>
        <v>42564.955269477316</v>
      </c>
      <c r="AE7" s="363">
        <f>SUM('Business as Usual PR'!K83)</f>
        <v>1.1444631459968828</v>
      </c>
      <c r="AF7" s="361">
        <f t="shared" si="8"/>
        <v>354707.96057897771</v>
      </c>
      <c r="AG7" s="354"/>
      <c r="AH7" s="366">
        <f t="shared" si="9"/>
        <v>0.13733557751962594</v>
      </c>
      <c r="AI7" s="367">
        <f t="shared" ref="AI7:AI40" si="18">AA7*(AH7/100)</f>
        <v>42564.955269477316</v>
      </c>
      <c r="AJ7" s="363">
        <v>1.2729949525762012</v>
      </c>
      <c r="AK7" s="361">
        <f t="shared" si="10"/>
        <v>394544.32852210564</v>
      </c>
      <c r="AL7" s="355"/>
      <c r="AM7" s="366">
        <f t="shared" si="11"/>
        <v>0.13733557751962594</v>
      </c>
      <c r="AN7" s="367">
        <f t="shared" ref="AN7:AN40" si="19">AA7*(AM7/100)</f>
        <v>42564.955269477316</v>
      </c>
      <c r="AO7" s="363">
        <v>0</v>
      </c>
      <c r="AP7" s="361">
        <v>0</v>
      </c>
      <c r="AQ7" s="356"/>
      <c r="AR7" s="270"/>
      <c r="AS7" s="270"/>
      <c r="AT7" s="357"/>
      <c r="AU7" s="360">
        <f t="shared" si="0"/>
        <v>2017</v>
      </c>
      <c r="AV7" s="370">
        <f>'Nº Cars Projection'!F5</f>
        <v>30812830</v>
      </c>
      <c r="AW7" s="269"/>
      <c r="AX7" s="366">
        <f t="shared" si="12"/>
        <v>0.13733557751962594</v>
      </c>
      <c r="AY7" s="367">
        <f t="shared" ref="AY7:AY40" si="20">AV7*(AX7/100)</f>
        <v>42316.978030640552</v>
      </c>
      <c r="AZ7" s="363">
        <f>SUM('Business as Usual PR'!K83)</f>
        <v>1.1444631459968828</v>
      </c>
      <c r="BA7" s="361">
        <f t="shared" si="13"/>
        <v>352641.48358867131</v>
      </c>
      <c r="BB7" s="354"/>
      <c r="BC7" s="366">
        <f t="shared" si="14"/>
        <v>0.13733557751962594</v>
      </c>
      <c r="BD7" s="367">
        <f t="shared" ref="BD7:BD40" si="21">AV7*(BC7/100)</f>
        <v>42316.978030640552</v>
      </c>
      <c r="BE7" s="363">
        <v>1.2729949525762012</v>
      </c>
      <c r="BF7" s="361">
        <f t="shared" si="15"/>
        <v>392245.7706458855</v>
      </c>
      <c r="BG7" s="355"/>
      <c r="BH7" s="366">
        <f t="shared" si="16"/>
        <v>0.13733557751962594</v>
      </c>
      <c r="BI7" s="367">
        <f t="shared" ref="BI7:BI40" si="22">AV7*(BH7/100)</f>
        <v>42316.978030640552</v>
      </c>
      <c r="BJ7" s="363">
        <v>0</v>
      </c>
      <c r="BK7" s="361">
        <v>0</v>
      </c>
      <c r="BL7" s="331"/>
    </row>
    <row r="8" spans="3:64">
      <c r="C8" s="330"/>
      <c r="D8" s="360">
        <v>2018</v>
      </c>
      <c r="E8" s="370">
        <f>'Nº Cars Projection'!B6</f>
        <v>31656051.375</v>
      </c>
      <c r="F8" s="337"/>
      <c r="G8" s="366">
        <f>'Business as Usual PR'!B20</f>
        <v>0.16533557751962594</v>
      </c>
      <c r="H8" s="367">
        <f t="shared" si="2"/>
        <v>52338.715360765738</v>
      </c>
      <c r="I8" s="363">
        <f>SUM('Business as Usual PR'!K84)</f>
        <v>1.3777964793302158</v>
      </c>
      <c r="J8" s="361">
        <f t="shared" si="3"/>
        <v>436155.96133971435</v>
      </c>
      <c r="K8" s="354"/>
      <c r="L8" s="366">
        <f>'Intermediate Limit PR'!B20</f>
        <v>0.16491692061820465</v>
      </c>
      <c r="M8" s="367">
        <f t="shared" si="4"/>
        <v>52206.18511696683</v>
      </c>
      <c r="N8" s="363">
        <v>1.5002061005757354</v>
      </c>
      <c r="O8" s="361">
        <f t="shared" si="5"/>
        <v>474906.01392913901</v>
      </c>
      <c r="P8" s="355"/>
      <c r="Q8" s="366">
        <f>'Upper Limit  PR'!B20</f>
        <v>0.16491692061820465</v>
      </c>
      <c r="R8" s="367">
        <f t="shared" si="6"/>
        <v>52206.18511696683</v>
      </c>
      <c r="S8" s="363">
        <v>0</v>
      </c>
      <c r="T8" s="361">
        <v>0</v>
      </c>
      <c r="U8" s="356"/>
      <c r="V8" s="270"/>
      <c r="W8" s="270"/>
      <c r="X8" s="270"/>
      <c r="Y8" s="357"/>
      <c r="Z8" s="360">
        <v>2018</v>
      </c>
      <c r="AA8" s="370">
        <f>'Nº Cars Projection'!D6</f>
        <v>31136347</v>
      </c>
      <c r="AB8" s="269"/>
      <c r="AC8" s="366">
        <f t="shared" si="7"/>
        <v>0.16533557751962594</v>
      </c>
      <c r="AD8" s="367">
        <f t="shared" si="17"/>
        <v>51479.459130964729</v>
      </c>
      <c r="AE8" s="363">
        <f>SUM('Business as Usual PR'!K84)</f>
        <v>1.3777964793302158</v>
      </c>
      <c r="AF8" s="361">
        <f t="shared" si="8"/>
        <v>428995.49275803921</v>
      </c>
      <c r="AG8" s="354"/>
      <c r="AH8" s="366">
        <f t="shared" si="9"/>
        <v>0.16491692061820465</v>
      </c>
      <c r="AI8" s="367">
        <f t="shared" si="18"/>
        <v>51349.104665398743</v>
      </c>
      <c r="AJ8" s="363">
        <v>1.5002061005757354</v>
      </c>
      <c r="AK8" s="361">
        <f t="shared" si="10"/>
        <v>467109.37719043001</v>
      </c>
      <c r="AL8" s="355"/>
      <c r="AM8" s="366">
        <f t="shared" si="11"/>
        <v>0.16491692061820465</v>
      </c>
      <c r="AN8" s="367">
        <f t="shared" si="19"/>
        <v>51349.104665398743</v>
      </c>
      <c r="AO8" s="363">
        <v>0</v>
      </c>
      <c r="AP8" s="361">
        <v>0</v>
      </c>
      <c r="AQ8" s="356"/>
      <c r="AR8" s="270"/>
      <c r="AS8" s="270"/>
      <c r="AT8" s="357"/>
      <c r="AU8" s="360">
        <f t="shared" si="0"/>
        <v>2018</v>
      </c>
      <c r="AV8" s="370">
        <f>'Nº Cars Projection'!F6</f>
        <v>30775220</v>
      </c>
      <c r="AW8" s="269"/>
      <c r="AX8" s="366">
        <f t="shared" si="12"/>
        <v>0.16533557751962594</v>
      </c>
      <c r="AY8" s="367">
        <f t="shared" si="20"/>
        <v>50882.387719935425</v>
      </c>
      <c r="AZ8" s="363">
        <f>SUM('Business as Usual PR'!K84)</f>
        <v>1.3777964793302158</v>
      </c>
      <c r="BA8" s="361">
        <f t="shared" si="13"/>
        <v>424019.89766612841</v>
      </c>
      <c r="BB8" s="354"/>
      <c r="BC8" s="366">
        <f t="shared" si="14"/>
        <v>0.16491692061820465</v>
      </c>
      <c r="BD8" s="367">
        <f t="shared" si="21"/>
        <v>50753.545137477842</v>
      </c>
      <c r="BE8" s="363">
        <v>1.5002061005757354</v>
      </c>
      <c r="BF8" s="361">
        <f t="shared" si="15"/>
        <v>461691.72790560388</v>
      </c>
      <c r="BG8" s="355"/>
      <c r="BH8" s="366">
        <f t="shared" si="16"/>
        <v>0.16491692061820465</v>
      </c>
      <c r="BI8" s="367">
        <f t="shared" si="22"/>
        <v>50753.545137477842</v>
      </c>
      <c r="BJ8" s="363">
        <v>0</v>
      </c>
      <c r="BK8" s="361">
        <v>0</v>
      </c>
      <c r="BL8" s="331"/>
    </row>
    <row r="9" spans="3:64">
      <c r="C9" s="330"/>
      <c r="D9" s="360">
        <v>2019</v>
      </c>
      <c r="E9" s="370">
        <f>'Nº Cars Projection'!B7</f>
        <v>32058857.0625</v>
      </c>
      <c r="F9" s="337"/>
      <c r="G9" s="366">
        <f>'Business as Usual PR'!B21</f>
        <v>0.19733557751962594</v>
      </c>
      <c r="H9" s="367">
        <f t="shared" si="2"/>
        <v>63263.530730475759</v>
      </c>
      <c r="I9" s="363">
        <f>SUM('Business as Usual PR'!K85)</f>
        <v>1.6444631459968828</v>
      </c>
      <c r="J9" s="361">
        <f t="shared" si="3"/>
        <v>527196.08942063141</v>
      </c>
      <c r="K9" s="354"/>
      <c r="L9" s="366">
        <f>'Intermediate Limit PR'!B21</f>
        <v>0.19249826371678336</v>
      </c>
      <c r="M9" s="367">
        <f t="shared" si="4"/>
        <v>61712.74321275788</v>
      </c>
      <c r="N9" s="363">
        <v>1.7274172485752697</v>
      </c>
      <c r="O9" s="361">
        <f t="shared" si="5"/>
        <v>553790.22659371595</v>
      </c>
      <c r="P9" s="355"/>
      <c r="Q9" s="366">
        <f>'Upper Limit  PR'!B21</f>
        <v>0.19249826371678336</v>
      </c>
      <c r="R9" s="367">
        <f t="shared" si="6"/>
        <v>61712.74321275788</v>
      </c>
      <c r="S9" s="363">
        <v>0</v>
      </c>
      <c r="T9" s="361">
        <v>0</v>
      </c>
      <c r="U9" s="356"/>
      <c r="V9" s="270"/>
      <c r="W9" s="270"/>
      <c r="X9" s="270"/>
      <c r="Y9" s="357"/>
      <c r="Z9" s="360">
        <v>2019</v>
      </c>
      <c r="AA9" s="370">
        <f>'Nº Cars Projection'!D7</f>
        <v>31279301</v>
      </c>
      <c r="AB9" s="269"/>
      <c r="AC9" s="366">
        <f t="shared" si="7"/>
        <v>0.19733557751962594</v>
      </c>
      <c r="AD9" s="367">
        <f t="shared" si="17"/>
        <v>61725.189272452124</v>
      </c>
      <c r="AE9" s="363">
        <f>SUM('Business as Usual PR'!K85)</f>
        <v>1.6444631459968828</v>
      </c>
      <c r="AF9" s="361">
        <f t="shared" si="8"/>
        <v>514376.57727043441</v>
      </c>
      <c r="AG9" s="354"/>
      <c r="AH9" s="366">
        <f t="shared" si="9"/>
        <v>0.19249826371678336</v>
      </c>
      <c r="AI9" s="367">
        <f t="shared" si="18"/>
        <v>60212.111327746454</v>
      </c>
      <c r="AJ9" s="363">
        <v>1.7274172485752697</v>
      </c>
      <c r="AK9" s="361">
        <f t="shared" si="10"/>
        <v>540324.04070777679</v>
      </c>
      <c r="AL9" s="355"/>
      <c r="AM9" s="366">
        <f t="shared" si="11"/>
        <v>0.19249826371678336</v>
      </c>
      <c r="AN9" s="367">
        <f t="shared" si="19"/>
        <v>60212.111327746454</v>
      </c>
      <c r="AO9" s="363">
        <v>0</v>
      </c>
      <c r="AP9" s="361">
        <v>0</v>
      </c>
      <c r="AQ9" s="356"/>
      <c r="AR9" s="270"/>
      <c r="AS9" s="270"/>
      <c r="AT9" s="357"/>
      <c r="AU9" s="360">
        <f t="shared" si="0"/>
        <v>2019</v>
      </c>
      <c r="AV9" s="370">
        <f>'Nº Cars Projection'!F7</f>
        <v>30737610</v>
      </c>
      <c r="AW9" s="269"/>
      <c r="AX9" s="366">
        <f t="shared" si="12"/>
        <v>0.19733557751962594</v>
      </c>
      <c r="AY9" s="367">
        <f t="shared" si="20"/>
        <v>60656.240209230287</v>
      </c>
      <c r="AZ9" s="363">
        <f>SUM('Business as Usual PR'!K85)</f>
        <v>1.6444631459968828</v>
      </c>
      <c r="BA9" s="361">
        <f t="shared" si="13"/>
        <v>505468.66841025249</v>
      </c>
      <c r="BB9" s="354"/>
      <c r="BC9" s="366">
        <f t="shared" si="14"/>
        <v>0.19249826371678336</v>
      </c>
      <c r="BD9" s="367">
        <f t="shared" si="21"/>
        <v>59169.365558036377</v>
      </c>
      <c r="BE9" s="363">
        <v>1.7274172485752697</v>
      </c>
      <c r="BF9" s="361">
        <f t="shared" si="15"/>
        <v>530966.77693979698</v>
      </c>
      <c r="BG9" s="355"/>
      <c r="BH9" s="366">
        <f t="shared" si="16"/>
        <v>0.19249826371678336</v>
      </c>
      <c r="BI9" s="367">
        <f t="shared" si="22"/>
        <v>59169.365558036377</v>
      </c>
      <c r="BJ9" s="363">
        <v>0</v>
      </c>
      <c r="BK9" s="361">
        <v>0</v>
      </c>
      <c r="BL9" s="331"/>
    </row>
    <row r="10" spans="3:64">
      <c r="C10" s="330"/>
      <c r="D10" s="360">
        <v>2020</v>
      </c>
      <c r="E10" s="370">
        <f>'Nº Cars Projection'!B8</f>
        <v>32461662.75</v>
      </c>
      <c r="F10" s="337"/>
      <c r="G10" s="366">
        <f>'Business as Usual PR'!B22</f>
        <v>0.23333557751962594</v>
      </c>
      <c r="H10" s="367">
        <f t="shared" si="2"/>
        <v>75744.608250185789</v>
      </c>
      <c r="I10" s="363">
        <f>SUM('Business as Usual PR'!K86)</f>
        <v>1.9444631459968826</v>
      </c>
      <c r="J10" s="361">
        <f t="shared" si="3"/>
        <v>631205.06875154818</v>
      </c>
      <c r="K10" s="354"/>
      <c r="L10" s="366">
        <f>'Intermediate Limit PR'!B22</f>
        <v>0.22007960681536207</v>
      </c>
      <c r="M10" s="367">
        <f t="shared" si="4"/>
        <v>71441.499745928857</v>
      </c>
      <c r="N10" s="363">
        <v>1.9546283965748039</v>
      </c>
      <c r="O10" s="361">
        <f t="shared" si="5"/>
        <v>634504.87811184535</v>
      </c>
      <c r="P10" s="355"/>
      <c r="Q10" s="366">
        <f>'Upper Limit  PR'!B22</f>
        <v>0.22007960681536207</v>
      </c>
      <c r="R10" s="367">
        <f t="shared" si="6"/>
        <v>71441.499745928857</v>
      </c>
      <c r="S10" s="363">
        <v>0</v>
      </c>
      <c r="T10" s="361">
        <v>0</v>
      </c>
      <c r="U10" s="356"/>
      <c r="V10" s="270"/>
      <c r="W10" s="270"/>
      <c r="X10" s="270"/>
      <c r="Y10" s="357"/>
      <c r="Z10" s="360">
        <v>2020</v>
      </c>
      <c r="AA10" s="370">
        <f>'Nº Cars Projection'!D8</f>
        <v>31422255.954363789</v>
      </c>
      <c r="AB10" s="269"/>
      <c r="AC10" s="366">
        <f t="shared" si="7"/>
        <v>0.23333557751962594</v>
      </c>
      <c r="AD10" s="367">
        <f t="shared" si="17"/>
        <v>73319.302400809785</v>
      </c>
      <c r="AE10" s="363">
        <f>SUM('Business as Usual PR'!K86)</f>
        <v>1.9444631459968826</v>
      </c>
      <c r="AF10" s="361">
        <f t="shared" si="8"/>
        <v>610994.18667341489</v>
      </c>
      <c r="AG10" s="354"/>
      <c r="AH10" s="366">
        <f t="shared" si="9"/>
        <v>0.22007960681536207</v>
      </c>
      <c r="AI10" s="367">
        <f t="shared" si="18"/>
        <v>69153.977356880525</v>
      </c>
      <c r="AJ10" s="363">
        <v>1.9546283965748039</v>
      </c>
      <c r="AK10" s="361">
        <f t="shared" si="10"/>
        <v>614188.33772841177</v>
      </c>
      <c r="AL10" s="355"/>
      <c r="AM10" s="366">
        <f t="shared" si="11"/>
        <v>0.22007960681536207</v>
      </c>
      <c r="AN10" s="367">
        <f t="shared" si="19"/>
        <v>69153.977356880525</v>
      </c>
      <c r="AO10" s="363">
        <v>0</v>
      </c>
      <c r="AP10" s="361">
        <v>0</v>
      </c>
      <c r="AQ10" s="356"/>
      <c r="AR10" s="270"/>
      <c r="AS10" s="270"/>
      <c r="AT10" s="357"/>
      <c r="AU10" s="360">
        <f t="shared" si="0"/>
        <v>2020</v>
      </c>
      <c r="AV10" s="370">
        <f>'Nº Cars Projection'!F8</f>
        <v>30700000</v>
      </c>
      <c r="AW10" s="269"/>
      <c r="AX10" s="366">
        <f t="shared" si="12"/>
        <v>0.23333557751962594</v>
      </c>
      <c r="AY10" s="367">
        <f t="shared" si="20"/>
        <v>71634.02229852516</v>
      </c>
      <c r="AZ10" s="363">
        <f>SUM('Business as Usual PR'!K86)</f>
        <v>1.9444631459968826</v>
      </c>
      <c r="BA10" s="361">
        <f t="shared" si="13"/>
        <v>596950.18582104298</v>
      </c>
      <c r="BB10" s="354"/>
      <c r="BC10" s="366">
        <f t="shared" si="14"/>
        <v>0.22007960681536207</v>
      </c>
      <c r="BD10" s="367">
        <f t="shared" si="21"/>
        <v>67564.439292316165</v>
      </c>
      <c r="BE10" s="363">
        <v>1.9546283965748039</v>
      </c>
      <c r="BF10" s="361">
        <f t="shared" si="15"/>
        <v>600070.91774846474</v>
      </c>
      <c r="BG10" s="355"/>
      <c r="BH10" s="366">
        <f t="shared" si="16"/>
        <v>0.22007960681536207</v>
      </c>
      <c r="BI10" s="367">
        <f t="shared" si="22"/>
        <v>67564.439292316165</v>
      </c>
      <c r="BJ10" s="363">
        <v>0</v>
      </c>
      <c r="BK10" s="361">
        <v>0</v>
      </c>
      <c r="BL10" s="331"/>
    </row>
    <row r="11" spans="3:64">
      <c r="C11" s="330"/>
      <c r="D11" s="360">
        <v>2021</v>
      </c>
      <c r="E11" s="370">
        <f>'Nº Cars Projection'!B9</f>
        <v>32864468.4375</v>
      </c>
      <c r="F11" s="337"/>
      <c r="G11" s="366">
        <f>'Business as Usual PR'!B23</f>
        <v>0.27333557751962595</v>
      </c>
      <c r="H11" s="367">
        <f t="shared" si="2"/>
        <v>89830.284602395812</v>
      </c>
      <c r="I11" s="363">
        <f>SUM('Business as Usual PR'!K87)</f>
        <v>2.2777964793302163</v>
      </c>
      <c r="J11" s="361">
        <f t="shared" si="3"/>
        <v>748585.70501996519</v>
      </c>
      <c r="K11" s="354"/>
      <c r="L11" s="366">
        <f>'Intermediate Limit PR'!B23</f>
        <v>0.24766094991394078</v>
      </c>
      <c r="M11" s="367">
        <f t="shared" si="4"/>
        <v>81392.45471647974</v>
      </c>
      <c r="N11" s="363">
        <v>2.1818395445743382</v>
      </c>
      <c r="O11" s="361">
        <f t="shared" si="5"/>
        <v>717049.96848352719</v>
      </c>
      <c r="P11" s="355"/>
      <c r="Q11" s="366">
        <f>'Upper Limit  PR'!B23</f>
        <v>0.24766094991394078</v>
      </c>
      <c r="R11" s="367">
        <f t="shared" si="6"/>
        <v>81392.45471647974</v>
      </c>
      <c r="S11" s="363">
        <v>0</v>
      </c>
      <c r="T11" s="361">
        <v>0</v>
      </c>
      <c r="U11" s="356"/>
      <c r="V11" s="270"/>
      <c r="W11" s="270"/>
      <c r="X11" s="270"/>
      <c r="Y11" s="357"/>
      <c r="Z11" s="360">
        <v>2021</v>
      </c>
      <c r="AA11" s="370">
        <f>'Nº Cars Projection'!D9</f>
        <v>31638710</v>
      </c>
      <c r="AB11" s="269"/>
      <c r="AC11" s="366">
        <f t="shared" si="7"/>
        <v>0.27333557751962595</v>
      </c>
      <c r="AD11" s="367">
        <f t="shared" si="17"/>
        <v>86479.850698259645</v>
      </c>
      <c r="AE11" s="363">
        <f>SUM('Business as Usual PR'!K87)</f>
        <v>2.2777964793302163</v>
      </c>
      <c r="AF11" s="361">
        <f t="shared" si="8"/>
        <v>720665.4224854972</v>
      </c>
      <c r="AG11" s="354"/>
      <c r="AH11" s="366">
        <f t="shared" si="9"/>
        <v>0.24766094991394078</v>
      </c>
      <c r="AI11" s="367">
        <f t="shared" si="18"/>
        <v>78356.729726516962</v>
      </c>
      <c r="AJ11" s="363">
        <v>2.1818395445743382</v>
      </c>
      <c r="AK11" s="361">
        <f t="shared" si="10"/>
        <v>690305.88617319555</v>
      </c>
      <c r="AL11" s="355"/>
      <c r="AM11" s="366">
        <f t="shared" si="11"/>
        <v>0.24766094991394078</v>
      </c>
      <c r="AN11" s="367">
        <f t="shared" si="19"/>
        <v>78356.729726516962</v>
      </c>
      <c r="AO11" s="363">
        <v>0</v>
      </c>
      <c r="AP11" s="361">
        <v>0</v>
      </c>
      <c r="AQ11" s="356"/>
      <c r="AR11" s="270"/>
      <c r="AS11" s="270"/>
      <c r="AT11" s="357"/>
      <c r="AU11" s="360">
        <f t="shared" si="0"/>
        <v>2021</v>
      </c>
      <c r="AV11" s="370">
        <f>'Nº Cars Projection'!F9</f>
        <v>30720000</v>
      </c>
      <c r="AW11" s="269"/>
      <c r="AX11" s="366">
        <f t="shared" si="12"/>
        <v>0.27333557751962595</v>
      </c>
      <c r="AY11" s="367">
        <f t="shared" si="20"/>
        <v>83968.689414029082</v>
      </c>
      <c r="AZ11" s="363">
        <f>SUM('Business as Usual PR'!K87)</f>
        <v>2.2777964793302163</v>
      </c>
      <c r="BA11" s="361">
        <f t="shared" si="13"/>
        <v>699739.07845024241</v>
      </c>
      <c r="BB11" s="354"/>
      <c r="BC11" s="366">
        <f t="shared" si="14"/>
        <v>0.24766094991394078</v>
      </c>
      <c r="BD11" s="367">
        <f t="shared" si="21"/>
        <v>76081.443813562597</v>
      </c>
      <c r="BE11" s="363">
        <v>2.1818395445743382</v>
      </c>
      <c r="BF11" s="361">
        <f t="shared" si="15"/>
        <v>670261.10809323669</v>
      </c>
      <c r="BG11" s="355"/>
      <c r="BH11" s="366">
        <f t="shared" si="16"/>
        <v>0.24766094991394078</v>
      </c>
      <c r="BI11" s="367">
        <f t="shared" si="22"/>
        <v>76081.443813562597</v>
      </c>
      <c r="BJ11" s="363">
        <v>0</v>
      </c>
      <c r="BK11" s="361">
        <v>0</v>
      </c>
      <c r="BL11" s="331"/>
    </row>
    <row r="12" spans="3:64">
      <c r="C12" s="330"/>
      <c r="D12" s="360">
        <v>2022</v>
      </c>
      <c r="E12" s="370">
        <f>'Nº Cars Projection'!B10</f>
        <v>33267274.125</v>
      </c>
      <c r="F12" s="337"/>
      <c r="G12" s="366">
        <f>'Business as Usual PR'!B24</f>
        <v>0.31733557751962593</v>
      </c>
      <c r="H12" s="367">
        <f t="shared" si="2"/>
        <v>105568.89646960584</v>
      </c>
      <c r="I12" s="363">
        <f>SUM('Business as Usual PR'!K88)</f>
        <v>2.644463145996883</v>
      </c>
      <c r="J12" s="361">
        <f t="shared" si="3"/>
        <v>879740.803913382</v>
      </c>
      <c r="K12" s="354"/>
      <c r="L12" s="366">
        <f>'Intermediate Limit PR'!B24</f>
        <v>0.27524229301251946</v>
      </c>
      <c r="M12" s="367">
        <f t="shared" si="4"/>
        <v>91565.608124410574</v>
      </c>
      <c r="N12" s="363">
        <v>2.4090506925738726</v>
      </c>
      <c r="O12" s="361">
        <f t="shared" si="5"/>
        <v>801425.49770876125</v>
      </c>
      <c r="P12" s="355"/>
      <c r="Q12" s="366">
        <f>'Upper Limit  PR'!B24</f>
        <v>0.27670019101045618</v>
      </c>
      <c r="R12" s="367">
        <f t="shared" si="6"/>
        <v>92050.611047847065</v>
      </c>
      <c r="S12" s="363">
        <v>0</v>
      </c>
      <c r="T12" s="361">
        <v>0</v>
      </c>
      <c r="U12" s="356"/>
      <c r="V12" s="270"/>
      <c r="W12" s="270"/>
      <c r="X12" s="270"/>
      <c r="Y12" s="357"/>
      <c r="Z12" s="360">
        <v>2022</v>
      </c>
      <c r="AA12" s="370">
        <f>'Nº Cars Projection'!D10</f>
        <v>31855164</v>
      </c>
      <c r="AB12" s="269"/>
      <c r="AC12" s="366">
        <f t="shared" si="7"/>
        <v>0.31733557751962593</v>
      </c>
      <c r="AD12" s="367">
        <f t="shared" si="17"/>
        <v>101087.76864922397</v>
      </c>
      <c r="AE12" s="363">
        <f>SUM('Business as Usual PR'!K88)</f>
        <v>2.644463145996883</v>
      </c>
      <c r="AF12" s="361">
        <f t="shared" si="8"/>
        <v>842398.07207686652</v>
      </c>
      <c r="AG12" s="354"/>
      <c r="AH12" s="366">
        <f t="shared" si="9"/>
        <v>0.27524229301251946</v>
      </c>
      <c r="AI12" s="367">
        <f t="shared" si="18"/>
        <v>87678.883836498615</v>
      </c>
      <c r="AJ12" s="363">
        <v>2.4090506925738726</v>
      </c>
      <c r="AK12" s="361">
        <f t="shared" si="10"/>
        <v>767407.04896254302</v>
      </c>
      <c r="AL12" s="355"/>
      <c r="AM12" s="366">
        <f t="shared" si="11"/>
        <v>0.27670019101045618</v>
      </c>
      <c r="AN12" s="367">
        <f t="shared" si="19"/>
        <v>88143.299634694078</v>
      </c>
      <c r="AO12" s="363">
        <v>0</v>
      </c>
      <c r="AP12" s="361">
        <v>0</v>
      </c>
      <c r="AQ12" s="356"/>
      <c r="AR12" s="270"/>
      <c r="AS12" s="270"/>
      <c r="AT12" s="357"/>
      <c r="AU12" s="360">
        <f t="shared" si="0"/>
        <v>2022</v>
      </c>
      <c r="AV12" s="370">
        <f>'Nº Cars Projection'!F10</f>
        <v>30740000</v>
      </c>
      <c r="AW12" s="269"/>
      <c r="AX12" s="366">
        <f t="shared" si="12"/>
        <v>0.31733557751962593</v>
      </c>
      <c r="AY12" s="367">
        <f t="shared" si="20"/>
        <v>97548.95652953301</v>
      </c>
      <c r="AZ12" s="363">
        <f>SUM('Business as Usual PR'!K88)</f>
        <v>2.644463145996883</v>
      </c>
      <c r="BA12" s="361">
        <f t="shared" si="13"/>
        <v>812907.97107944195</v>
      </c>
      <c r="BB12" s="354"/>
      <c r="BC12" s="366">
        <f t="shared" si="14"/>
        <v>0.27524229301251946</v>
      </c>
      <c r="BD12" s="367">
        <f t="shared" si="21"/>
        <v>84609.480872048487</v>
      </c>
      <c r="BE12" s="363">
        <v>2.4090506925738726</v>
      </c>
      <c r="BF12" s="361">
        <f t="shared" si="15"/>
        <v>740542.18289720849</v>
      </c>
      <c r="BG12" s="355"/>
      <c r="BH12" s="366">
        <f t="shared" si="16"/>
        <v>0.27670019101045618</v>
      </c>
      <c r="BI12" s="367">
        <f t="shared" si="22"/>
        <v>85057.638716614238</v>
      </c>
      <c r="BJ12" s="363">
        <v>0</v>
      </c>
      <c r="BK12" s="361">
        <v>0</v>
      </c>
      <c r="BL12" s="331"/>
    </row>
    <row r="13" spans="3:64">
      <c r="C13" s="330"/>
      <c r="D13" s="360">
        <v>2023</v>
      </c>
      <c r="E13" s="370">
        <f>'Nº Cars Projection'!B11</f>
        <v>33670079.8125</v>
      </c>
      <c r="F13" s="337"/>
      <c r="G13" s="366">
        <f>'Business as Usual PR'!B25</f>
        <v>0.36533557751962592</v>
      </c>
      <c r="H13" s="367">
        <f t="shared" si="2"/>
        <v>123008.78053431585</v>
      </c>
      <c r="I13" s="363">
        <f>SUM('Business as Usual PR'!K89)</f>
        <v>3.0444631459968825</v>
      </c>
      <c r="J13" s="361">
        <f t="shared" si="3"/>
        <v>1025073.1711192988</v>
      </c>
      <c r="K13" s="354"/>
      <c r="L13" s="366">
        <f>'Intermediate Limit PR'!B25</f>
        <v>0.30282363611109814</v>
      </c>
      <c r="M13" s="367">
        <f t="shared" si="4"/>
        <v>101960.95996972131</v>
      </c>
      <c r="N13" s="363">
        <v>2.6362618405734071</v>
      </c>
      <c r="O13" s="361">
        <f t="shared" si="5"/>
        <v>887631.46578754764</v>
      </c>
      <c r="P13" s="355"/>
      <c r="Q13" s="366">
        <f>'Upper Limit  PR'!B25</f>
        <v>0.3865597543824334</v>
      </c>
      <c r="R13" s="367">
        <f t="shared" si="6"/>
        <v>130154.97782356928</v>
      </c>
      <c r="S13" s="363">
        <v>0</v>
      </c>
      <c r="T13" s="361">
        <v>0</v>
      </c>
      <c r="U13" s="356"/>
      <c r="V13" s="270"/>
      <c r="W13" s="270"/>
      <c r="X13" s="270"/>
      <c r="Y13" s="357"/>
      <c r="Z13" s="360">
        <v>2023</v>
      </c>
      <c r="AA13" s="370">
        <f>'Nº Cars Projection'!D11</f>
        <v>32071618</v>
      </c>
      <c r="AB13" s="269"/>
      <c r="AC13" s="366">
        <f t="shared" si="7"/>
        <v>0.36533557751962592</v>
      </c>
      <c r="AD13" s="367">
        <f t="shared" si="17"/>
        <v>117169.03084018831</v>
      </c>
      <c r="AE13" s="363">
        <f>SUM('Business as Usual PR'!K89)</f>
        <v>3.0444631459968825</v>
      </c>
      <c r="AF13" s="361">
        <f t="shared" si="8"/>
        <v>976408.5903349024</v>
      </c>
      <c r="AG13" s="354"/>
      <c r="AH13" s="366">
        <f t="shared" si="9"/>
        <v>0.30282363611109814</v>
      </c>
      <c r="AI13" s="367">
        <f t="shared" si="18"/>
        <v>97120.43978726145</v>
      </c>
      <c r="AJ13" s="363">
        <v>2.6362618405734071</v>
      </c>
      <c r="AK13" s="361">
        <f t="shared" si="10"/>
        <v>845491.82698847214</v>
      </c>
      <c r="AL13" s="355"/>
      <c r="AM13" s="366">
        <f t="shared" si="11"/>
        <v>0.3865597543824334</v>
      </c>
      <c r="AN13" s="367">
        <f t="shared" si="19"/>
        <v>123975.96776727229</v>
      </c>
      <c r="AO13" s="363">
        <v>0</v>
      </c>
      <c r="AP13" s="361">
        <v>0</v>
      </c>
      <c r="AQ13" s="356"/>
      <c r="AR13" s="270"/>
      <c r="AS13" s="270"/>
      <c r="AT13" s="357"/>
      <c r="AU13" s="360">
        <f t="shared" si="0"/>
        <v>2023</v>
      </c>
      <c r="AV13" s="370">
        <f>'Nº Cars Projection'!F11</f>
        <v>30760000</v>
      </c>
      <c r="AW13" s="269"/>
      <c r="AX13" s="366">
        <f t="shared" si="12"/>
        <v>0.36533557751962592</v>
      </c>
      <c r="AY13" s="367">
        <f t="shared" si="20"/>
        <v>112377.22364503694</v>
      </c>
      <c r="AZ13" s="363">
        <f>SUM('Business as Usual PR'!K89)</f>
        <v>3.0444631459968825</v>
      </c>
      <c r="BA13" s="361">
        <f t="shared" si="13"/>
        <v>936476.86370864103</v>
      </c>
      <c r="BB13" s="354"/>
      <c r="BC13" s="366">
        <f t="shared" si="14"/>
        <v>0.30282363611109814</v>
      </c>
      <c r="BD13" s="367">
        <f t="shared" si="21"/>
        <v>93148.550467773792</v>
      </c>
      <c r="BE13" s="363">
        <v>2.6362618405734071</v>
      </c>
      <c r="BF13" s="361">
        <f t="shared" si="15"/>
        <v>810914.14216038003</v>
      </c>
      <c r="BG13" s="355"/>
      <c r="BH13" s="366">
        <f t="shared" si="16"/>
        <v>0.3865597543824334</v>
      </c>
      <c r="BI13" s="367">
        <f t="shared" si="22"/>
        <v>118905.7804480365</v>
      </c>
      <c r="BJ13" s="363">
        <v>0</v>
      </c>
      <c r="BK13" s="361">
        <v>0</v>
      </c>
      <c r="BL13" s="331"/>
    </row>
    <row r="14" spans="3:64">
      <c r="C14" s="330"/>
      <c r="D14" s="360">
        <v>2024</v>
      </c>
      <c r="E14" s="370">
        <f>'Nº Cars Projection'!B12</f>
        <v>34072885.5</v>
      </c>
      <c r="F14" s="337"/>
      <c r="G14" s="366">
        <f>'Business as Usual PR'!B26</f>
        <v>0.41733557751962591</v>
      </c>
      <c r="H14" s="367">
        <f t="shared" si="2"/>
        <v>142198.27347902587</v>
      </c>
      <c r="I14" s="363">
        <f>SUM('Business as Usual PR'!K90)</f>
        <v>3.4777964793302156</v>
      </c>
      <c r="J14" s="361">
        <f t="shared" si="3"/>
        <v>1184985.6123252155</v>
      </c>
      <c r="K14" s="354"/>
      <c r="L14" s="366">
        <f>'Intermediate Limit PR'!B26</f>
        <v>0.33040497920967682</v>
      </c>
      <c r="M14" s="367">
        <f t="shared" si="4"/>
        <v>112578.51025241199</v>
      </c>
      <c r="N14" s="363">
        <v>2.8634729885729415</v>
      </c>
      <c r="O14" s="361">
        <f t="shared" si="5"/>
        <v>975667.87271988648</v>
      </c>
      <c r="P14" s="355"/>
      <c r="Q14" s="366">
        <f>'Upper Limit  PR'!B26</f>
        <v>0.53980126689448049</v>
      </c>
      <c r="R14" s="367">
        <f t="shared" si="6"/>
        <v>183925.86759650573</v>
      </c>
      <c r="S14" s="363">
        <v>0</v>
      </c>
      <c r="T14" s="361">
        <v>0</v>
      </c>
      <c r="U14" s="356"/>
      <c r="V14" s="270"/>
      <c r="W14" s="270"/>
      <c r="X14" s="270"/>
      <c r="Y14" s="357"/>
      <c r="Z14" s="360">
        <v>2024</v>
      </c>
      <c r="AA14" s="370">
        <f>'Nº Cars Projection'!D12</f>
        <v>32288072</v>
      </c>
      <c r="AB14" s="269"/>
      <c r="AC14" s="366">
        <f t="shared" si="7"/>
        <v>0.41733557751962591</v>
      </c>
      <c r="AD14" s="367">
        <f t="shared" si="17"/>
        <v>134749.61175115261</v>
      </c>
      <c r="AE14" s="363">
        <f>SUM('Business as Usual PR'!K90)</f>
        <v>3.4777964793302156</v>
      </c>
      <c r="AF14" s="361">
        <f t="shared" si="8"/>
        <v>1122913.4312596051</v>
      </c>
      <c r="AG14" s="354"/>
      <c r="AH14" s="366">
        <f t="shared" si="9"/>
        <v>0.33040497920967682</v>
      </c>
      <c r="AI14" s="367">
        <f t="shared" si="18"/>
        <v>106681.39757880548</v>
      </c>
      <c r="AJ14" s="363">
        <v>2.8634729885729415</v>
      </c>
      <c r="AK14" s="361">
        <f t="shared" si="10"/>
        <v>924560.22025098314</v>
      </c>
      <c r="AL14" s="355"/>
      <c r="AM14" s="366">
        <f t="shared" si="11"/>
        <v>0.53980126689448049</v>
      </c>
      <c r="AN14" s="367">
        <f t="shared" si="19"/>
        <v>174291.42171180202</v>
      </c>
      <c r="AO14" s="363">
        <v>0</v>
      </c>
      <c r="AP14" s="361">
        <v>0</v>
      </c>
      <c r="AQ14" s="356"/>
      <c r="AR14" s="270"/>
      <c r="AS14" s="270"/>
      <c r="AT14" s="357"/>
      <c r="AU14" s="360">
        <f t="shared" si="0"/>
        <v>2024</v>
      </c>
      <c r="AV14" s="370">
        <f>'Nº Cars Projection'!F12</f>
        <v>30780000</v>
      </c>
      <c r="AW14" s="269"/>
      <c r="AX14" s="366">
        <f t="shared" si="12"/>
        <v>0.41733557751962591</v>
      </c>
      <c r="AY14" s="367">
        <f t="shared" si="20"/>
        <v>128455.89076054085</v>
      </c>
      <c r="AZ14" s="363">
        <f>SUM('Business as Usual PR'!K90)</f>
        <v>3.4777964793302156</v>
      </c>
      <c r="BA14" s="361">
        <f t="shared" si="13"/>
        <v>1070465.7563378403</v>
      </c>
      <c r="BB14" s="354"/>
      <c r="BC14" s="366">
        <f t="shared" si="14"/>
        <v>0.33040497920967682</v>
      </c>
      <c r="BD14" s="367">
        <f t="shared" si="21"/>
        <v>101698.65260073853</v>
      </c>
      <c r="BE14" s="363">
        <v>2.8634729885729415</v>
      </c>
      <c r="BF14" s="361">
        <f t="shared" si="15"/>
        <v>881376.98588275129</v>
      </c>
      <c r="BG14" s="355"/>
      <c r="BH14" s="366">
        <f t="shared" si="16"/>
        <v>0.53980126689448049</v>
      </c>
      <c r="BI14" s="367">
        <f t="shared" si="22"/>
        <v>166150.82995012109</v>
      </c>
      <c r="BJ14" s="363">
        <v>0</v>
      </c>
      <c r="BK14" s="361">
        <v>0</v>
      </c>
      <c r="BL14" s="331"/>
    </row>
    <row r="15" spans="3:64">
      <c r="C15" s="330"/>
      <c r="D15" s="360">
        <v>2025</v>
      </c>
      <c r="E15" s="370">
        <f>'Nº Cars Projection'!B13</f>
        <v>34475691.1875</v>
      </c>
      <c r="F15" s="337"/>
      <c r="G15" s="366">
        <f>'Business as Usual PR'!B27</f>
        <v>0.47333557751962591</v>
      </c>
      <c r="H15" s="367">
        <f t="shared" si="2"/>
        <v>163185.71198623592</v>
      </c>
      <c r="I15" s="363">
        <f>SUM('Business as Usual PR'!K91)</f>
        <v>3.9444631459968833</v>
      </c>
      <c r="J15" s="361">
        <f t="shared" si="3"/>
        <v>1359880.9332186326</v>
      </c>
      <c r="K15" s="354"/>
      <c r="L15" s="366">
        <f>'Intermediate Limit PR'!B27</f>
        <v>0.3579863223082555</v>
      </c>
      <c r="M15" s="367">
        <f t="shared" si="4"/>
        <v>123418.25897248258</v>
      </c>
      <c r="N15" s="363">
        <v>3.090684136572476</v>
      </c>
      <c r="O15" s="361">
        <f t="shared" si="5"/>
        <v>1065534.7185057777</v>
      </c>
      <c r="P15" s="355"/>
      <c r="Q15" s="366">
        <f>'Upper Limit  PR'!B27</f>
        <v>0.75333195784742957</v>
      </c>
      <c r="R15" s="367">
        <f t="shared" si="6"/>
        <v>259716.39940422747</v>
      </c>
      <c r="S15" s="363">
        <v>0</v>
      </c>
      <c r="T15" s="361">
        <v>0</v>
      </c>
      <c r="U15" s="356"/>
      <c r="V15" s="270"/>
      <c r="W15" s="270"/>
      <c r="X15" s="270"/>
      <c r="Y15" s="357"/>
      <c r="Z15" s="360">
        <v>2025</v>
      </c>
      <c r="AA15" s="370">
        <f>'Nº Cars Projection'!D13</f>
        <v>32504527.812683959</v>
      </c>
      <c r="AB15" s="269"/>
      <c r="AC15" s="366">
        <f t="shared" si="7"/>
        <v>0.47333557751962591</v>
      </c>
      <c r="AD15" s="367">
        <f t="shared" si="17"/>
        <v>153855.49444219505</v>
      </c>
      <c r="AE15" s="363">
        <f>SUM('Business as Usual PR'!K91)</f>
        <v>3.9444631459968833</v>
      </c>
      <c r="AF15" s="361">
        <f t="shared" si="8"/>
        <v>1282129.1203516256</v>
      </c>
      <c r="AG15" s="354"/>
      <c r="AH15" s="366">
        <f t="shared" si="9"/>
        <v>0.3579863223082555</v>
      </c>
      <c r="AI15" s="367">
        <f t="shared" si="18"/>
        <v>116361.76370029135</v>
      </c>
      <c r="AJ15" s="363">
        <v>3.090684136572476</v>
      </c>
      <c r="AK15" s="361">
        <f t="shared" si="10"/>
        <v>1004612.2847744115</v>
      </c>
      <c r="AL15" s="355"/>
      <c r="AM15" s="366">
        <f t="shared" si="11"/>
        <v>0.75333195784742957</v>
      </c>
      <c r="AN15" s="367">
        <f t="shared" si="19"/>
        <v>244866.99576035433</v>
      </c>
      <c r="AO15" s="363">
        <v>0</v>
      </c>
      <c r="AP15" s="361">
        <v>0</v>
      </c>
      <c r="AQ15" s="356"/>
      <c r="AR15" s="270"/>
      <c r="AS15" s="270"/>
      <c r="AT15" s="357"/>
      <c r="AU15" s="360">
        <f t="shared" si="0"/>
        <v>2025</v>
      </c>
      <c r="AV15" s="370">
        <f>'Nº Cars Projection'!F13</f>
        <v>30800000</v>
      </c>
      <c r="AW15" s="269"/>
      <c r="AX15" s="366">
        <f t="shared" si="12"/>
        <v>0.47333557751962591</v>
      </c>
      <c r="AY15" s="367">
        <f t="shared" si="20"/>
        <v>145787.35787604479</v>
      </c>
      <c r="AZ15" s="363">
        <f>SUM('Business as Usual PR'!K91)</f>
        <v>3.9444631459968833</v>
      </c>
      <c r="BA15" s="361">
        <f t="shared" si="13"/>
        <v>1214894.64896704</v>
      </c>
      <c r="BB15" s="354"/>
      <c r="BC15" s="366">
        <f t="shared" si="14"/>
        <v>0.3579863223082555</v>
      </c>
      <c r="BD15" s="367">
        <f t="shared" si="21"/>
        <v>110259.78727094269</v>
      </c>
      <c r="BE15" s="363">
        <v>3.090684136572476</v>
      </c>
      <c r="BF15" s="361">
        <f t="shared" si="15"/>
        <v>951930.71406432253</v>
      </c>
      <c r="BG15" s="355"/>
      <c r="BH15" s="366">
        <f t="shared" si="16"/>
        <v>0.75333195784742957</v>
      </c>
      <c r="BI15" s="367">
        <f t="shared" si="22"/>
        <v>232026.2430170083</v>
      </c>
      <c r="BJ15" s="363">
        <v>0</v>
      </c>
      <c r="BK15" s="361">
        <v>0</v>
      </c>
      <c r="BL15" s="331"/>
    </row>
    <row r="16" spans="3:64">
      <c r="C16" s="330"/>
      <c r="D16" s="360">
        <v>2026</v>
      </c>
      <c r="E16" s="370">
        <f>'Nº Cars Projection'!B14</f>
        <v>34878496.875</v>
      </c>
      <c r="F16" s="337"/>
      <c r="G16" s="366">
        <f>'Business as Usual PR'!B28</f>
        <v>0.5333355775196259</v>
      </c>
      <c r="H16" s="367">
        <f t="shared" si="2"/>
        <v>186019.43273844593</v>
      </c>
      <c r="I16" s="363">
        <f>SUM('Business as Usual PR'!K92)</f>
        <v>4.4444631459968829</v>
      </c>
      <c r="J16" s="361">
        <f t="shared" si="3"/>
        <v>1550161.9394870496</v>
      </c>
      <c r="K16" s="354"/>
      <c r="L16" s="366">
        <f>'Intermediate Limit PR'!B28</f>
        <v>0.38556766540683418</v>
      </c>
      <c r="M16" s="367">
        <f t="shared" si="4"/>
        <v>134480.20612993313</v>
      </c>
      <c r="N16" s="363">
        <v>3.3178952845720104</v>
      </c>
      <c r="O16" s="361">
        <f t="shared" si="5"/>
        <v>1157232.0031452209</v>
      </c>
      <c r="P16" s="355"/>
      <c r="Q16" s="366">
        <f>'Upper Limit  PR'!B28</f>
        <v>1.0504374912812346</v>
      </c>
      <c r="R16" s="367">
        <f t="shared" si="6"/>
        <v>366376.80757035385</v>
      </c>
      <c r="S16" s="363">
        <v>0</v>
      </c>
      <c r="T16" s="361">
        <v>0</v>
      </c>
      <c r="U16" s="356"/>
      <c r="V16" s="270"/>
      <c r="W16" s="270"/>
      <c r="X16" s="270"/>
      <c r="Y16" s="357"/>
      <c r="Z16" s="360">
        <v>2026</v>
      </c>
      <c r="AA16" s="370">
        <f>'Nº Cars Projection'!D14</f>
        <v>32740834</v>
      </c>
      <c r="AB16" s="269"/>
      <c r="AC16" s="366">
        <f t="shared" si="7"/>
        <v>0.5333355775196259</v>
      </c>
      <c r="AD16" s="367">
        <f t="shared" si="17"/>
        <v>174618.51609864205</v>
      </c>
      <c r="AE16" s="363">
        <f>SUM('Business as Usual PR'!K92)</f>
        <v>4.4444631459968829</v>
      </c>
      <c r="AF16" s="361">
        <f t="shared" si="8"/>
        <v>1455154.3008220172</v>
      </c>
      <c r="AG16" s="354"/>
      <c r="AH16" s="366">
        <f t="shared" si="9"/>
        <v>0.38556766540683418</v>
      </c>
      <c r="AI16" s="367">
        <f t="shared" si="18"/>
        <v>126238.069288527</v>
      </c>
      <c r="AJ16" s="363">
        <v>3.3178952845720104</v>
      </c>
      <c r="AK16" s="361">
        <f t="shared" si="10"/>
        <v>1086306.5874155497</v>
      </c>
      <c r="AL16" s="355"/>
      <c r="AM16" s="366">
        <f t="shared" si="11"/>
        <v>1.0504374912812346</v>
      </c>
      <c r="AN16" s="367">
        <f t="shared" si="19"/>
        <v>343921.99529415352</v>
      </c>
      <c r="AO16" s="363">
        <v>0</v>
      </c>
      <c r="AP16" s="361">
        <v>0</v>
      </c>
      <c r="AQ16" s="356"/>
      <c r="AR16" s="270"/>
      <c r="AS16" s="270"/>
      <c r="AT16" s="357"/>
      <c r="AU16" s="360">
        <f t="shared" si="0"/>
        <v>2026</v>
      </c>
      <c r="AV16" s="370">
        <f>'Nº Cars Projection'!F14</f>
        <v>30840000</v>
      </c>
      <c r="AW16" s="269"/>
      <c r="AX16" s="366">
        <f t="shared" si="12"/>
        <v>0.5333355775196259</v>
      </c>
      <c r="AY16" s="367">
        <f t="shared" si="20"/>
        <v>164480.69210705263</v>
      </c>
      <c r="AZ16" s="363">
        <f>SUM('Business as Usual PR'!K92)</f>
        <v>4.4444631459968829</v>
      </c>
      <c r="BA16" s="361">
        <f t="shared" si="13"/>
        <v>1370672.4342254386</v>
      </c>
      <c r="BB16" s="354"/>
      <c r="BC16" s="366">
        <f t="shared" si="14"/>
        <v>0.38556766540683418</v>
      </c>
      <c r="BD16" s="367">
        <f t="shared" si="21"/>
        <v>118909.06801146767</v>
      </c>
      <c r="BE16" s="363">
        <v>3.3178952845720104</v>
      </c>
      <c r="BF16" s="361">
        <f t="shared" si="15"/>
        <v>1023238.9057620079</v>
      </c>
      <c r="BG16" s="355"/>
      <c r="BH16" s="366">
        <f t="shared" si="16"/>
        <v>1.0504374912812346</v>
      </c>
      <c r="BI16" s="367">
        <f t="shared" si="22"/>
        <v>323954.92231113277</v>
      </c>
      <c r="BJ16" s="363">
        <v>0</v>
      </c>
      <c r="BK16" s="361">
        <v>0</v>
      </c>
      <c r="BL16" s="331"/>
    </row>
    <row r="17" spans="3:64">
      <c r="C17" s="330"/>
      <c r="D17" s="360">
        <v>2027</v>
      </c>
      <c r="E17" s="370">
        <f>'Nº Cars Projection'!B15</f>
        <v>35281302.5625</v>
      </c>
      <c r="F17" s="337"/>
      <c r="G17" s="366">
        <f>'Business as Usual PR'!B29</f>
        <v>0.59733557751962585</v>
      </c>
      <c r="H17" s="367">
        <f t="shared" si="2"/>
        <v>210747.77241815592</v>
      </c>
      <c r="I17" s="363">
        <f>SUM('Business as Usual PR'!K93)</f>
        <v>4.9777964793302152</v>
      </c>
      <c r="J17" s="361">
        <f t="shared" si="3"/>
        <v>1756231.4368179662</v>
      </c>
      <c r="K17" s="354"/>
      <c r="L17" s="366">
        <f>'Intermediate Limit PR'!B29</f>
        <v>0.41314900850541286</v>
      </c>
      <c r="M17" s="367">
        <f t="shared" si="4"/>
        <v>145764.35172476358</v>
      </c>
      <c r="N17" s="363">
        <v>3.5451064325715449</v>
      </c>
      <c r="O17" s="361">
        <f t="shared" si="5"/>
        <v>1250759.7266382168</v>
      </c>
      <c r="P17" s="355"/>
      <c r="Q17" s="366">
        <f>'Upper Limit  PR'!B29</f>
        <v>1.4629907869622472</v>
      </c>
      <c r="R17" s="367">
        <f t="shared" si="6"/>
        <v>516162.20600965025</v>
      </c>
      <c r="S17" s="363">
        <v>0</v>
      </c>
      <c r="T17" s="361">
        <v>0</v>
      </c>
      <c r="U17" s="356"/>
      <c r="V17" s="270"/>
      <c r="W17" s="270"/>
      <c r="X17" s="270"/>
      <c r="Y17" s="357"/>
      <c r="Z17" s="360">
        <v>2027</v>
      </c>
      <c r="AA17" s="370">
        <f>'Nº Cars Projection'!D15</f>
        <v>32977141</v>
      </c>
      <c r="AB17" s="269"/>
      <c r="AC17" s="366">
        <f t="shared" si="7"/>
        <v>0.59733557751962585</v>
      </c>
      <c r="AD17" s="367">
        <f t="shared" si="17"/>
        <v>196984.19564181133</v>
      </c>
      <c r="AE17" s="363">
        <f>SUM('Business as Usual PR'!K93)</f>
        <v>4.9777964793302152</v>
      </c>
      <c r="AF17" s="361">
        <f t="shared" si="8"/>
        <v>1641534.9636817609</v>
      </c>
      <c r="AG17" s="354"/>
      <c r="AH17" s="366">
        <f t="shared" si="9"/>
        <v>0.41314900850541286</v>
      </c>
      <c r="AI17" s="367">
        <f t="shared" si="18"/>
        <v>136244.731074932</v>
      </c>
      <c r="AJ17" s="363">
        <v>3.5451064325715449</v>
      </c>
      <c r="AK17" s="361">
        <f t="shared" si="10"/>
        <v>1169074.7468691883</v>
      </c>
      <c r="AL17" s="355"/>
      <c r="AM17" s="366">
        <f t="shared" si="11"/>
        <v>1.4629907869622472</v>
      </c>
      <c r="AN17" s="367">
        <f t="shared" si="19"/>
        <v>482452.53463354986</v>
      </c>
      <c r="AO17" s="363">
        <v>0</v>
      </c>
      <c r="AP17" s="361">
        <v>0</v>
      </c>
      <c r="AQ17" s="356"/>
      <c r="AR17" s="270"/>
      <c r="AS17" s="270"/>
      <c r="AT17" s="357"/>
      <c r="AU17" s="360">
        <f t="shared" si="0"/>
        <v>2027</v>
      </c>
      <c r="AV17" s="370">
        <f>'Nº Cars Projection'!F15</f>
        <v>30880000</v>
      </c>
      <c r="AW17" s="269"/>
      <c r="AX17" s="366">
        <f t="shared" si="12"/>
        <v>0.59733557751962585</v>
      </c>
      <c r="AY17" s="367">
        <f t="shared" si="20"/>
        <v>184457.22633806046</v>
      </c>
      <c r="AZ17" s="363">
        <f>SUM('Business as Usual PR'!K93)</f>
        <v>4.9777964793302152</v>
      </c>
      <c r="BA17" s="361">
        <f t="shared" si="13"/>
        <v>1537143.5528171703</v>
      </c>
      <c r="BB17" s="354"/>
      <c r="BC17" s="366">
        <f t="shared" si="14"/>
        <v>0.41314900850541286</v>
      </c>
      <c r="BD17" s="367">
        <f t="shared" si="21"/>
        <v>127580.41382647149</v>
      </c>
      <c r="BE17" s="363">
        <v>3.5451064325715449</v>
      </c>
      <c r="BF17" s="361">
        <f t="shared" si="15"/>
        <v>1094728.8663780931</v>
      </c>
      <c r="BG17" s="355"/>
      <c r="BH17" s="366">
        <f t="shared" si="16"/>
        <v>1.4629907869622472</v>
      </c>
      <c r="BI17" s="367">
        <f t="shared" si="22"/>
        <v>451771.55501394195</v>
      </c>
      <c r="BJ17" s="363">
        <v>0</v>
      </c>
      <c r="BK17" s="361">
        <v>0</v>
      </c>
      <c r="BL17" s="331"/>
    </row>
    <row r="18" spans="3:64">
      <c r="C18" s="330"/>
      <c r="D18" s="360">
        <v>2028</v>
      </c>
      <c r="E18" s="370">
        <f>'Nº Cars Projection'!B16</f>
        <v>35684108.25</v>
      </c>
      <c r="F18" s="337"/>
      <c r="G18" s="366">
        <f>'Business as Usual PR'!B30</f>
        <v>0.66533557751962591</v>
      </c>
      <c r="H18" s="367">
        <f t="shared" si="2"/>
        <v>237419.06770786599</v>
      </c>
      <c r="I18" s="363">
        <f>SUM('Business as Usual PR'!K94)</f>
        <v>5.5444631459968834</v>
      </c>
      <c r="J18" s="361">
        <f t="shared" si="3"/>
        <v>1978492.2308988834</v>
      </c>
      <c r="K18" s="354"/>
      <c r="L18" s="366">
        <f>'Intermediate Limit PR'!B30</f>
        <v>0.44073035160399154</v>
      </c>
      <c r="M18" s="367">
        <f t="shared" si="4"/>
        <v>157270.69575697396</v>
      </c>
      <c r="N18" s="363">
        <v>3.7723175805710794</v>
      </c>
      <c r="O18" s="361">
        <f t="shared" si="5"/>
        <v>1346117.8889847649</v>
      </c>
      <c r="P18" s="355"/>
      <c r="Q18" s="366">
        <f>'Upper Limit  PR'!B30</f>
        <v>2.0342409925254286</v>
      </c>
      <c r="R18" s="367">
        <f t="shared" si="6"/>
        <v>725900.75783864828</v>
      </c>
      <c r="S18" s="363">
        <v>0</v>
      </c>
      <c r="T18" s="361">
        <v>0</v>
      </c>
      <c r="U18" s="356"/>
      <c r="V18" s="270"/>
      <c r="W18" s="270"/>
      <c r="X18" s="270"/>
      <c r="Y18" s="357"/>
      <c r="Z18" s="360">
        <v>2028</v>
      </c>
      <c r="AA18" s="370">
        <f>'Nº Cars Projection'!D16</f>
        <v>33213448</v>
      </c>
      <c r="AB18" s="269"/>
      <c r="AC18" s="366">
        <f t="shared" si="7"/>
        <v>0.66533557751962591</v>
      </c>
      <c r="AD18" s="367">
        <f t="shared" si="17"/>
        <v>220980.88606498064</v>
      </c>
      <c r="AE18" s="363">
        <f>SUM('Business as Usual PR'!K94)</f>
        <v>5.5444631459968834</v>
      </c>
      <c r="AF18" s="361">
        <f t="shared" si="8"/>
        <v>1841507.3838748389</v>
      </c>
      <c r="AG18" s="354"/>
      <c r="AH18" s="366">
        <f t="shared" si="9"/>
        <v>0.44073035160399154</v>
      </c>
      <c r="AI18" s="367">
        <f t="shared" si="18"/>
        <v>146381.7461502089</v>
      </c>
      <c r="AJ18" s="363">
        <v>3.7723175805710794</v>
      </c>
      <c r="AK18" s="361">
        <f t="shared" si="10"/>
        <v>1252916.7380178336</v>
      </c>
      <c r="AL18" s="355"/>
      <c r="AM18" s="366">
        <f t="shared" si="11"/>
        <v>2.0342409925254286</v>
      </c>
      <c r="AN18" s="367">
        <f t="shared" si="19"/>
        <v>675641.57424711704</v>
      </c>
      <c r="AO18" s="363">
        <v>0</v>
      </c>
      <c r="AP18" s="361">
        <v>0</v>
      </c>
      <c r="AQ18" s="356"/>
      <c r="AR18" s="270"/>
      <c r="AS18" s="270"/>
      <c r="AT18" s="357"/>
      <c r="AU18" s="360">
        <f t="shared" si="0"/>
        <v>2028</v>
      </c>
      <c r="AV18" s="370">
        <f>'Nº Cars Projection'!F16</f>
        <v>30920000</v>
      </c>
      <c r="AW18" s="269"/>
      <c r="AX18" s="366">
        <f t="shared" si="12"/>
        <v>0.66533557751962591</v>
      </c>
      <c r="AY18" s="367">
        <f t="shared" si="20"/>
        <v>205721.76056906834</v>
      </c>
      <c r="AZ18" s="363">
        <f>SUM('Business as Usual PR'!K94)</f>
        <v>5.5444631459968834</v>
      </c>
      <c r="BA18" s="361">
        <f t="shared" si="13"/>
        <v>1714348.0047422363</v>
      </c>
      <c r="BB18" s="354"/>
      <c r="BC18" s="366">
        <f t="shared" si="14"/>
        <v>0.44073035160399154</v>
      </c>
      <c r="BD18" s="367">
        <f t="shared" si="21"/>
        <v>136273.82471595419</v>
      </c>
      <c r="BE18" s="363">
        <v>3.7723175805710794</v>
      </c>
      <c r="BF18" s="361">
        <f t="shared" si="15"/>
        <v>1166400.5959125778</v>
      </c>
      <c r="BG18" s="355"/>
      <c r="BH18" s="366">
        <f t="shared" si="16"/>
        <v>2.0342409925254286</v>
      </c>
      <c r="BI18" s="367">
        <f t="shared" si="22"/>
        <v>628987.31488886254</v>
      </c>
      <c r="BJ18" s="363">
        <v>0</v>
      </c>
      <c r="BK18" s="361">
        <v>0</v>
      </c>
      <c r="BL18" s="331"/>
    </row>
    <row r="19" spans="3:64">
      <c r="C19" s="330"/>
      <c r="D19" s="360">
        <v>2029</v>
      </c>
      <c r="E19" s="370">
        <f>'Nº Cars Projection'!B17</f>
        <v>36086913.9375</v>
      </c>
      <c r="F19" s="337"/>
      <c r="G19" s="366">
        <f>'Business as Usual PR'!B31</f>
        <v>0.73733557751962586</v>
      </c>
      <c r="H19" s="367">
        <f t="shared" si="2"/>
        <v>266081.65529007599</v>
      </c>
      <c r="I19" s="363">
        <f>SUM('Business as Usual PR'!K95)</f>
        <v>6.1444631459968821</v>
      </c>
      <c r="J19" s="361">
        <f t="shared" si="3"/>
        <v>2217347.1274172999</v>
      </c>
      <c r="K19" s="354"/>
      <c r="L19" s="366">
        <f>'Intermediate Limit PR'!B31</f>
        <v>0.46831169470257022</v>
      </c>
      <c r="M19" s="367">
        <f t="shared" si="4"/>
        <v>168999.23822656425</v>
      </c>
      <c r="N19" s="363">
        <v>3.9995287285706138</v>
      </c>
      <c r="O19" s="361">
        <f t="shared" si="5"/>
        <v>1443306.4901848652</v>
      </c>
      <c r="P19" s="355"/>
      <c r="Q19" s="366">
        <f>'Upper Limit  PR'!B31</f>
        <v>2.8221573661452535</v>
      </c>
      <c r="R19" s="367">
        <f t="shared" si="6"/>
        <v>1018429.4999016544</v>
      </c>
      <c r="S19" s="363">
        <v>0</v>
      </c>
      <c r="T19" s="361">
        <v>0</v>
      </c>
      <c r="U19" s="356"/>
      <c r="V19" s="270"/>
      <c r="W19" s="270"/>
      <c r="X19" s="270"/>
      <c r="Y19" s="357"/>
      <c r="Z19" s="360">
        <v>2029</v>
      </c>
      <c r="AA19" s="370">
        <f>'Nº Cars Projection'!D17</f>
        <v>33449755</v>
      </c>
      <c r="AB19" s="269"/>
      <c r="AC19" s="366">
        <f t="shared" si="7"/>
        <v>0.73733557751962586</v>
      </c>
      <c r="AD19" s="367">
        <f t="shared" si="17"/>
        <v>246636.94420814991</v>
      </c>
      <c r="AE19" s="363">
        <f>SUM('Business as Usual PR'!K95)</f>
        <v>6.1444631459968821</v>
      </c>
      <c r="AF19" s="361">
        <f t="shared" si="8"/>
        <v>2055307.8684012494</v>
      </c>
      <c r="AG19" s="354"/>
      <c r="AH19" s="366">
        <f t="shared" si="9"/>
        <v>0.46831169470257022</v>
      </c>
      <c r="AI19" s="367">
        <f t="shared" si="18"/>
        <v>156649.1145143577</v>
      </c>
      <c r="AJ19" s="363">
        <v>3.9995287285706138</v>
      </c>
      <c r="AK19" s="361">
        <f t="shared" si="10"/>
        <v>1337832.5608614853</v>
      </c>
      <c r="AL19" s="355"/>
      <c r="AM19" s="366">
        <f t="shared" si="11"/>
        <v>2.8221573661452535</v>
      </c>
      <c r="AN19" s="367">
        <f t="shared" si="19"/>
        <v>944004.72469004022</v>
      </c>
      <c r="AO19" s="363">
        <v>0</v>
      </c>
      <c r="AP19" s="361">
        <v>0</v>
      </c>
      <c r="AQ19" s="356"/>
      <c r="AR19" s="270"/>
      <c r="AS19" s="270"/>
      <c r="AT19" s="357"/>
      <c r="AU19" s="360">
        <f t="shared" si="0"/>
        <v>2029</v>
      </c>
      <c r="AV19" s="370">
        <f>'Nº Cars Projection'!F17</f>
        <v>30960000</v>
      </c>
      <c r="AW19" s="269"/>
      <c r="AX19" s="366">
        <f t="shared" si="12"/>
        <v>0.73733557751962586</v>
      </c>
      <c r="AY19" s="367">
        <f t="shared" si="20"/>
        <v>228279.09480007616</v>
      </c>
      <c r="AZ19" s="363">
        <f>SUM('Business as Usual PR'!K95)</f>
        <v>6.1444631459968821</v>
      </c>
      <c r="BA19" s="361">
        <f t="shared" si="13"/>
        <v>1902325.7900006347</v>
      </c>
      <c r="BB19" s="354"/>
      <c r="BC19" s="366">
        <f t="shared" si="14"/>
        <v>0.46831169470257022</v>
      </c>
      <c r="BD19" s="367">
        <f t="shared" si="21"/>
        <v>144989.30067991573</v>
      </c>
      <c r="BE19" s="363">
        <v>3.9995287285706138</v>
      </c>
      <c r="BF19" s="361">
        <f t="shared" si="15"/>
        <v>1238254.094365462</v>
      </c>
      <c r="BG19" s="355"/>
      <c r="BH19" s="366">
        <f t="shared" si="16"/>
        <v>2.8221573661452535</v>
      </c>
      <c r="BI19" s="367">
        <f t="shared" si="22"/>
        <v>873739.92055857053</v>
      </c>
      <c r="BJ19" s="363">
        <v>0</v>
      </c>
      <c r="BK19" s="361">
        <v>0</v>
      </c>
      <c r="BL19" s="331"/>
    </row>
    <row r="20" spans="3:64">
      <c r="C20" s="330"/>
      <c r="D20" s="360">
        <v>2030</v>
      </c>
      <c r="E20" s="370">
        <f>'Nº Cars Projection'!B18</f>
        <v>36489719.625</v>
      </c>
      <c r="F20" s="337"/>
      <c r="G20" s="366">
        <f>'Business as Usual PR'!B32</f>
        <v>0.81333557751962582</v>
      </c>
      <c r="H20" s="367">
        <f t="shared" si="2"/>
        <v>296783.87184728601</v>
      </c>
      <c r="I20" s="363">
        <f>SUM('Business as Usual PR'!K96)</f>
        <v>6.7777964793302141</v>
      </c>
      <c r="J20" s="361">
        <f t="shared" si="3"/>
        <v>2473198.9320607162</v>
      </c>
      <c r="K20" s="354"/>
      <c r="L20" s="366">
        <f>'Intermediate Limit PR'!B32</f>
        <v>0.49589303780114891</v>
      </c>
      <c r="M20" s="367">
        <f t="shared" si="4"/>
        <v>180949.97913353448</v>
      </c>
      <c r="N20" s="363">
        <v>4.2267398765701483</v>
      </c>
      <c r="O20" s="361">
        <f t="shared" si="5"/>
        <v>1542325.530238518</v>
      </c>
      <c r="P20" s="355"/>
      <c r="Q20" s="366">
        <f>'Upper Limit  PR'!B32</f>
        <v>3.9030961331001874</v>
      </c>
      <c r="R20" s="367">
        <f t="shared" si="6"/>
        <v>1424228.8356624753</v>
      </c>
      <c r="S20" s="363">
        <v>0</v>
      </c>
      <c r="T20" s="361">
        <v>0</v>
      </c>
      <c r="U20" s="356"/>
      <c r="V20" s="270"/>
      <c r="W20" s="270"/>
      <c r="X20" s="270"/>
      <c r="Y20" s="357"/>
      <c r="Z20" s="360">
        <v>2030</v>
      </c>
      <c r="AA20" s="370">
        <f>'Nº Cars Projection'!D18</f>
        <v>33686063.263311006</v>
      </c>
      <c r="AB20" s="269"/>
      <c r="AC20" s="366">
        <f t="shared" si="7"/>
        <v>0.81333557751962582</v>
      </c>
      <c r="AD20" s="367">
        <f t="shared" si="17"/>
        <v>273980.73718627705</v>
      </c>
      <c r="AE20" s="363">
        <f>SUM('Business as Usual PR'!K96)</f>
        <v>6.7777964793302141</v>
      </c>
      <c r="AF20" s="361">
        <f t="shared" si="8"/>
        <v>2283172.809885642</v>
      </c>
      <c r="AG20" s="354"/>
      <c r="AH20" s="366">
        <f t="shared" si="9"/>
        <v>0.49589303780114891</v>
      </c>
      <c r="AI20" s="367">
        <f t="shared" si="18"/>
        <v>167046.84243204977</v>
      </c>
      <c r="AJ20" s="363">
        <v>4.2267398765701483</v>
      </c>
      <c r="AK20" s="361">
        <f t="shared" si="10"/>
        <v>1423822.2687970137</v>
      </c>
      <c r="AL20" s="355"/>
      <c r="AM20" s="366">
        <f t="shared" si="11"/>
        <v>3.9030961331001874</v>
      </c>
      <c r="AN20" s="367">
        <f t="shared" si="19"/>
        <v>1314799.4326239747</v>
      </c>
      <c r="AO20" s="363">
        <v>0</v>
      </c>
      <c r="AP20" s="361">
        <v>0</v>
      </c>
      <c r="AQ20" s="356"/>
      <c r="AR20" s="270"/>
      <c r="AS20" s="270"/>
      <c r="AT20" s="357"/>
      <c r="AU20" s="360">
        <f t="shared" si="0"/>
        <v>2030</v>
      </c>
      <c r="AV20" s="370">
        <f>'Nº Cars Projection'!F18</f>
        <v>31000000</v>
      </c>
      <c r="AW20" s="269"/>
      <c r="AX20" s="366">
        <f t="shared" si="12"/>
        <v>0.81333557751962582</v>
      </c>
      <c r="AY20" s="367">
        <f t="shared" si="20"/>
        <v>252134.02903108401</v>
      </c>
      <c r="AZ20" s="363">
        <f>SUM('Business as Usual PR'!K96)</f>
        <v>6.7777964793302141</v>
      </c>
      <c r="BA20" s="361">
        <f t="shared" si="13"/>
        <v>2101116.9085923661</v>
      </c>
      <c r="BB20" s="354"/>
      <c r="BC20" s="366">
        <f t="shared" si="14"/>
        <v>0.49589303780114891</v>
      </c>
      <c r="BD20" s="367">
        <f t="shared" si="21"/>
        <v>153726.84171835615</v>
      </c>
      <c r="BE20" s="363">
        <v>4.2267398765701483</v>
      </c>
      <c r="BF20" s="361">
        <f t="shared" si="15"/>
        <v>1310289.361736746</v>
      </c>
      <c r="BG20" s="355"/>
      <c r="BH20" s="366">
        <f t="shared" si="16"/>
        <v>3.9030961331001874</v>
      </c>
      <c r="BI20" s="367">
        <f t="shared" si="22"/>
        <v>1209959.8012610581</v>
      </c>
      <c r="BJ20" s="363">
        <v>0</v>
      </c>
      <c r="BK20" s="361">
        <v>0</v>
      </c>
      <c r="BL20" s="331"/>
    </row>
    <row r="21" spans="3:64">
      <c r="C21" s="330"/>
      <c r="D21" s="360">
        <v>2031</v>
      </c>
      <c r="E21" s="370">
        <f>'Nº Cars Projection'!B19</f>
        <v>36892525.3125</v>
      </c>
      <c r="F21" s="337"/>
      <c r="G21" s="366">
        <f>'Business as Usual PR'!B33</f>
        <v>0.89333557751962578</v>
      </c>
      <c r="H21" s="367">
        <f t="shared" si="2"/>
        <v>329574.05406199599</v>
      </c>
      <c r="I21" s="363">
        <f>SUM('Business as Usual PR'!K97)</f>
        <v>7.4444631459968829</v>
      </c>
      <c r="J21" s="361">
        <f t="shared" si="3"/>
        <v>2746450.4505166342</v>
      </c>
      <c r="K21" s="354"/>
      <c r="L21" s="366">
        <f>'Intermediate Limit PR'!B33</f>
        <v>0.64501848872077017</v>
      </c>
      <c r="M21" s="367">
        <f t="shared" si="4"/>
        <v>237963.6092216151</v>
      </c>
      <c r="N21" s="363">
        <v>4.7301355839523147</v>
      </c>
      <c r="O21" s="361">
        <f t="shared" si="5"/>
        <v>1745066.4676251775</v>
      </c>
      <c r="P21" s="355"/>
      <c r="Q21" s="366">
        <f>'Upper Limit  PR'!B33</f>
        <v>5.3751540726730846</v>
      </c>
      <c r="R21" s="367">
        <f t="shared" si="6"/>
        <v>1983030.0768467926</v>
      </c>
      <c r="S21" s="363">
        <v>0</v>
      </c>
      <c r="T21" s="361">
        <v>0</v>
      </c>
      <c r="U21" s="356"/>
      <c r="V21" s="270"/>
      <c r="W21" s="270"/>
      <c r="X21" s="270"/>
      <c r="Y21" s="357"/>
      <c r="Z21" s="360">
        <v>2031</v>
      </c>
      <c r="AA21" s="370">
        <f>'Nº Cars Projection'!D19</f>
        <v>33847095</v>
      </c>
      <c r="AB21" s="269"/>
      <c r="AC21" s="366">
        <f t="shared" si="7"/>
        <v>0.89333557751962578</v>
      </c>
      <c r="AD21" s="367">
        <f t="shared" si="17"/>
        <v>302368.14159186638</v>
      </c>
      <c r="AE21" s="363">
        <f>SUM('Business as Usual PR'!K97)</f>
        <v>7.4444631459968829</v>
      </c>
      <c r="AF21" s="361">
        <f t="shared" si="8"/>
        <v>2519734.5132655539</v>
      </c>
      <c r="AG21" s="354"/>
      <c r="AH21" s="366">
        <f t="shared" si="9"/>
        <v>0.64501848872077017</v>
      </c>
      <c r="AI21" s="367">
        <f t="shared" si="18"/>
        <v>218320.02064488336</v>
      </c>
      <c r="AJ21" s="363">
        <v>4.7301355839523147</v>
      </c>
      <c r="AK21" s="361">
        <f t="shared" si="10"/>
        <v>1601013.4847291445</v>
      </c>
      <c r="AL21" s="355"/>
      <c r="AM21" s="366">
        <f t="shared" si="11"/>
        <v>5.3751540726730846</v>
      </c>
      <c r="AN21" s="367">
        <f t="shared" si="19"/>
        <v>1819333.5053740281</v>
      </c>
      <c r="AO21" s="363">
        <v>0</v>
      </c>
      <c r="AP21" s="361">
        <v>0</v>
      </c>
      <c r="AQ21" s="356"/>
      <c r="AR21" s="270"/>
      <c r="AS21" s="270"/>
      <c r="AT21" s="357"/>
      <c r="AU21" s="360">
        <f t="shared" si="0"/>
        <v>2031</v>
      </c>
      <c r="AV21" s="370">
        <f>'Nº Cars Projection'!F19</f>
        <v>30200000</v>
      </c>
      <c r="AW21" s="269"/>
      <c r="AX21" s="366">
        <f t="shared" si="12"/>
        <v>0.89333557751962578</v>
      </c>
      <c r="AY21" s="367">
        <f t="shared" si="20"/>
        <v>269787.34441092698</v>
      </c>
      <c r="AZ21" s="363">
        <f>SUM('Business as Usual PR'!K97)</f>
        <v>7.4444631459968829</v>
      </c>
      <c r="BA21" s="361">
        <f t="shared" si="13"/>
        <v>2248227.8700910588</v>
      </c>
      <c r="BB21" s="354"/>
      <c r="BC21" s="366">
        <f t="shared" si="14"/>
        <v>0.64501848872077017</v>
      </c>
      <c r="BD21" s="367">
        <f t="shared" si="21"/>
        <v>194795.58359367258</v>
      </c>
      <c r="BE21" s="363">
        <v>4.7301355839523147</v>
      </c>
      <c r="BF21" s="361">
        <f t="shared" si="15"/>
        <v>1428500.9463535992</v>
      </c>
      <c r="BG21" s="355"/>
      <c r="BH21" s="366">
        <f t="shared" si="16"/>
        <v>5.3751540726730846</v>
      </c>
      <c r="BI21" s="367">
        <f t="shared" si="22"/>
        <v>1623296.5299472716</v>
      </c>
      <c r="BJ21" s="363">
        <v>0</v>
      </c>
      <c r="BK21" s="361">
        <v>0</v>
      </c>
      <c r="BL21" s="331"/>
    </row>
    <row r="22" spans="3:64">
      <c r="C22" s="330"/>
      <c r="D22" s="360">
        <v>2032</v>
      </c>
      <c r="E22" s="370">
        <f>'Nº Cars Projection'!B20</f>
        <v>37295331</v>
      </c>
      <c r="F22" s="337"/>
      <c r="G22" s="366">
        <f>'Business as Usual PR'!B34</f>
        <v>0.97733557751962574</v>
      </c>
      <c r="H22" s="367">
        <f t="shared" si="2"/>
        <v>364500.53861670598</v>
      </c>
      <c r="I22" s="363">
        <f>SUM('Business as Usual PR'!K98)</f>
        <v>8.1444631459968821</v>
      </c>
      <c r="J22" s="361">
        <f t="shared" si="3"/>
        <v>3037504.4884725506</v>
      </c>
      <c r="K22" s="354"/>
      <c r="L22" s="366">
        <f>'Intermediate Limit PR'!B34</f>
        <v>0.88318557514350426</v>
      </c>
      <c r="M22" s="367">
        <f t="shared" si="4"/>
        <v>329386.98359402362</v>
      </c>
      <c r="N22" s="363">
        <v>6.4766942177190314</v>
      </c>
      <c r="O22" s="361">
        <f t="shared" si="5"/>
        <v>2415504.5463561732</v>
      </c>
      <c r="P22" s="355"/>
      <c r="Q22" s="366">
        <f>'Upper Limit  PR'!B34</f>
        <v>7.359879792862535</v>
      </c>
      <c r="R22" s="367">
        <f t="shared" si="6"/>
        <v>2744891.5299501969</v>
      </c>
      <c r="S22" s="363">
        <v>0</v>
      </c>
      <c r="T22" s="361">
        <v>0</v>
      </c>
      <c r="U22" s="356"/>
      <c r="V22" s="270"/>
      <c r="W22" s="270"/>
      <c r="X22" s="270"/>
      <c r="Y22" s="357"/>
      <c r="Z22" s="360">
        <v>2032</v>
      </c>
      <c r="AA22" s="370">
        <f>'Nº Cars Projection'!D20</f>
        <v>34008127</v>
      </c>
      <c r="AB22" s="269"/>
      <c r="AC22" s="366">
        <f t="shared" si="7"/>
        <v>0.97733557751962574</v>
      </c>
      <c r="AD22" s="367">
        <f t="shared" si="17"/>
        <v>332373.52441905777</v>
      </c>
      <c r="AE22" s="363">
        <f>SUM('Business as Usual PR'!K98)</f>
        <v>8.1444631459968821</v>
      </c>
      <c r="AF22" s="361">
        <f t="shared" si="8"/>
        <v>2769779.3701588153</v>
      </c>
      <c r="AG22" s="354"/>
      <c r="AH22" s="366">
        <f t="shared" si="9"/>
        <v>0.88318557514350426</v>
      </c>
      <c r="AI22" s="367">
        <f t="shared" si="18"/>
        <v>300354.87204048334</v>
      </c>
      <c r="AJ22" s="363">
        <v>6.4766942177190314</v>
      </c>
      <c r="AK22" s="361">
        <f t="shared" si="10"/>
        <v>2202602.3949635448</v>
      </c>
      <c r="AL22" s="355"/>
      <c r="AM22" s="366">
        <f t="shared" si="11"/>
        <v>7.359879792862535</v>
      </c>
      <c r="AN22" s="367">
        <f t="shared" si="19"/>
        <v>2502957.267004028</v>
      </c>
      <c r="AO22" s="363">
        <v>0</v>
      </c>
      <c r="AP22" s="361">
        <v>0</v>
      </c>
      <c r="AQ22" s="356"/>
      <c r="AR22" s="270"/>
      <c r="AS22" s="270"/>
      <c r="AT22" s="357"/>
      <c r="AU22" s="360">
        <f t="shared" si="0"/>
        <v>2032</v>
      </c>
      <c r="AV22" s="370">
        <f>'Nº Cars Projection'!F20</f>
        <v>29400000</v>
      </c>
      <c r="AW22" s="269"/>
      <c r="AX22" s="366">
        <f t="shared" si="12"/>
        <v>0.97733557751962574</v>
      </c>
      <c r="AY22" s="367">
        <f t="shared" si="20"/>
        <v>287336.65979076998</v>
      </c>
      <c r="AZ22" s="363">
        <f>SUM('Business as Usual PR'!K98)</f>
        <v>8.1444631459968821</v>
      </c>
      <c r="BA22" s="361">
        <f t="shared" si="13"/>
        <v>2394472.1649230835</v>
      </c>
      <c r="BB22" s="354"/>
      <c r="BC22" s="366">
        <f t="shared" si="14"/>
        <v>0.88318557514350426</v>
      </c>
      <c r="BD22" s="367">
        <f t="shared" si="21"/>
        <v>259656.55909219023</v>
      </c>
      <c r="BE22" s="363">
        <v>6.4766942177190314</v>
      </c>
      <c r="BF22" s="361">
        <f t="shared" si="15"/>
        <v>1904148.1000093953</v>
      </c>
      <c r="BG22" s="355"/>
      <c r="BH22" s="366">
        <f t="shared" si="16"/>
        <v>7.359879792862535</v>
      </c>
      <c r="BI22" s="367">
        <f t="shared" si="22"/>
        <v>2163804.6591015854</v>
      </c>
      <c r="BJ22" s="363">
        <v>0</v>
      </c>
      <c r="BK22" s="361">
        <v>0</v>
      </c>
      <c r="BL22" s="331"/>
    </row>
    <row r="23" spans="3:64">
      <c r="C23" s="330"/>
      <c r="D23" s="360">
        <v>2033</v>
      </c>
      <c r="E23" s="370">
        <f>'Nº Cars Projection'!B21</f>
        <v>37698136.6875</v>
      </c>
      <c r="F23" s="337"/>
      <c r="G23" s="366">
        <f>'Business as Usual PR'!B35</f>
        <v>1.0653355775196258</v>
      </c>
      <c r="H23" s="367">
        <f t="shared" si="2"/>
        <v>401611.66219391604</v>
      </c>
      <c r="I23" s="363">
        <f>SUM('Business as Usual PR'!K99)</f>
        <v>8.8777964793302164</v>
      </c>
      <c r="J23" s="361">
        <f t="shared" si="3"/>
        <v>3346763.8516159677</v>
      </c>
      <c r="K23" s="354"/>
      <c r="L23" s="366">
        <f>'Intermediate Limit PR'!B35</f>
        <v>1.2000000000000162</v>
      </c>
      <c r="M23" s="367">
        <f t="shared" si="4"/>
        <v>452377.64025000611</v>
      </c>
      <c r="N23" s="363">
        <v>8.800000000000118</v>
      </c>
      <c r="O23" s="361">
        <f t="shared" si="5"/>
        <v>3317436.0285000443</v>
      </c>
      <c r="P23" s="355"/>
      <c r="Q23" s="366">
        <f>'Upper Limit  PR'!B35</f>
        <v>10.000000000000135</v>
      </c>
      <c r="R23" s="367">
        <f t="shared" si="6"/>
        <v>3769813.6687500509</v>
      </c>
      <c r="S23" s="363">
        <v>0</v>
      </c>
      <c r="T23" s="361">
        <v>0</v>
      </c>
      <c r="U23" s="356"/>
      <c r="V23" s="270"/>
      <c r="W23" s="270"/>
      <c r="X23" s="270"/>
      <c r="Y23" s="357"/>
      <c r="Z23" s="360">
        <v>2033</v>
      </c>
      <c r="AA23" s="370">
        <f>'Nº Cars Projection'!D21</f>
        <v>34169159</v>
      </c>
      <c r="AB23" s="269"/>
      <c r="AC23" s="366">
        <f t="shared" si="7"/>
        <v>1.0653355775196258</v>
      </c>
      <c r="AD23" s="367">
        <f t="shared" si="17"/>
        <v>364016.20736624917</v>
      </c>
      <c r="AE23" s="363">
        <f>SUM('Business as Usual PR'!K99)</f>
        <v>8.8777964793302164</v>
      </c>
      <c r="AF23" s="361">
        <f t="shared" si="8"/>
        <v>3033468.3947187434</v>
      </c>
      <c r="AG23" s="354"/>
      <c r="AH23" s="366">
        <f t="shared" ref="AH23:AH40" si="23">L23</f>
        <v>1.2000000000000162</v>
      </c>
      <c r="AI23" s="367">
        <f t="shared" si="18"/>
        <v>410029.90800000553</v>
      </c>
      <c r="AJ23" s="363">
        <v>8.800000000000118</v>
      </c>
      <c r="AK23" s="361">
        <f t="shared" si="10"/>
        <v>3006885.9920000406</v>
      </c>
      <c r="AL23" s="355"/>
      <c r="AM23" s="366">
        <f t="shared" ref="AM23:AM40" si="24">Q23</f>
        <v>10.000000000000135</v>
      </c>
      <c r="AN23" s="367">
        <f t="shared" si="19"/>
        <v>3416915.900000046</v>
      </c>
      <c r="AO23" s="363">
        <v>0</v>
      </c>
      <c r="AP23" s="361">
        <v>0</v>
      </c>
      <c r="AQ23" s="356"/>
      <c r="AR23" s="270"/>
      <c r="AS23" s="270"/>
      <c r="AT23" s="357"/>
      <c r="AU23" s="360">
        <f t="shared" si="0"/>
        <v>2033</v>
      </c>
      <c r="AV23" s="370">
        <f>'Nº Cars Projection'!F21</f>
        <v>28600000</v>
      </c>
      <c r="AW23" s="269"/>
      <c r="AX23" s="366">
        <f t="shared" si="12"/>
        <v>1.0653355775196258</v>
      </c>
      <c r="AY23" s="367">
        <f t="shared" si="20"/>
        <v>304685.97517061298</v>
      </c>
      <c r="AZ23" s="363">
        <f>SUM('Business as Usual PR'!K99)</f>
        <v>8.8777964793302164</v>
      </c>
      <c r="BA23" s="361">
        <f t="shared" si="13"/>
        <v>2539049.7930884417</v>
      </c>
      <c r="BB23" s="354"/>
      <c r="BC23" s="366">
        <f t="shared" si="14"/>
        <v>1.2000000000000162</v>
      </c>
      <c r="BD23" s="367">
        <f t="shared" si="21"/>
        <v>343200.0000000046</v>
      </c>
      <c r="BE23" s="363">
        <v>8.800000000000118</v>
      </c>
      <c r="BF23" s="361">
        <f t="shared" si="15"/>
        <v>2516800.0000000335</v>
      </c>
      <c r="BG23" s="355"/>
      <c r="BH23" s="366">
        <f t="shared" si="16"/>
        <v>10.000000000000135</v>
      </c>
      <c r="BI23" s="367">
        <f t="shared" si="22"/>
        <v>2860000.0000000386</v>
      </c>
      <c r="BJ23" s="363">
        <v>0</v>
      </c>
      <c r="BK23" s="361">
        <v>0</v>
      </c>
      <c r="BL23" s="331"/>
    </row>
    <row r="24" spans="3:64">
      <c r="C24" s="330"/>
      <c r="D24" s="360">
        <v>2034</v>
      </c>
      <c r="E24" s="370">
        <f>'Nº Cars Projection'!B22</f>
        <v>38100942.375</v>
      </c>
      <c r="F24" s="337"/>
      <c r="G24" s="366">
        <f>'Business as Usual PR'!B36</f>
        <v>1.1573355775196259</v>
      </c>
      <c r="H24" s="367">
        <f t="shared" si="2"/>
        <v>440955.76147612609</v>
      </c>
      <c r="I24" s="363">
        <f>SUM('Business as Usual PR'!K100)</f>
        <v>9.6444631459968839</v>
      </c>
      <c r="J24" s="361">
        <f t="shared" si="3"/>
        <v>3674631.3456343845</v>
      </c>
      <c r="K24" s="354"/>
      <c r="L24" s="366">
        <f>'Intermediate Limit PR'!B36</f>
        <v>1.6139619095019853</v>
      </c>
      <c r="M24" s="367">
        <f t="shared" si="4"/>
        <v>614934.69709380111</v>
      </c>
      <c r="N24" s="363">
        <v>11.835720669681226</v>
      </c>
      <c r="O24" s="361">
        <f t="shared" si="5"/>
        <v>4509521.1120212087</v>
      </c>
      <c r="P24" s="358"/>
      <c r="Q24" s="366">
        <f>'Upper Limit  PR'!B36</f>
        <v>13.449682579183211</v>
      </c>
      <c r="R24" s="367">
        <f t="shared" si="6"/>
        <v>5124455.8091150094</v>
      </c>
      <c r="S24" s="363">
        <v>0</v>
      </c>
      <c r="T24" s="361">
        <v>0</v>
      </c>
      <c r="U24" s="356"/>
      <c r="V24" s="270"/>
      <c r="W24" s="270"/>
      <c r="X24" s="270"/>
      <c r="Y24" s="357"/>
      <c r="Z24" s="360">
        <v>2034</v>
      </c>
      <c r="AA24" s="370">
        <f>'Nº Cars Projection'!D22</f>
        <v>34330191</v>
      </c>
      <c r="AB24" s="269"/>
      <c r="AC24" s="366">
        <f t="shared" si="7"/>
        <v>1.1573355775196259</v>
      </c>
      <c r="AD24" s="367">
        <f t="shared" si="17"/>
        <v>397315.51427344058</v>
      </c>
      <c r="AE24" s="363">
        <f>SUM('Business as Usual PR'!K100)</f>
        <v>9.6444631459968839</v>
      </c>
      <c r="AF24" s="361">
        <f t="shared" si="8"/>
        <v>3310962.6189453392</v>
      </c>
      <c r="AG24" s="354"/>
      <c r="AH24" s="366">
        <f t="shared" si="23"/>
        <v>1.6139619095019853</v>
      </c>
      <c r="AI24" s="367">
        <f t="shared" si="18"/>
        <v>554076.20619927871</v>
      </c>
      <c r="AJ24" s="363">
        <v>11.835720669681226</v>
      </c>
      <c r="AK24" s="361">
        <f t="shared" si="10"/>
        <v>4063225.5121280444</v>
      </c>
      <c r="AL24" s="358"/>
      <c r="AM24" s="366">
        <f t="shared" si="24"/>
        <v>13.449682579183211</v>
      </c>
      <c r="AN24" s="367">
        <f t="shared" si="19"/>
        <v>4617301.718327323</v>
      </c>
      <c r="AO24" s="363">
        <v>0</v>
      </c>
      <c r="AP24" s="361">
        <v>0</v>
      </c>
      <c r="AQ24" s="356"/>
      <c r="AR24" s="270"/>
      <c r="AS24" s="270"/>
      <c r="AT24" s="357"/>
      <c r="AU24" s="360">
        <f t="shared" si="0"/>
        <v>2034</v>
      </c>
      <c r="AV24" s="370">
        <f>'Nº Cars Projection'!F22</f>
        <v>27800000</v>
      </c>
      <c r="AW24" s="269"/>
      <c r="AX24" s="366">
        <f t="shared" si="12"/>
        <v>1.1573355775196259</v>
      </c>
      <c r="AY24" s="367">
        <f t="shared" si="20"/>
        <v>321739.29055045597</v>
      </c>
      <c r="AZ24" s="363">
        <f>SUM('Business as Usual PR'!K100)</f>
        <v>9.6444631459968839</v>
      </c>
      <c r="BA24" s="361">
        <f t="shared" si="13"/>
        <v>2681160.7545871339</v>
      </c>
      <c r="BB24" s="354"/>
      <c r="BC24" s="366">
        <f t="shared" si="14"/>
        <v>1.6139619095019853</v>
      </c>
      <c r="BD24" s="367">
        <f t="shared" si="21"/>
        <v>448681.41084155196</v>
      </c>
      <c r="BE24" s="363">
        <v>11.835720669681226</v>
      </c>
      <c r="BF24" s="361">
        <f t="shared" si="15"/>
        <v>3290330.346171381</v>
      </c>
      <c r="BG24" s="358"/>
      <c r="BH24" s="366">
        <f t="shared" si="16"/>
        <v>13.449682579183211</v>
      </c>
      <c r="BI24" s="367">
        <f t="shared" si="22"/>
        <v>3739011.7570129326</v>
      </c>
      <c r="BJ24" s="363">
        <v>0</v>
      </c>
      <c r="BK24" s="361">
        <v>0</v>
      </c>
      <c r="BL24" s="331"/>
    </row>
    <row r="25" spans="3:64">
      <c r="C25" s="330"/>
      <c r="D25" s="360">
        <v>2035</v>
      </c>
      <c r="E25" s="370">
        <f>'Nº Cars Projection'!B23</f>
        <v>38503748.0625</v>
      </c>
      <c r="F25" s="337"/>
      <c r="G25" s="366">
        <f>'Business as Usual PR'!B37</f>
        <v>1.253335577519626</v>
      </c>
      <c r="H25" s="367">
        <f t="shared" si="2"/>
        <v>482581.17314583616</v>
      </c>
      <c r="I25" s="363">
        <f>SUM('Business as Usual PR'!K101)</f>
        <v>10.444463145996883</v>
      </c>
      <c r="J25" s="361">
        <f t="shared" si="3"/>
        <v>4021509.7762153014</v>
      </c>
      <c r="K25" s="354"/>
      <c r="L25" s="366">
        <f>'Intermediate Limit PR'!B37</f>
        <v>2.1423995175666266</v>
      </c>
      <c r="M25" s="367">
        <f t="shared" si="4"/>
        <v>824904.11273606936</v>
      </c>
      <c r="N25" s="363">
        <v>15.710929795488596</v>
      </c>
      <c r="O25" s="361">
        <f t="shared" si="5"/>
        <v>6049296.8267311752</v>
      </c>
      <c r="P25" s="358"/>
      <c r="Q25" s="366">
        <f>'Upper Limit  PR'!B37</f>
        <v>17.853329313055223</v>
      </c>
      <c r="R25" s="367">
        <f t="shared" si="6"/>
        <v>6874200.9394672448</v>
      </c>
      <c r="S25" s="363">
        <v>0</v>
      </c>
      <c r="T25" s="361">
        <v>0</v>
      </c>
      <c r="U25" s="356"/>
      <c r="V25" s="270"/>
      <c r="W25" s="270"/>
      <c r="X25" s="270"/>
      <c r="Y25" s="357"/>
      <c r="Z25" s="360">
        <v>2035</v>
      </c>
      <c r="AA25" s="370">
        <f>'Nº Cars Projection'!D23</f>
        <v>34491224.708233021</v>
      </c>
      <c r="AB25" s="269"/>
      <c r="AC25" s="366">
        <f t="shared" si="7"/>
        <v>1.253335577519626</v>
      </c>
      <c r="AD25" s="367">
        <f t="shared" si="17"/>
        <v>432290.79039052426</v>
      </c>
      <c r="AE25" s="363">
        <f>SUM('Business as Usual PR'!K101)</f>
        <v>10.444463145996883</v>
      </c>
      <c r="AF25" s="361">
        <f t="shared" si="8"/>
        <v>3602423.2532543689</v>
      </c>
      <c r="AG25" s="354"/>
      <c r="AH25" s="366">
        <f t="shared" si="23"/>
        <v>2.1423995175666266</v>
      </c>
      <c r="AI25" s="367">
        <f t="shared" si="18"/>
        <v>738939.83175200538</v>
      </c>
      <c r="AJ25" s="363">
        <v>15.710929795488596</v>
      </c>
      <c r="AK25" s="361">
        <f t="shared" si="10"/>
        <v>5418892.0995147061</v>
      </c>
      <c r="AL25" s="358"/>
      <c r="AM25" s="366">
        <f t="shared" si="24"/>
        <v>17.853329313055223</v>
      </c>
      <c r="AN25" s="367">
        <f t="shared" si="19"/>
        <v>6157831.9312667111</v>
      </c>
      <c r="AO25" s="363">
        <v>0</v>
      </c>
      <c r="AP25" s="361">
        <v>0</v>
      </c>
      <c r="AQ25" s="356"/>
      <c r="AR25" s="270"/>
      <c r="AS25" s="270"/>
      <c r="AT25" s="357"/>
      <c r="AU25" s="360">
        <f t="shared" si="0"/>
        <v>2035</v>
      </c>
      <c r="AV25" s="370">
        <f>'Nº Cars Projection'!F23</f>
        <v>27000000</v>
      </c>
      <c r="AW25" s="269"/>
      <c r="AX25" s="366">
        <f t="shared" si="12"/>
        <v>1.253335577519626</v>
      </c>
      <c r="AY25" s="367">
        <f t="shared" si="20"/>
        <v>338400.60593029897</v>
      </c>
      <c r="AZ25" s="363">
        <f>SUM('Business as Usual PR'!K101)</f>
        <v>10.444463145996883</v>
      </c>
      <c r="BA25" s="361">
        <f t="shared" si="13"/>
        <v>2820005.0494191581</v>
      </c>
      <c r="BB25" s="354"/>
      <c r="BC25" s="366">
        <f t="shared" si="14"/>
        <v>2.1423995175666266</v>
      </c>
      <c r="BD25" s="367">
        <f t="shared" si="21"/>
        <v>578447.86974298919</v>
      </c>
      <c r="BE25" s="363">
        <v>15.710929795488596</v>
      </c>
      <c r="BF25" s="361">
        <f t="shared" si="15"/>
        <v>4241951.0447819205</v>
      </c>
      <c r="BG25" s="358"/>
      <c r="BH25" s="366">
        <f t="shared" si="16"/>
        <v>17.853329313055223</v>
      </c>
      <c r="BI25" s="367">
        <f t="shared" si="22"/>
        <v>4820398.91452491</v>
      </c>
      <c r="BJ25" s="363">
        <v>0</v>
      </c>
      <c r="BK25" s="361">
        <v>0</v>
      </c>
      <c r="BL25" s="331"/>
    </row>
    <row r="26" spans="3:64">
      <c r="C26" s="330"/>
      <c r="D26" s="360">
        <v>2036</v>
      </c>
      <c r="E26" s="370">
        <f>'Nº Cars Projection'!B24</f>
        <v>38906553.75</v>
      </c>
      <c r="F26" s="337"/>
      <c r="G26" s="366">
        <f>'Business as Usual PR'!B38</f>
        <v>1.3533355775196261</v>
      </c>
      <c r="H26" s="367">
        <f t="shared" si="2"/>
        <v>526536.23388554621</v>
      </c>
      <c r="I26" s="363">
        <f>SUM('Business as Usual PR'!K102)</f>
        <v>11.277796479330217</v>
      </c>
      <c r="J26" s="361">
        <f t="shared" si="3"/>
        <v>4387801.9490462188</v>
      </c>
      <c r="K26" s="354"/>
      <c r="L26" s="366">
        <f>'Intermediate Limit PR'!B38</f>
        <v>2.7972572619877139</v>
      </c>
      <c r="M26" s="367">
        <f t="shared" si="4"/>
        <v>1088316.4001610281</v>
      </c>
      <c r="N26" s="363">
        <v>20.513219921243234</v>
      </c>
      <c r="O26" s="361">
        <f t="shared" si="5"/>
        <v>7980986.9345142068</v>
      </c>
      <c r="P26" s="354"/>
      <c r="Q26" s="366">
        <f>'Upper Limit  PR'!B38</f>
        <v>23.310477183230947</v>
      </c>
      <c r="R26" s="367">
        <f t="shared" si="6"/>
        <v>9069303.3346752357</v>
      </c>
      <c r="S26" s="363">
        <v>0</v>
      </c>
      <c r="T26" s="361">
        <v>0</v>
      </c>
      <c r="U26" s="356"/>
      <c r="V26" s="270"/>
      <c r="W26" s="270"/>
      <c r="X26" s="270"/>
      <c r="Y26" s="357"/>
      <c r="Z26" s="360">
        <v>2036</v>
      </c>
      <c r="AA26" s="370">
        <f>'Nº Cars Projection'!D24</f>
        <v>34672698</v>
      </c>
      <c r="AB26" s="269"/>
      <c r="AC26" s="366">
        <f t="shared" si="7"/>
        <v>1.3533355775196261</v>
      </c>
      <c r="AD26" s="367">
        <f t="shared" si="17"/>
        <v>469237.9577199358</v>
      </c>
      <c r="AE26" s="363">
        <f>SUM('Business as Usual PR'!K102)</f>
        <v>11.277796479330217</v>
      </c>
      <c r="AF26" s="361">
        <f t="shared" si="8"/>
        <v>3910316.3143327986</v>
      </c>
      <c r="AG26" s="354"/>
      <c r="AH26" s="366">
        <f t="shared" si="23"/>
        <v>2.7972572619877139</v>
      </c>
      <c r="AI26" s="367">
        <f t="shared" si="18"/>
        <v>969884.56273206871</v>
      </c>
      <c r="AJ26" s="363">
        <v>20.513219921243234</v>
      </c>
      <c r="AK26" s="361">
        <f t="shared" si="10"/>
        <v>7112486.7933685044</v>
      </c>
      <c r="AL26" s="354"/>
      <c r="AM26" s="366">
        <f t="shared" si="24"/>
        <v>23.310477183230947</v>
      </c>
      <c r="AN26" s="367">
        <f t="shared" si="19"/>
        <v>8082371.3561005732</v>
      </c>
      <c r="AO26" s="363">
        <v>0</v>
      </c>
      <c r="AP26" s="361">
        <v>0</v>
      </c>
      <c r="AQ26" s="356"/>
      <c r="AR26" s="270"/>
      <c r="AS26" s="270"/>
      <c r="AT26" s="357"/>
      <c r="AU26" s="360">
        <f t="shared" si="0"/>
        <v>2036</v>
      </c>
      <c r="AV26" s="370">
        <f>'Nº Cars Projection'!F24</f>
        <v>26200000</v>
      </c>
      <c r="AW26" s="269"/>
      <c r="AX26" s="366">
        <f t="shared" si="12"/>
        <v>1.3533355775196261</v>
      </c>
      <c r="AY26" s="367">
        <f t="shared" si="20"/>
        <v>354573.92131014203</v>
      </c>
      <c r="AZ26" s="363">
        <f>SUM('Business as Usual PR'!K102)</f>
        <v>11.277796479330217</v>
      </c>
      <c r="BA26" s="361">
        <f t="shared" si="13"/>
        <v>2954782.6775845168</v>
      </c>
      <c r="BB26" s="354"/>
      <c r="BC26" s="366">
        <f t="shared" si="14"/>
        <v>2.7972572619877139</v>
      </c>
      <c r="BD26" s="367">
        <f t="shared" si="21"/>
        <v>732881.40264078102</v>
      </c>
      <c r="BE26" s="363">
        <v>20.513219921243234</v>
      </c>
      <c r="BF26" s="361">
        <f t="shared" si="15"/>
        <v>5374463.6193657275</v>
      </c>
      <c r="BG26" s="354"/>
      <c r="BH26" s="366">
        <f t="shared" si="16"/>
        <v>23.310477183230947</v>
      </c>
      <c r="BI26" s="367">
        <f t="shared" si="22"/>
        <v>6107345.0220065089</v>
      </c>
      <c r="BJ26" s="363">
        <v>0</v>
      </c>
      <c r="BK26" s="361">
        <v>0</v>
      </c>
      <c r="BL26" s="331"/>
    </row>
    <row r="27" spans="3:64">
      <c r="C27" s="330"/>
      <c r="D27" s="360">
        <v>2037</v>
      </c>
      <c r="E27" s="370">
        <f>'Nº Cars Projection'!B25</f>
        <v>39309359.4375</v>
      </c>
      <c r="F27" s="337"/>
      <c r="G27" s="366">
        <f>'Business as Usual PR'!B39</f>
        <v>1.4573355775196262</v>
      </c>
      <c r="H27" s="367">
        <f t="shared" si="2"/>
        <v>572869.28037775622</v>
      </c>
      <c r="I27" s="363">
        <f>SUM('Business as Usual PR'!K103)</f>
        <v>12.144463145996884</v>
      </c>
      <c r="J27" s="361">
        <f t="shared" si="3"/>
        <v>4773910.6698146351</v>
      </c>
      <c r="K27" s="354"/>
      <c r="L27" s="366">
        <f>'Intermediate Limit PR'!B39</f>
        <v>3.5795955520444322</v>
      </c>
      <c r="M27" s="367">
        <f t="shared" si="4"/>
        <v>1407116.0819619084</v>
      </c>
      <c r="N27" s="363">
        <v>26.250367381659167</v>
      </c>
      <c r="O27" s="361">
        <f t="shared" si="5"/>
        <v>10318851.26772066</v>
      </c>
      <c r="P27" s="354"/>
      <c r="Q27" s="366">
        <f>'Upper Limit  PR'!B39</f>
        <v>29.829962933703602</v>
      </c>
      <c r="R27" s="367">
        <f t="shared" si="6"/>
        <v>11725967.34968257</v>
      </c>
      <c r="S27" s="363">
        <v>0</v>
      </c>
      <c r="T27" s="361">
        <v>0</v>
      </c>
      <c r="U27" s="356"/>
      <c r="V27" s="270"/>
      <c r="W27" s="270"/>
      <c r="X27" s="270"/>
      <c r="Y27" s="357"/>
      <c r="Z27" s="360">
        <v>2037</v>
      </c>
      <c r="AA27" s="370">
        <f>'Nº Cars Projection'!D25</f>
        <v>34854171</v>
      </c>
      <c r="AB27" s="269"/>
      <c r="AC27" s="366">
        <f t="shared" si="7"/>
        <v>1.4573355775196262</v>
      </c>
      <c r="AD27" s="367">
        <f t="shared" si="17"/>
        <v>507942.23423252802</v>
      </c>
      <c r="AE27" s="363">
        <f>SUM('Business as Usual PR'!K103)</f>
        <v>12.144463145996884</v>
      </c>
      <c r="AF27" s="361">
        <f t="shared" si="8"/>
        <v>4232851.9519377332</v>
      </c>
      <c r="AG27" s="354"/>
      <c r="AH27" s="366">
        <f t="shared" si="23"/>
        <v>3.5795955520444322</v>
      </c>
      <c r="AI27" s="367">
        <f t="shared" si="18"/>
        <v>1247638.3548179604</v>
      </c>
      <c r="AJ27" s="363">
        <v>26.250367381659167</v>
      </c>
      <c r="AK27" s="361">
        <f t="shared" si="10"/>
        <v>9149347.9353317078</v>
      </c>
      <c r="AL27" s="354"/>
      <c r="AM27" s="366">
        <f t="shared" si="24"/>
        <v>29.829962933703602</v>
      </c>
      <c r="AN27" s="367">
        <f t="shared" si="19"/>
        <v>10396986.29014967</v>
      </c>
      <c r="AO27" s="363">
        <v>0</v>
      </c>
      <c r="AP27" s="361">
        <v>0</v>
      </c>
      <c r="AQ27" s="356"/>
      <c r="AR27" s="270"/>
      <c r="AS27" s="270"/>
      <c r="AT27" s="357"/>
      <c r="AU27" s="360">
        <f t="shared" si="0"/>
        <v>2037</v>
      </c>
      <c r="AV27" s="370">
        <f>'Nº Cars Projection'!F25</f>
        <v>25400000</v>
      </c>
      <c r="AW27" s="269"/>
      <c r="AX27" s="366">
        <f t="shared" si="12"/>
        <v>1.4573355775196262</v>
      </c>
      <c r="AY27" s="367">
        <f t="shared" si="20"/>
        <v>370163.23668998503</v>
      </c>
      <c r="AZ27" s="363">
        <f>SUM('Business as Usual PR'!K103)</f>
        <v>12.144463145996884</v>
      </c>
      <c r="BA27" s="361">
        <f t="shared" si="13"/>
        <v>3084693.6390832085</v>
      </c>
      <c r="BB27" s="354"/>
      <c r="BC27" s="366">
        <f t="shared" si="14"/>
        <v>3.5795955520444322</v>
      </c>
      <c r="BD27" s="367">
        <f t="shared" si="21"/>
        <v>909217.27021928586</v>
      </c>
      <c r="BE27" s="363">
        <v>26.250367381659167</v>
      </c>
      <c r="BF27" s="361">
        <f t="shared" si="15"/>
        <v>6667593.3149414286</v>
      </c>
      <c r="BG27" s="354"/>
      <c r="BH27" s="366">
        <f t="shared" si="16"/>
        <v>29.829962933703602</v>
      </c>
      <c r="BI27" s="367">
        <f t="shared" si="22"/>
        <v>7576810.5851607146</v>
      </c>
      <c r="BJ27" s="363">
        <v>0</v>
      </c>
      <c r="BK27" s="361">
        <v>0</v>
      </c>
      <c r="BL27" s="331"/>
    </row>
    <row r="28" spans="3:64">
      <c r="C28" s="330"/>
      <c r="D28" s="360">
        <v>2038</v>
      </c>
      <c r="E28" s="370">
        <f>'Nº Cars Projection'!B26</f>
        <v>39712165.125</v>
      </c>
      <c r="F28" s="337"/>
      <c r="G28" s="366">
        <f>'Business as Usual PR'!B40</f>
        <v>1.5653355775196263</v>
      </c>
      <c r="H28" s="367">
        <f t="shared" si="2"/>
        <v>621628.64930496633</v>
      </c>
      <c r="I28" s="363">
        <f>SUM('Business as Usual PR'!K104)</f>
        <v>13.044463145996888</v>
      </c>
      <c r="J28" s="361">
        <f t="shared" si="3"/>
        <v>5180238.7442080537</v>
      </c>
      <c r="K28" s="354"/>
      <c r="L28" s="366">
        <f>'Intermediate Limit PR'!B40</f>
        <v>4.4743561402970604</v>
      </c>
      <c r="M28" s="367">
        <f t="shared" si="4"/>
        <v>1776863.6987153452</v>
      </c>
      <c r="N28" s="363">
        <v>32.811945028845109</v>
      </c>
      <c r="O28" s="361">
        <f t="shared" si="5"/>
        <v>13030333.7905792</v>
      </c>
      <c r="P28" s="354"/>
      <c r="Q28" s="366">
        <f>'Upper Limit  PR'!B40</f>
        <v>37.28630116914217</v>
      </c>
      <c r="R28" s="367">
        <f t="shared" si="6"/>
        <v>14807197.489294546</v>
      </c>
      <c r="S28" s="363">
        <v>0</v>
      </c>
      <c r="T28" s="361">
        <v>0</v>
      </c>
      <c r="U28" s="356"/>
      <c r="V28" s="270"/>
      <c r="W28" s="270"/>
      <c r="X28" s="270"/>
      <c r="Y28" s="357"/>
      <c r="Z28" s="360">
        <v>2038</v>
      </c>
      <c r="AA28" s="370">
        <f>'Nº Cars Projection'!D26</f>
        <v>35035644</v>
      </c>
      <c r="AB28" s="269"/>
      <c r="AC28" s="366">
        <f t="shared" si="7"/>
        <v>1.5653355775196263</v>
      </c>
      <c r="AD28" s="367">
        <f t="shared" si="17"/>
        <v>548425.40034512023</v>
      </c>
      <c r="AE28" s="363">
        <f>SUM('Business as Usual PR'!K104)</f>
        <v>13.044463145996888</v>
      </c>
      <c r="AF28" s="361">
        <f t="shared" si="8"/>
        <v>4570211.6695426693</v>
      </c>
      <c r="AG28" s="354"/>
      <c r="AH28" s="366">
        <f t="shared" si="23"/>
        <v>4.4743561402970604</v>
      </c>
      <c r="AI28" s="367">
        <f t="shared" si="18"/>
        <v>1567619.4886066185</v>
      </c>
      <c r="AJ28" s="363">
        <v>32.811945028845109</v>
      </c>
      <c r="AK28" s="361">
        <f t="shared" si="10"/>
        <v>11495876.249781871</v>
      </c>
      <c r="AL28" s="354"/>
      <c r="AM28" s="366">
        <f t="shared" si="24"/>
        <v>37.28630116914217</v>
      </c>
      <c r="AN28" s="367">
        <f t="shared" si="19"/>
        <v>13063495.73838849</v>
      </c>
      <c r="AO28" s="363">
        <v>0</v>
      </c>
      <c r="AP28" s="361">
        <v>0</v>
      </c>
      <c r="AQ28" s="356"/>
      <c r="AR28" s="270"/>
      <c r="AS28" s="270"/>
      <c r="AT28" s="357"/>
      <c r="AU28" s="360">
        <f t="shared" si="0"/>
        <v>2038</v>
      </c>
      <c r="AV28" s="370">
        <f>'Nº Cars Projection'!F26</f>
        <v>24600000</v>
      </c>
      <c r="AW28" s="269"/>
      <c r="AX28" s="366">
        <f t="shared" si="12"/>
        <v>1.5653355775196263</v>
      </c>
      <c r="AY28" s="367">
        <f t="shared" si="20"/>
        <v>385072.55206982803</v>
      </c>
      <c r="AZ28" s="363">
        <f>SUM('Business as Usual PR'!K104)</f>
        <v>13.044463145996888</v>
      </c>
      <c r="BA28" s="361">
        <f t="shared" si="13"/>
        <v>3208937.9339152342</v>
      </c>
      <c r="BB28" s="354"/>
      <c r="BC28" s="366">
        <f t="shared" si="14"/>
        <v>4.4743561402970604</v>
      </c>
      <c r="BD28" s="367">
        <f t="shared" si="21"/>
        <v>1100691.6105130769</v>
      </c>
      <c r="BE28" s="363">
        <v>32.811945028845109</v>
      </c>
      <c r="BF28" s="361">
        <f t="shared" si="15"/>
        <v>8071738.4770958973</v>
      </c>
      <c r="BG28" s="354"/>
      <c r="BH28" s="366">
        <f t="shared" si="16"/>
        <v>37.28630116914217</v>
      </c>
      <c r="BI28" s="367">
        <f t="shared" si="22"/>
        <v>9172430.0876089744</v>
      </c>
      <c r="BJ28" s="363">
        <v>0</v>
      </c>
      <c r="BK28" s="361">
        <v>0</v>
      </c>
      <c r="BL28" s="331"/>
    </row>
    <row r="29" spans="3:64">
      <c r="C29" s="330"/>
      <c r="D29" s="360">
        <v>2039</v>
      </c>
      <c r="E29" s="370">
        <f>'Nº Cars Projection'!B27</f>
        <v>40114970.8125</v>
      </c>
      <c r="F29" s="337"/>
      <c r="G29" s="366">
        <f>'Business as Usual PR'!B41</f>
        <v>1.6773355775196264</v>
      </c>
      <c r="H29" s="367">
        <f t="shared" si="2"/>
        <v>672862.67734967649</v>
      </c>
      <c r="I29" s="363">
        <f>SUM('Business as Usual PR'!K105)</f>
        <v>13.977796479330221</v>
      </c>
      <c r="J29" s="361">
        <f t="shared" si="3"/>
        <v>5607188.9779139711</v>
      </c>
      <c r="K29" s="354"/>
      <c r="L29" s="366">
        <f>'Intermediate Limit PR'!B41</f>
        <v>5.4480654534421697</v>
      </c>
      <c r="M29" s="367">
        <f t="shared" si="4"/>
        <v>2185489.8664942221</v>
      </c>
      <c r="N29" s="363">
        <v>39.952479991909243</v>
      </c>
      <c r="O29" s="361">
        <f t="shared" si="5"/>
        <v>16026925.687624294</v>
      </c>
      <c r="P29" s="354"/>
      <c r="Q29" s="366">
        <f>'Upper Limit  PR'!B41</f>
        <v>45.400545445351412</v>
      </c>
      <c r="R29" s="367">
        <f t="shared" si="6"/>
        <v>18212415.554118518</v>
      </c>
      <c r="S29" s="363">
        <v>0</v>
      </c>
      <c r="T29" s="361">
        <v>0</v>
      </c>
      <c r="U29" s="356"/>
      <c r="V29" s="270"/>
      <c r="W29" s="270"/>
      <c r="X29" s="270"/>
      <c r="Y29" s="357"/>
      <c r="Z29" s="360">
        <v>2039</v>
      </c>
      <c r="AA29" s="370">
        <f>'Nº Cars Projection'!D27</f>
        <v>35217117</v>
      </c>
      <c r="AB29" s="269"/>
      <c r="AC29" s="366">
        <f t="shared" si="7"/>
        <v>1.6773355775196264</v>
      </c>
      <c r="AD29" s="367">
        <f t="shared" si="17"/>
        <v>590709.23281771259</v>
      </c>
      <c r="AE29" s="363">
        <f>SUM('Business as Usual PR'!K105)</f>
        <v>13.977796479330221</v>
      </c>
      <c r="AF29" s="361">
        <f t="shared" si="8"/>
        <v>4922576.9401476048</v>
      </c>
      <c r="AG29" s="354"/>
      <c r="AH29" s="366">
        <f t="shared" si="23"/>
        <v>5.4480654534421697</v>
      </c>
      <c r="AI29" s="367">
        <f t="shared" si="18"/>
        <v>1918651.5849753094</v>
      </c>
      <c r="AJ29" s="363">
        <v>39.952479991909243</v>
      </c>
      <c r="AK29" s="361">
        <f t="shared" si="10"/>
        <v>14070111.623152267</v>
      </c>
      <c r="AL29" s="354"/>
      <c r="AM29" s="366">
        <f t="shared" si="24"/>
        <v>45.400545445351412</v>
      </c>
      <c r="AN29" s="367">
        <f t="shared" si="19"/>
        <v>15988763.208127579</v>
      </c>
      <c r="AO29" s="363">
        <v>0</v>
      </c>
      <c r="AP29" s="361">
        <v>0</v>
      </c>
      <c r="AQ29" s="356"/>
      <c r="AR29" s="270"/>
      <c r="AS29" s="270"/>
      <c r="AT29" s="357"/>
      <c r="AU29" s="360">
        <f t="shared" si="0"/>
        <v>2039</v>
      </c>
      <c r="AV29" s="370">
        <f>'Nº Cars Projection'!F27</f>
        <v>23800000</v>
      </c>
      <c r="AW29" s="269"/>
      <c r="AX29" s="366">
        <f t="shared" si="12"/>
        <v>1.6773355775196264</v>
      </c>
      <c r="AY29" s="367">
        <f t="shared" si="20"/>
        <v>399205.86744967109</v>
      </c>
      <c r="AZ29" s="363">
        <f>SUM('Business as Usual PR'!K105)</f>
        <v>13.977796479330221</v>
      </c>
      <c r="BA29" s="361">
        <f t="shared" si="13"/>
        <v>3326715.5620805924</v>
      </c>
      <c r="BB29" s="354"/>
      <c r="BC29" s="366">
        <f t="shared" si="14"/>
        <v>5.4480654534421697</v>
      </c>
      <c r="BD29" s="367">
        <f t="shared" si="21"/>
        <v>1296639.5779192364</v>
      </c>
      <c r="BE29" s="363">
        <v>39.952479991909243</v>
      </c>
      <c r="BF29" s="361">
        <f t="shared" si="15"/>
        <v>9508690.2380743995</v>
      </c>
      <c r="BG29" s="354"/>
      <c r="BH29" s="366">
        <f t="shared" si="16"/>
        <v>45.400545445351412</v>
      </c>
      <c r="BI29" s="367">
        <f t="shared" si="22"/>
        <v>10805329.815993637</v>
      </c>
      <c r="BJ29" s="363">
        <v>0</v>
      </c>
      <c r="BK29" s="361">
        <v>0</v>
      </c>
      <c r="BL29" s="331"/>
    </row>
    <row r="30" spans="3:64">
      <c r="C30" s="330"/>
      <c r="D30" s="360">
        <v>2040</v>
      </c>
      <c r="E30" s="370">
        <f>'Nº Cars Projection'!B28</f>
        <v>40517776.5</v>
      </c>
      <c r="F30" s="337"/>
      <c r="G30" s="366">
        <f>'Business as Usual PR'!B42</f>
        <v>1.7933355775196265</v>
      </c>
      <c r="H30" s="367">
        <f t="shared" si="2"/>
        <v>726619.70119438658</v>
      </c>
      <c r="I30" s="363">
        <f>SUM('Business as Usual PR'!K106)</f>
        <v>14.944463145996886</v>
      </c>
      <c r="J30" s="361">
        <f t="shared" si="3"/>
        <v>6055164.1766198874</v>
      </c>
      <c r="K30" s="354"/>
      <c r="L30" s="366">
        <f>'Intermediate Limit PR'!B42</f>
        <v>6.4520050784085825</v>
      </c>
      <c r="M30" s="367">
        <f t="shared" si="4"/>
        <v>2614208.9974382389</v>
      </c>
      <c r="N30" s="363">
        <v>47.314703908329605</v>
      </c>
      <c r="O30" s="361">
        <f t="shared" si="5"/>
        <v>19170865.981213752</v>
      </c>
      <c r="P30" s="354"/>
      <c r="Q30" s="366">
        <f>'Upper Limit  PR'!B42</f>
        <v>53.766708986738188</v>
      </c>
      <c r="R30" s="367">
        <f t="shared" si="6"/>
        <v>21785074.978651993</v>
      </c>
      <c r="S30" s="363">
        <v>0</v>
      </c>
      <c r="T30" s="361">
        <v>0</v>
      </c>
      <c r="U30" s="356"/>
      <c r="V30" s="270"/>
      <c r="W30" s="270"/>
      <c r="X30" s="270"/>
      <c r="Y30" s="357"/>
      <c r="Z30" s="360">
        <v>2040</v>
      </c>
      <c r="AA30" s="370">
        <f>'Nº Cars Projection'!D28</f>
        <v>35398591.594862312</v>
      </c>
      <c r="AB30" s="269"/>
      <c r="AC30" s="366">
        <f t="shared" si="7"/>
        <v>1.7933355775196265</v>
      </c>
      <c r="AD30" s="367">
        <f t="shared" si="17"/>
        <v>634815.53701153805</v>
      </c>
      <c r="AE30" s="363">
        <f>SUM('Business as Usual PR'!K106)</f>
        <v>14.944463145996886</v>
      </c>
      <c r="AF30" s="361">
        <f t="shared" si="8"/>
        <v>5290129.4750961494</v>
      </c>
      <c r="AG30" s="354"/>
      <c r="AH30" s="366">
        <f t="shared" si="23"/>
        <v>6.4520050784085825</v>
      </c>
      <c r="AI30" s="367">
        <f t="shared" si="18"/>
        <v>2283918.9273856296</v>
      </c>
      <c r="AJ30" s="363">
        <v>47.314703908329605</v>
      </c>
      <c r="AK30" s="361">
        <f t="shared" si="10"/>
        <v>16748738.800827954</v>
      </c>
      <c r="AL30" s="354"/>
      <c r="AM30" s="366">
        <f t="shared" si="24"/>
        <v>53.766708986738188</v>
      </c>
      <c r="AN30" s="367">
        <f t="shared" si="19"/>
        <v>19032657.728213582</v>
      </c>
      <c r="AO30" s="363">
        <v>0</v>
      </c>
      <c r="AP30" s="361">
        <v>0</v>
      </c>
      <c r="AQ30" s="356"/>
      <c r="AR30" s="270"/>
      <c r="AS30" s="270"/>
      <c r="AT30" s="357"/>
      <c r="AU30" s="360">
        <f t="shared" si="0"/>
        <v>2040</v>
      </c>
      <c r="AV30" s="370">
        <f>'Nº Cars Projection'!F28</f>
        <v>23000000</v>
      </c>
      <c r="AW30" s="269"/>
      <c r="AX30" s="366">
        <f t="shared" si="12"/>
        <v>1.7933355775196265</v>
      </c>
      <c r="AY30" s="367">
        <f t="shared" si="20"/>
        <v>412467.18282951415</v>
      </c>
      <c r="AZ30" s="363">
        <f>SUM('Business as Usual PR'!K106)</f>
        <v>14.944463145996886</v>
      </c>
      <c r="BA30" s="361">
        <f t="shared" si="13"/>
        <v>3437226.5235792841</v>
      </c>
      <c r="BB30" s="354"/>
      <c r="BC30" s="366">
        <f t="shared" si="14"/>
        <v>6.4520050784085825</v>
      </c>
      <c r="BD30" s="367">
        <f t="shared" si="21"/>
        <v>1483961.1680339738</v>
      </c>
      <c r="BE30" s="363">
        <v>47.314703908329605</v>
      </c>
      <c r="BF30" s="361">
        <f t="shared" si="15"/>
        <v>10882381.898915809</v>
      </c>
      <c r="BG30" s="354"/>
      <c r="BH30" s="366">
        <f t="shared" si="16"/>
        <v>53.766708986738188</v>
      </c>
      <c r="BI30" s="367">
        <f t="shared" si="22"/>
        <v>12366343.066949783</v>
      </c>
      <c r="BJ30" s="363">
        <v>0</v>
      </c>
      <c r="BK30" s="361">
        <v>0</v>
      </c>
      <c r="BL30" s="331"/>
    </row>
    <row r="31" spans="3:64">
      <c r="C31" s="330"/>
      <c r="D31" s="360">
        <v>2041</v>
      </c>
      <c r="E31" s="370">
        <f>'Nº Cars Projection'!B29</f>
        <v>40920582.1875</v>
      </c>
      <c r="F31" s="268"/>
      <c r="G31" s="366">
        <f>'Business as Usual PR'!B43</f>
        <v>1.9133355775196264</v>
      </c>
      <c r="H31" s="367">
        <f t="shared" si="2"/>
        <v>782948.05752159643</v>
      </c>
      <c r="I31" s="363">
        <f>SUM('Business as Usual PR'!K107)</f>
        <v>15.944463145996886</v>
      </c>
      <c r="J31" s="361">
        <f t="shared" si="3"/>
        <v>6524567.1460133037</v>
      </c>
      <c r="K31" s="268"/>
      <c r="L31" s="366">
        <f>'Intermediate Limit PR'!B43</f>
        <v>7.4311200138388758</v>
      </c>
      <c r="M31" s="367">
        <f t="shared" si="4"/>
        <v>3040857.5727146985</v>
      </c>
      <c r="N31" s="363">
        <v>54.494880101485087</v>
      </c>
      <c r="O31" s="361">
        <f t="shared" si="5"/>
        <v>22299622.199907791</v>
      </c>
      <c r="P31" s="268"/>
      <c r="Q31" s="366">
        <f>'Upper Limit  PR'!B43</f>
        <v>61.926000115323966</v>
      </c>
      <c r="R31" s="367">
        <f t="shared" si="6"/>
        <v>25340479.772622488</v>
      </c>
      <c r="S31" s="363">
        <v>0</v>
      </c>
      <c r="T31" s="361">
        <v>0</v>
      </c>
      <c r="U31" s="356"/>
      <c r="V31" s="270"/>
      <c r="W31" s="270"/>
      <c r="X31" s="270"/>
      <c r="Y31" s="357"/>
      <c r="Z31" s="360">
        <v>2041</v>
      </c>
      <c r="AA31" s="370">
        <f>'Nº Cars Projection'!D29</f>
        <v>35588097</v>
      </c>
      <c r="AB31" s="269"/>
      <c r="AC31" s="366">
        <f t="shared" si="7"/>
        <v>1.9133355775196264</v>
      </c>
      <c r="AD31" s="367">
        <f t="shared" si="17"/>
        <v>680919.72126319481</v>
      </c>
      <c r="AE31" s="363">
        <f>SUM('Business as Usual PR'!K107)</f>
        <v>15.944463145996886</v>
      </c>
      <c r="AF31" s="361">
        <f t="shared" si="8"/>
        <v>5674331.0105266236</v>
      </c>
      <c r="AG31" s="268"/>
      <c r="AH31" s="366">
        <f t="shared" si="23"/>
        <v>7.4311200138388758</v>
      </c>
      <c r="AI31" s="367">
        <f t="shared" si="18"/>
        <v>2644594.1987113925</v>
      </c>
      <c r="AJ31" s="363">
        <v>54.494880101485087</v>
      </c>
      <c r="AK31" s="361">
        <f t="shared" si="10"/>
        <v>19393690.79055021</v>
      </c>
      <c r="AL31" s="268"/>
      <c r="AM31" s="366">
        <f t="shared" si="24"/>
        <v>61.926000115323966</v>
      </c>
      <c r="AN31" s="367">
        <f t="shared" si="19"/>
        <v>22038284.989261605</v>
      </c>
      <c r="AO31" s="363">
        <v>0</v>
      </c>
      <c r="AP31" s="361">
        <v>0</v>
      </c>
      <c r="AQ31" s="356"/>
      <c r="AR31" s="270"/>
      <c r="AS31" s="270"/>
      <c r="AT31" s="357"/>
      <c r="AU31" s="360">
        <f t="shared" si="0"/>
        <v>2041</v>
      </c>
      <c r="AV31" s="370">
        <f>'Nº Cars Projection'!F29</f>
        <v>23220000</v>
      </c>
      <c r="AW31" s="269"/>
      <c r="AX31" s="366">
        <f t="shared" si="12"/>
        <v>1.9133355775196264</v>
      </c>
      <c r="AY31" s="367">
        <f t="shared" si="20"/>
        <v>444276.52110005723</v>
      </c>
      <c r="AZ31" s="363">
        <f>SUM('Business as Usual PR'!K107)</f>
        <v>15.944463145996886</v>
      </c>
      <c r="BA31" s="361">
        <f t="shared" si="13"/>
        <v>3702304.3425004766</v>
      </c>
      <c r="BB31" s="268"/>
      <c r="BC31" s="366">
        <f t="shared" si="14"/>
        <v>7.4311200138388758</v>
      </c>
      <c r="BD31" s="367">
        <f t="shared" si="21"/>
        <v>1725506.0672133868</v>
      </c>
      <c r="BE31" s="363">
        <v>54.494880101485087</v>
      </c>
      <c r="BF31" s="361">
        <f t="shared" si="15"/>
        <v>12653711.159564838</v>
      </c>
      <c r="BG31" s="268"/>
      <c r="BH31" s="366">
        <f t="shared" si="16"/>
        <v>61.926000115323966</v>
      </c>
      <c r="BI31" s="367">
        <f t="shared" si="22"/>
        <v>14379217.226778224</v>
      </c>
      <c r="BJ31" s="363">
        <v>0</v>
      </c>
      <c r="BK31" s="361">
        <v>0</v>
      </c>
      <c r="BL31" s="331"/>
    </row>
    <row r="32" spans="3:64">
      <c r="C32" s="330"/>
      <c r="D32" s="360">
        <v>2042</v>
      </c>
      <c r="E32" s="370">
        <f>'Nº Cars Projection'!B30</f>
        <v>41323387.875</v>
      </c>
      <c r="F32" s="268"/>
      <c r="G32" s="366">
        <f>'Business as Usual PR'!B44</f>
        <v>2.0373355775196265</v>
      </c>
      <c r="H32" s="367">
        <f t="shared" si="2"/>
        <v>841896.08301380649</v>
      </c>
      <c r="I32" s="363">
        <f>SUM('Business as Usual PR'!K108)</f>
        <v>16.97779647933022</v>
      </c>
      <c r="J32" s="361">
        <f t="shared" si="3"/>
        <v>7015800.6917817211</v>
      </c>
      <c r="K32" s="268"/>
      <c r="L32" s="366">
        <f>'Intermediate Limit PR'!B44</f>
        <v>8.3355789751184322</v>
      </c>
      <c r="M32" s="367">
        <f t="shared" si="4"/>
        <v>3444543.6315151397</v>
      </c>
      <c r="N32" s="363">
        <v>61.127579150868506</v>
      </c>
      <c r="O32" s="361">
        <f t="shared" si="5"/>
        <v>25259986.631111026</v>
      </c>
      <c r="P32" s="269"/>
      <c r="Q32" s="366">
        <f>'Upper Limit  PR'!B44</f>
        <v>69.463158125986936</v>
      </c>
      <c r="R32" s="367">
        <f t="shared" si="6"/>
        <v>28704530.262626164</v>
      </c>
      <c r="S32" s="363">
        <v>0</v>
      </c>
      <c r="T32" s="361">
        <v>0</v>
      </c>
      <c r="U32" s="356"/>
      <c r="V32" s="270"/>
      <c r="W32" s="270"/>
      <c r="X32" s="270"/>
      <c r="Y32" s="357"/>
      <c r="Z32" s="360">
        <v>2042</v>
      </c>
      <c r="AA32" s="370">
        <f>'Nº Cars Projection'!D30</f>
        <v>35777603</v>
      </c>
      <c r="AB32" s="269"/>
      <c r="AC32" s="366">
        <f t="shared" si="7"/>
        <v>2.0373355775196265</v>
      </c>
      <c r="AD32" s="367">
        <f t="shared" si="17"/>
        <v>728909.83470272913</v>
      </c>
      <c r="AE32" s="363">
        <f>SUM('Business as Usual PR'!K108)</f>
        <v>16.97779647933022</v>
      </c>
      <c r="AF32" s="361">
        <f t="shared" si="8"/>
        <v>6074248.6225227425</v>
      </c>
      <c r="AG32" s="268"/>
      <c r="AH32" s="366">
        <f t="shared" si="23"/>
        <v>8.3355789751184322</v>
      </c>
      <c r="AI32" s="367">
        <f t="shared" si="18"/>
        <v>2982270.3534693415</v>
      </c>
      <c r="AJ32" s="363">
        <v>61.127579150868506</v>
      </c>
      <c r="AK32" s="361">
        <f t="shared" si="10"/>
        <v>21869982.592108507</v>
      </c>
      <c r="AL32" s="269"/>
      <c r="AM32" s="366">
        <f t="shared" si="24"/>
        <v>69.463158125986936</v>
      </c>
      <c r="AN32" s="367">
        <f t="shared" si="19"/>
        <v>24852252.945577845</v>
      </c>
      <c r="AO32" s="363">
        <v>0</v>
      </c>
      <c r="AP32" s="361">
        <v>0</v>
      </c>
      <c r="AQ32" s="356"/>
      <c r="AR32" s="270"/>
      <c r="AS32" s="270"/>
      <c r="AT32" s="357"/>
      <c r="AU32" s="360">
        <f t="shared" si="0"/>
        <v>2042</v>
      </c>
      <c r="AV32" s="370">
        <f>'Nº Cars Projection'!F30</f>
        <v>23440000</v>
      </c>
      <c r="AW32" s="269"/>
      <c r="AX32" s="366">
        <f t="shared" si="12"/>
        <v>2.0373355775196265</v>
      </c>
      <c r="AY32" s="367">
        <f t="shared" si="20"/>
        <v>477551.45937060041</v>
      </c>
      <c r="AZ32" s="363">
        <f>SUM('Business as Usual PR'!K108)</f>
        <v>16.97779647933022</v>
      </c>
      <c r="BA32" s="361">
        <f t="shared" si="13"/>
        <v>3979595.4947550036</v>
      </c>
      <c r="BB32" s="268"/>
      <c r="BC32" s="366">
        <f t="shared" si="14"/>
        <v>8.3355789751184322</v>
      </c>
      <c r="BD32" s="367">
        <f t="shared" si="21"/>
        <v>1953859.7117677606</v>
      </c>
      <c r="BE32" s="363">
        <v>61.127579150868506</v>
      </c>
      <c r="BF32" s="361">
        <f t="shared" si="15"/>
        <v>14328304.552963579</v>
      </c>
      <c r="BG32" s="269"/>
      <c r="BH32" s="366">
        <f t="shared" si="16"/>
        <v>69.463158125986936</v>
      </c>
      <c r="BI32" s="367">
        <f t="shared" si="22"/>
        <v>16282164.264731338</v>
      </c>
      <c r="BJ32" s="363">
        <v>0</v>
      </c>
      <c r="BK32" s="361">
        <v>0</v>
      </c>
      <c r="BL32" s="331"/>
    </row>
    <row r="33" spans="3:64">
      <c r="C33" s="330"/>
      <c r="D33" s="360">
        <v>2043</v>
      </c>
      <c r="E33" s="370">
        <f>'Nº Cars Projection'!B31</f>
        <v>41726193.5625</v>
      </c>
      <c r="F33" s="268"/>
      <c r="G33" s="366">
        <f>'Business as Usual PR'!B45</f>
        <v>2.1653355775196266</v>
      </c>
      <c r="H33" s="367">
        <f t="shared" si="2"/>
        <v>903512.11435351672</v>
      </c>
      <c r="I33" s="363">
        <f>SUM('Business as Usual PR'!K109)</f>
        <v>18.04446314599689</v>
      </c>
      <c r="J33" s="361">
        <f t="shared" si="3"/>
        <v>7529267.6196126388</v>
      </c>
      <c r="K33" s="268"/>
      <c r="L33" s="366">
        <f>'Intermediate Limit PR'!B45</f>
        <v>9.1301377764120879</v>
      </c>
      <c r="M33" s="367">
        <f t="shared" si="4"/>
        <v>3809658.9611086412</v>
      </c>
      <c r="N33" s="363">
        <v>66.954343693688642</v>
      </c>
      <c r="O33" s="361">
        <f t="shared" si="5"/>
        <v>27937499.048130035</v>
      </c>
      <c r="P33" s="269"/>
      <c r="Q33" s="366">
        <f>'Upper Limit  PR'!B45</f>
        <v>76.084481470100727</v>
      </c>
      <c r="R33" s="367">
        <f t="shared" si="6"/>
        <v>31747158.009238675</v>
      </c>
      <c r="S33" s="363">
        <v>0</v>
      </c>
      <c r="T33" s="361">
        <v>0</v>
      </c>
      <c r="U33" s="356"/>
      <c r="V33" s="270"/>
      <c r="W33" s="270"/>
      <c r="X33" s="270"/>
      <c r="Y33" s="357"/>
      <c r="Z33" s="360">
        <v>2043</v>
      </c>
      <c r="AA33" s="370">
        <f>'Nº Cars Projection'!D31</f>
        <v>35967109</v>
      </c>
      <c r="AB33" s="269"/>
      <c r="AC33" s="366">
        <f t="shared" si="7"/>
        <v>2.1653355775196266</v>
      </c>
      <c r="AD33" s="367">
        <f t="shared" si="17"/>
        <v>778808.60738226364</v>
      </c>
      <c r="AE33" s="363">
        <f>SUM('Business as Usual PR'!K109)</f>
        <v>18.04446314599689</v>
      </c>
      <c r="AF33" s="361">
        <f t="shared" si="8"/>
        <v>6490071.7281855308</v>
      </c>
      <c r="AG33" s="268"/>
      <c r="AH33" s="366">
        <f t="shared" si="23"/>
        <v>9.1301377764120879</v>
      </c>
      <c r="AI33" s="367">
        <f t="shared" si="18"/>
        <v>3283846.6058923118</v>
      </c>
      <c r="AJ33" s="363">
        <v>66.954343693688642</v>
      </c>
      <c r="AK33" s="361">
        <f t="shared" si="10"/>
        <v>24081541.776543621</v>
      </c>
      <c r="AL33" s="269"/>
      <c r="AM33" s="366">
        <f t="shared" si="24"/>
        <v>76.084481470100727</v>
      </c>
      <c r="AN33" s="367">
        <f t="shared" si="19"/>
        <v>27365388.382435933</v>
      </c>
      <c r="AO33" s="363">
        <v>0</v>
      </c>
      <c r="AP33" s="361">
        <v>0</v>
      </c>
      <c r="AQ33" s="356"/>
      <c r="AR33" s="270"/>
      <c r="AS33" s="270"/>
      <c r="AT33" s="357"/>
      <c r="AU33" s="360">
        <f t="shared" si="0"/>
        <v>2043</v>
      </c>
      <c r="AV33" s="370">
        <f>'Nº Cars Projection'!F31</f>
        <v>23660000</v>
      </c>
      <c r="AW33" s="269"/>
      <c r="AX33" s="366">
        <f t="shared" si="12"/>
        <v>2.1653355775196266</v>
      </c>
      <c r="AY33" s="367">
        <f t="shared" si="20"/>
        <v>512318.3976411437</v>
      </c>
      <c r="AZ33" s="363">
        <f>SUM('Business as Usual PR'!K109)</f>
        <v>18.04446314599689</v>
      </c>
      <c r="BA33" s="361">
        <f t="shared" si="13"/>
        <v>4269319.9803428641</v>
      </c>
      <c r="BB33" s="268"/>
      <c r="BC33" s="366">
        <f t="shared" si="14"/>
        <v>9.1301377764120879</v>
      </c>
      <c r="BD33" s="367">
        <f t="shared" si="21"/>
        <v>2160190.5978990998</v>
      </c>
      <c r="BE33" s="363">
        <v>66.954343693688642</v>
      </c>
      <c r="BF33" s="361">
        <f t="shared" si="15"/>
        <v>15841397.717926733</v>
      </c>
      <c r="BG33" s="269"/>
      <c r="BH33" s="366">
        <f t="shared" si="16"/>
        <v>76.084481470100727</v>
      </c>
      <c r="BI33" s="367">
        <f t="shared" si="22"/>
        <v>18001588.315825831</v>
      </c>
      <c r="BJ33" s="363">
        <v>0</v>
      </c>
      <c r="BK33" s="361">
        <v>0</v>
      </c>
      <c r="BL33" s="331"/>
    </row>
    <row r="34" spans="3:64">
      <c r="C34" s="330"/>
      <c r="D34" s="360">
        <v>2044</v>
      </c>
      <c r="E34" s="370">
        <f>'Nº Cars Projection'!B32</f>
        <v>42128999.25</v>
      </c>
      <c r="F34" s="268"/>
      <c r="G34" s="366">
        <f>'Business as Usual PR'!B46</f>
        <v>2.2973355775196267</v>
      </c>
      <c r="H34" s="367">
        <f t="shared" si="2"/>
        <v>967844.48822322662</v>
      </c>
      <c r="I34" s="363">
        <f>SUM('Business as Usual PR'!K110)</f>
        <v>19.144463145996891</v>
      </c>
      <c r="J34" s="361">
        <f t="shared" si="3"/>
        <v>8065370.7351935562</v>
      </c>
      <c r="K34" s="268"/>
      <c r="L34" s="366">
        <f>'Intermediate Limit PR'!B46</f>
        <v>9.7979256565417341</v>
      </c>
      <c r="M34" s="367">
        <f t="shared" si="4"/>
        <v>4127768.0263600247</v>
      </c>
      <c r="N34" s="363">
        <v>71.851454814639382</v>
      </c>
      <c r="O34" s="361">
        <f t="shared" si="5"/>
        <v>30270298.859973516</v>
      </c>
      <c r="P34" s="269"/>
      <c r="Q34" s="366">
        <f>'Upper Limit  PR'!B46</f>
        <v>81.649380471181118</v>
      </c>
      <c r="R34" s="367">
        <f t="shared" si="6"/>
        <v>34398066.88633354</v>
      </c>
      <c r="S34" s="363">
        <v>0</v>
      </c>
      <c r="T34" s="361">
        <v>0</v>
      </c>
      <c r="U34" s="356"/>
      <c r="V34" s="270"/>
      <c r="W34" s="270"/>
      <c r="X34" s="270"/>
      <c r="Y34" s="357"/>
      <c r="Z34" s="360">
        <v>2044</v>
      </c>
      <c r="AA34" s="370">
        <f>'Nº Cars Projection'!D32</f>
        <v>36156615</v>
      </c>
      <c r="AB34" s="269"/>
      <c r="AC34" s="366">
        <f t="shared" si="7"/>
        <v>2.2973355775196267</v>
      </c>
      <c r="AD34" s="367">
        <f t="shared" si="17"/>
        <v>830638.78002179798</v>
      </c>
      <c r="AE34" s="363">
        <f>SUM('Business as Usual PR'!K110)</f>
        <v>19.144463145996891</v>
      </c>
      <c r="AF34" s="361">
        <f t="shared" si="8"/>
        <v>6921989.8335149838</v>
      </c>
      <c r="AG34" s="268"/>
      <c r="AH34" s="366">
        <f t="shared" si="23"/>
        <v>9.7979256565417341</v>
      </c>
      <c r="AI34" s="367">
        <f t="shared" si="18"/>
        <v>3542598.2576220171</v>
      </c>
      <c r="AJ34" s="363">
        <v>71.851454814639382</v>
      </c>
      <c r="AK34" s="361">
        <f t="shared" si="10"/>
        <v>25979053.889228124</v>
      </c>
      <c r="AL34" s="269"/>
      <c r="AM34" s="366">
        <f t="shared" si="24"/>
        <v>81.649380471181118</v>
      </c>
      <c r="AN34" s="367">
        <f t="shared" si="19"/>
        <v>29521652.146850143</v>
      </c>
      <c r="AO34" s="363">
        <v>0</v>
      </c>
      <c r="AP34" s="361">
        <v>0</v>
      </c>
      <c r="AQ34" s="356"/>
      <c r="AR34" s="270"/>
      <c r="AS34" s="270"/>
      <c r="AT34" s="357"/>
      <c r="AU34" s="360">
        <f t="shared" si="0"/>
        <v>2044</v>
      </c>
      <c r="AV34" s="370">
        <f>'Nº Cars Projection'!F32</f>
        <v>23880000</v>
      </c>
      <c r="AW34" s="269"/>
      <c r="AX34" s="366">
        <f t="shared" si="12"/>
        <v>2.2973355775196267</v>
      </c>
      <c r="AY34" s="367">
        <f t="shared" si="20"/>
        <v>548603.73591168679</v>
      </c>
      <c r="AZ34" s="363">
        <f>SUM('Business as Usual PR'!K110)</f>
        <v>19.144463145996891</v>
      </c>
      <c r="BA34" s="361">
        <f t="shared" si="13"/>
        <v>4571697.7992640575</v>
      </c>
      <c r="BB34" s="268"/>
      <c r="BC34" s="366">
        <f t="shared" si="14"/>
        <v>9.7979256565417341</v>
      </c>
      <c r="BD34" s="367">
        <f t="shared" si="21"/>
        <v>2339744.6467821659</v>
      </c>
      <c r="BE34" s="363">
        <v>71.851454814639382</v>
      </c>
      <c r="BF34" s="361">
        <f t="shared" si="15"/>
        <v>17158127.409735885</v>
      </c>
      <c r="BG34" s="269"/>
      <c r="BH34" s="366">
        <f t="shared" si="16"/>
        <v>81.649380471181118</v>
      </c>
      <c r="BI34" s="367">
        <f t="shared" si="22"/>
        <v>19497872.056518052</v>
      </c>
      <c r="BJ34" s="363">
        <v>0</v>
      </c>
      <c r="BK34" s="361">
        <v>0</v>
      </c>
      <c r="BL34" s="331"/>
    </row>
    <row r="35" spans="3:64">
      <c r="C35" s="330"/>
      <c r="D35" s="360">
        <v>2045</v>
      </c>
      <c r="E35" s="370">
        <f>'Nº Cars Projection'!B33</f>
        <v>42531804.9375</v>
      </c>
      <c r="F35" s="268"/>
      <c r="G35" s="366">
        <f>'Business as Usual PR'!B47</f>
        <v>2.4333355775196268</v>
      </c>
      <c r="H35" s="367">
        <f t="shared" si="2"/>
        <v>1034941.5413054369</v>
      </c>
      <c r="I35" s="363">
        <f>SUM('Business as Usual PR'!K111)</f>
        <v>20.277796479330224</v>
      </c>
      <c r="J35" s="361">
        <f t="shared" si="3"/>
        <v>8624512.8442119732</v>
      </c>
      <c r="K35" s="268"/>
      <c r="L35" s="366">
        <f>'Intermediate Limit PR'!B47</f>
        <v>10.338601699082401</v>
      </c>
      <c r="M35" s="367">
        <f t="shared" si="4"/>
        <v>4397193.9079187876</v>
      </c>
      <c r="N35" s="363">
        <v>75.816412459937609</v>
      </c>
      <c r="O35" s="361">
        <f t="shared" si="5"/>
        <v>32246088.658071108</v>
      </c>
      <c r="P35" s="269"/>
      <c r="Q35" s="366">
        <f>'Upper Limit  PR'!B47</f>
        <v>86.155014159020013</v>
      </c>
      <c r="R35" s="367">
        <f t="shared" si="6"/>
        <v>36643282.565989897</v>
      </c>
      <c r="S35" s="363">
        <v>0</v>
      </c>
      <c r="T35" s="361">
        <v>0</v>
      </c>
      <c r="U35" s="356"/>
      <c r="V35" s="270"/>
      <c r="W35" s="270"/>
      <c r="X35" s="270"/>
      <c r="Y35" s="357"/>
      <c r="Z35" s="360">
        <v>2045</v>
      </c>
      <c r="AA35" s="370">
        <f>'Nº Cars Projection'!D33</f>
        <v>36346121</v>
      </c>
      <c r="AB35" s="269"/>
      <c r="AC35" s="366">
        <f t="shared" si="7"/>
        <v>2.4333355775196268</v>
      </c>
      <c r="AD35" s="367">
        <f t="shared" si="17"/>
        <v>884423.09334133239</v>
      </c>
      <c r="AE35" s="363">
        <f>SUM('Business as Usual PR'!K111)</f>
        <v>20.277796479330224</v>
      </c>
      <c r="AF35" s="361">
        <f t="shared" si="8"/>
        <v>7370192.4445111034</v>
      </c>
      <c r="AG35" s="268"/>
      <c r="AH35" s="366">
        <f t="shared" si="23"/>
        <v>10.338601699082401</v>
      </c>
      <c r="AI35" s="367">
        <f t="shared" si="18"/>
        <v>3757680.6832565456</v>
      </c>
      <c r="AJ35" s="363">
        <v>75.816412459937609</v>
      </c>
      <c r="AK35" s="361">
        <f t="shared" si="10"/>
        <v>27556325.010547999</v>
      </c>
      <c r="AL35" s="269"/>
      <c r="AM35" s="366">
        <f t="shared" si="24"/>
        <v>86.155014159020013</v>
      </c>
      <c r="AN35" s="367">
        <f t="shared" si="19"/>
        <v>31314005.693804547</v>
      </c>
      <c r="AO35" s="363">
        <v>0</v>
      </c>
      <c r="AP35" s="361">
        <v>0</v>
      </c>
      <c r="AQ35" s="356"/>
      <c r="AR35" s="270"/>
      <c r="AS35" s="270"/>
      <c r="AT35" s="357"/>
      <c r="AU35" s="360">
        <f t="shared" si="0"/>
        <v>2045</v>
      </c>
      <c r="AV35" s="370">
        <f>'Nº Cars Projection'!F33</f>
        <v>24100000</v>
      </c>
      <c r="AW35" s="269"/>
      <c r="AX35" s="366">
        <f t="shared" si="12"/>
        <v>2.4333355775196268</v>
      </c>
      <c r="AY35" s="367">
        <f t="shared" si="20"/>
        <v>586433.87418223009</v>
      </c>
      <c r="AZ35" s="363">
        <f>SUM('Business as Usual PR'!K111)</f>
        <v>20.277796479330224</v>
      </c>
      <c r="BA35" s="361">
        <f t="shared" si="13"/>
        <v>4886948.951518584</v>
      </c>
      <c r="BB35" s="268"/>
      <c r="BC35" s="366">
        <f t="shared" si="14"/>
        <v>10.338601699082401</v>
      </c>
      <c r="BD35" s="367">
        <f t="shared" si="21"/>
        <v>2491603.0094788587</v>
      </c>
      <c r="BE35" s="363">
        <v>75.816412459937609</v>
      </c>
      <c r="BF35" s="361">
        <f t="shared" si="15"/>
        <v>18271755.402844962</v>
      </c>
      <c r="BG35" s="269"/>
      <c r="BH35" s="366">
        <f t="shared" si="16"/>
        <v>86.155014159020013</v>
      </c>
      <c r="BI35" s="367">
        <f t="shared" si="22"/>
        <v>20763358.412323825</v>
      </c>
      <c r="BJ35" s="363">
        <v>0</v>
      </c>
      <c r="BK35" s="361">
        <v>0</v>
      </c>
      <c r="BL35" s="331"/>
    </row>
    <row r="36" spans="3:64">
      <c r="C36" s="330"/>
      <c r="D36" s="360">
        <v>2046</v>
      </c>
      <c r="E36" s="370">
        <f>'Nº Cars Projection'!B34</f>
        <v>42934610.625</v>
      </c>
      <c r="F36" s="268"/>
      <c r="G36" s="366">
        <f>'Business as Usual PR'!B48</f>
        <v>2.5733355775196269</v>
      </c>
      <c r="H36" s="367">
        <f t="shared" si="2"/>
        <v>1104851.6102826467</v>
      </c>
      <c r="I36" s="363">
        <f>SUM('Business as Usual PR'!K112)</f>
        <v>21.444463145996895</v>
      </c>
      <c r="J36" s="361">
        <f t="shared" si="3"/>
        <v>9207096.7523553912</v>
      </c>
      <c r="K36" s="268"/>
      <c r="L36" s="366">
        <f>'Intermediate Limit PR'!B48</f>
        <v>10.763281704551577</v>
      </c>
      <c r="M36" s="367">
        <f t="shared" si="4"/>
        <v>4621173.0903210826</v>
      </c>
      <c r="N36" s="363">
        <v>78.930732500044911</v>
      </c>
      <c r="O36" s="361">
        <f t="shared" si="5"/>
        <v>33888602.662354611</v>
      </c>
      <c r="P36" s="269"/>
      <c r="Q36" s="366">
        <f>'Upper Limit  PR'!B48</f>
        <v>89.694014204596485</v>
      </c>
      <c r="R36" s="367">
        <f t="shared" si="6"/>
        <v>38509775.75267569</v>
      </c>
      <c r="S36" s="363">
        <v>0</v>
      </c>
      <c r="T36" s="361">
        <v>0</v>
      </c>
      <c r="U36" s="356"/>
      <c r="V36" s="270"/>
      <c r="W36" s="270"/>
      <c r="X36" s="270"/>
      <c r="Y36" s="357"/>
      <c r="Z36" s="360">
        <v>2046</v>
      </c>
      <c r="AA36" s="370">
        <f>'Nº Cars Projection'!D34</f>
        <v>36535627</v>
      </c>
      <c r="AB36" s="269"/>
      <c r="AC36" s="366">
        <f t="shared" si="7"/>
        <v>2.5733355775196269</v>
      </c>
      <c r="AD36" s="367">
        <f t="shared" si="17"/>
        <v>940184.28806086665</v>
      </c>
      <c r="AE36" s="363">
        <f>SUM('Business as Usual PR'!K112)</f>
        <v>21.444463145996895</v>
      </c>
      <c r="AF36" s="361">
        <f t="shared" si="8"/>
        <v>7834869.0671738908</v>
      </c>
      <c r="AG36" s="268"/>
      <c r="AH36" s="366">
        <f t="shared" si="23"/>
        <v>10.763281704551577</v>
      </c>
      <c r="AI36" s="367">
        <f t="shared" si="18"/>
        <v>3932432.4565342064</v>
      </c>
      <c r="AJ36" s="363">
        <v>78.930732500044911</v>
      </c>
      <c r="AK36" s="361">
        <f t="shared" si="10"/>
        <v>28837838.014584184</v>
      </c>
      <c r="AL36" s="269"/>
      <c r="AM36" s="366">
        <f t="shared" si="24"/>
        <v>89.694014204596485</v>
      </c>
      <c r="AN36" s="367">
        <f t="shared" si="19"/>
        <v>32770270.471118387</v>
      </c>
      <c r="AO36" s="363">
        <v>0</v>
      </c>
      <c r="AP36" s="361">
        <v>0</v>
      </c>
      <c r="AQ36" s="356"/>
      <c r="AR36" s="270"/>
      <c r="AS36" s="270"/>
      <c r="AT36" s="357"/>
      <c r="AU36" s="360">
        <f t="shared" si="0"/>
        <v>2046</v>
      </c>
      <c r="AV36" s="370">
        <f>'Nº Cars Projection'!F34</f>
        <v>24320000</v>
      </c>
      <c r="AW36" s="269"/>
      <c r="AX36" s="366">
        <f t="shared" si="12"/>
        <v>2.5733355775196269</v>
      </c>
      <c r="AY36" s="367">
        <f t="shared" si="20"/>
        <v>625835.21245277324</v>
      </c>
      <c r="AZ36" s="363">
        <f>SUM('Business as Usual PR'!K112)</f>
        <v>21.444463145996895</v>
      </c>
      <c r="BA36" s="361">
        <f t="shared" si="13"/>
        <v>5215293.4371064445</v>
      </c>
      <c r="BB36" s="268"/>
      <c r="BC36" s="366">
        <f t="shared" si="14"/>
        <v>10.763281704551577</v>
      </c>
      <c r="BD36" s="367">
        <f t="shared" si="21"/>
        <v>2617630.1105469437</v>
      </c>
      <c r="BE36" s="363">
        <v>78.930732500044911</v>
      </c>
      <c r="BF36" s="361">
        <f t="shared" si="15"/>
        <v>19195954.144010924</v>
      </c>
      <c r="BG36" s="269"/>
      <c r="BH36" s="366">
        <f t="shared" si="16"/>
        <v>89.694014204596485</v>
      </c>
      <c r="BI36" s="367">
        <f t="shared" si="22"/>
        <v>21813584.254557867</v>
      </c>
      <c r="BJ36" s="363">
        <v>0</v>
      </c>
      <c r="BK36" s="361">
        <v>0</v>
      </c>
      <c r="BL36" s="331"/>
    </row>
    <row r="37" spans="3:64">
      <c r="C37" s="330"/>
      <c r="D37" s="360">
        <v>2047</v>
      </c>
      <c r="E37" s="370">
        <f>'Nº Cars Projection'!B35</f>
        <v>43337416.3125</v>
      </c>
      <c r="F37" s="268"/>
      <c r="G37" s="366">
        <f>'Business as Usual PR'!B49</f>
        <v>2.7173355775196271</v>
      </c>
      <c r="H37" s="367">
        <f t="shared" si="2"/>
        <v>1177623.031837357</v>
      </c>
      <c r="I37" s="363">
        <f>SUM('Business as Usual PR'!K113)</f>
        <v>22.644463145996891</v>
      </c>
      <c r="J37" s="361">
        <f t="shared" si="3"/>
        <v>9813525.2653113082</v>
      </c>
      <c r="K37" s="268"/>
      <c r="L37" s="366">
        <f>'Intermediate Limit PR'!B49</f>
        <v>11.088972463196814</v>
      </c>
      <c r="M37" s="367">
        <f t="shared" si="4"/>
        <v>4805674.1611540895</v>
      </c>
      <c r="N37" s="363">
        <v>81.31913139677664</v>
      </c>
      <c r="O37" s="361">
        <f t="shared" si="5"/>
        <v>35241610.515129991</v>
      </c>
      <c r="P37" s="269"/>
      <c r="Q37" s="366">
        <f>'Upper Limit  PR'!B49</f>
        <v>92.408103859973451</v>
      </c>
      <c r="R37" s="367">
        <f t="shared" si="6"/>
        <v>40047284.676284082</v>
      </c>
      <c r="S37" s="363">
        <v>0</v>
      </c>
      <c r="T37" s="361">
        <v>0</v>
      </c>
      <c r="U37" s="356"/>
      <c r="V37" s="270"/>
      <c r="W37" s="270"/>
      <c r="X37" s="270"/>
      <c r="Y37" s="357"/>
      <c r="Z37" s="360">
        <v>2047</v>
      </c>
      <c r="AA37" s="370">
        <f>'Nº Cars Projection'!D35</f>
        <v>36725133</v>
      </c>
      <c r="AB37" s="269"/>
      <c r="AC37" s="366">
        <f t="shared" si="7"/>
        <v>2.7173355775196271</v>
      </c>
      <c r="AD37" s="367">
        <f t="shared" si="17"/>
        <v>997945.1049004012</v>
      </c>
      <c r="AE37" s="363">
        <f>SUM('Business as Usual PR'!K113)</f>
        <v>22.644463145996891</v>
      </c>
      <c r="AF37" s="361">
        <f t="shared" si="8"/>
        <v>8316209.207503343</v>
      </c>
      <c r="AG37" s="268"/>
      <c r="AH37" s="366">
        <f t="shared" si="23"/>
        <v>11.088972463196814</v>
      </c>
      <c r="AI37" s="367">
        <f t="shared" si="18"/>
        <v>4072439.8854424059</v>
      </c>
      <c r="AJ37" s="363">
        <v>81.31913139677664</v>
      </c>
      <c r="AK37" s="361">
        <f t="shared" si="10"/>
        <v>29864559.159910981</v>
      </c>
      <c r="AL37" s="269"/>
      <c r="AM37" s="366">
        <f t="shared" si="24"/>
        <v>92.408103859973451</v>
      </c>
      <c r="AN37" s="367">
        <f t="shared" si="19"/>
        <v>33936999.045353383</v>
      </c>
      <c r="AO37" s="363">
        <v>0</v>
      </c>
      <c r="AP37" s="361">
        <v>0</v>
      </c>
      <c r="AQ37" s="356"/>
      <c r="AR37" s="270"/>
      <c r="AS37" s="270"/>
      <c r="AT37" s="357"/>
      <c r="AU37" s="360">
        <f t="shared" si="0"/>
        <v>2047</v>
      </c>
      <c r="AV37" s="370">
        <f>'Nº Cars Projection'!F35</f>
        <v>24540000</v>
      </c>
      <c r="AW37" s="269"/>
      <c r="AX37" s="366">
        <f t="shared" si="12"/>
        <v>2.7173355775196271</v>
      </c>
      <c r="AY37" s="367">
        <f t="shared" si="20"/>
        <v>666834.15072331647</v>
      </c>
      <c r="AZ37" s="363">
        <f>SUM('Business as Usual PR'!K113)</f>
        <v>22.644463145996891</v>
      </c>
      <c r="BA37" s="361">
        <f t="shared" si="13"/>
        <v>5556951.2560276361</v>
      </c>
      <c r="BB37" s="268"/>
      <c r="BC37" s="366">
        <f t="shared" si="14"/>
        <v>11.088972463196814</v>
      </c>
      <c r="BD37" s="367">
        <f t="shared" si="21"/>
        <v>2721233.8424684983</v>
      </c>
      <c r="BE37" s="363">
        <v>81.31913139677664</v>
      </c>
      <c r="BF37" s="361">
        <f t="shared" si="15"/>
        <v>19955714.844768986</v>
      </c>
      <c r="BG37" s="269"/>
      <c r="BH37" s="366">
        <f t="shared" si="16"/>
        <v>92.408103859973451</v>
      </c>
      <c r="BI37" s="367">
        <f t="shared" si="22"/>
        <v>22676948.687237486</v>
      </c>
      <c r="BJ37" s="363">
        <v>0</v>
      </c>
      <c r="BK37" s="361">
        <v>0</v>
      </c>
      <c r="BL37" s="331"/>
    </row>
    <row r="38" spans="3:64">
      <c r="C38" s="330"/>
      <c r="D38" s="360">
        <v>2048</v>
      </c>
      <c r="E38" s="370">
        <f>'Nº Cars Projection'!B36</f>
        <v>43740222</v>
      </c>
      <c r="F38" s="268"/>
      <c r="G38" s="366">
        <f>'Business as Usual PR'!B50</f>
        <v>2.8653355775196272</v>
      </c>
      <c r="H38" s="367">
        <f t="shared" si="2"/>
        <v>1253304.1426520671</v>
      </c>
      <c r="I38" s="363">
        <f>SUM('Business as Usual PR'!K114)</f>
        <v>23.877796479330229</v>
      </c>
      <c r="J38" s="361">
        <f t="shared" si="3"/>
        <v>10444201.188767226</v>
      </c>
      <c r="K38" s="268"/>
      <c r="L38" s="366">
        <f>'Intermediate Limit PR'!B50</f>
        <v>11.334197971534364</v>
      </c>
      <c r="M38" s="367">
        <f t="shared" si="4"/>
        <v>4957603.3546686275</v>
      </c>
      <c r="N38" s="363">
        <v>83.117451791251995</v>
      </c>
      <c r="O38" s="361">
        <f t="shared" si="5"/>
        <v>36355757.934236601</v>
      </c>
      <c r="P38" s="269"/>
      <c r="Q38" s="366">
        <f>'Upper Limit  PR'!B50</f>
        <v>94.45164976278636</v>
      </c>
      <c r="R38" s="367">
        <f t="shared" si="6"/>
        <v>41313361.288905226</v>
      </c>
      <c r="S38" s="363">
        <v>0</v>
      </c>
      <c r="T38" s="361">
        <v>0</v>
      </c>
      <c r="U38" s="356"/>
      <c r="V38" s="270"/>
      <c r="W38" s="270"/>
      <c r="X38" s="270"/>
      <c r="Y38" s="357"/>
      <c r="Z38" s="360">
        <v>2048</v>
      </c>
      <c r="AA38" s="370">
        <f>'Nº Cars Projection'!D36</f>
        <v>36914639</v>
      </c>
      <c r="AB38" s="269"/>
      <c r="AC38" s="366">
        <f t="shared" si="7"/>
        <v>2.8653355775196272</v>
      </c>
      <c r="AD38" s="367">
        <f t="shared" si="17"/>
        <v>1057728.2845799355</v>
      </c>
      <c r="AE38" s="363">
        <f>SUM('Business as Usual PR'!K114)</f>
        <v>23.877796479330229</v>
      </c>
      <c r="AF38" s="361">
        <f t="shared" si="8"/>
        <v>8814402.3714994639</v>
      </c>
      <c r="AG38" s="268"/>
      <c r="AH38" s="366">
        <f t="shared" si="23"/>
        <v>11.334197971534364</v>
      </c>
      <c r="AI38" s="367">
        <f t="shared" si="18"/>
        <v>4183978.2647372331</v>
      </c>
      <c r="AJ38" s="363">
        <v>83.117451791251995</v>
      </c>
      <c r="AK38" s="361">
        <f t="shared" si="10"/>
        <v>30682507.274739709</v>
      </c>
      <c r="AL38" s="269"/>
      <c r="AM38" s="366">
        <f t="shared" si="24"/>
        <v>94.45164976278636</v>
      </c>
      <c r="AN38" s="367">
        <f t="shared" si="19"/>
        <v>34866485.539476939</v>
      </c>
      <c r="AO38" s="363">
        <v>0</v>
      </c>
      <c r="AP38" s="361">
        <v>0</v>
      </c>
      <c r="AQ38" s="356"/>
      <c r="AR38" s="270"/>
      <c r="AS38" s="270"/>
      <c r="AT38" s="357"/>
      <c r="AU38" s="360">
        <f t="shared" si="0"/>
        <v>2048</v>
      </c>
      <c r="AV38" s="370">
        <f>'Nº Cars Projection'!F36</f>
        <v>24760000</v>
      </c>
      <c r="AW38" s="269"/>
      <c r="AX38" s="366">
        <f t="shared" si="12"/>
        <v>2.8653355775196272</v>
      </c>
      <c r="AY38" s="367">
        <f t="shared" si="20"/>
        <v>709457.08899385971</v>
      </c>
      <c r="AZ38" s="363">
        <f>SUM('Business as Usual PR'!K114)</f>
        <v>23.877796479330229</v>
      </c>
      <c r="BA38" s="361">
        <f t="shared" si="13"/>
        <v>5912142.4082821645</v>
      </c>
      <c r="BB38" s="268"/>
      <c r="BC38" s="366">
        <f t="shared" si="14"/>
        <v>11.334197971534364</v>
      </c>
      <c r="BD38" s="367">
        <f t="shared" si="21"/>
        <v>2806347.4177519088</v>
      </c>
      <c r="BE38" s="363">
        <v>83.117451791251995</v>
      </c>
      <c r="BF38" s="361">
        <f t="shared" si="15"/>
        <v>20579881.063513994</v>
      </c>
      <c r="BG38" s="269"/>
      <c r="BH38" s="366">
        <f t="shared" si="16"/>
        <v>94.45164976278636</v>
      </c>
      <c r="BI38" s="367">
        <f t="shared" si="22"/>
        <v>23386228.481265903</v>
      </c>
      <c r="BJ38" s="363">
        <v>0</v>
      </c>
      <c r="BK38" s="361">
        <v>0</v>
      </c>
      <c r="BL38" s="331"/>
    </row>
    <row r="39" spans="3:64">
      <c r="C39" s="330"/>
      <c r="D39" s="360">
        <v>2049</v>
      </c>
      <c r="E39" s="370">
        <f>'Nº Cars Projection'!B37</f>
        <v>44143027.6875</v>
      </c>
      <c r="F39" s="268"/>
      <c r="G39" s="366">
        <f>'Business as Usual PR'!B51</f>
        <v>3.0173355775196273</v>
      </c>
      <c r="H39" s="367">
        <f t="shared" si="2"/>
        <v>1331943.2794092773</v>
      </c>
      <c r="I39" s="363">
        <f>SUM('Business as Usual PR'!K115)</f>
        <v>25.144463145996898</v>
      </c>
      <c r="J39" s="361">
        <f t="shared" si="3"/>
        <v>11099527.328410644</v>
      </c>
      <c r="K39" s="268"/>
      <c r="L39" s="366">
        <f>'Intermediate Limit PR'!B51</f>
        <v>11.516294310465277</v>
      </c>
      <c r="M39" s="367">
        <f t="shared" si="4"/>
        <v>5083640.9860426737</v>
      </c>
      <c r="N39" s="363">
        <v>84.45282494341204</v>
      </c>
      <c r="O39" s="361">
        <f t="shared" si="5"/>
        <v>37280033.897646286</v>
      </c>
      <c r="P39" s="269"/>
      <c r="Q39" s="366">
        <f>'Upper Limit  PR'!B51</f>
        <v>95.969119253877309</v>
      </c>
      <c r="R39" s="367">
        <f t="shared" si="6"/>
        <v>42363674.883688956</v>
      </c>
      <c r="S39" s="363">
        <v>0</v>
      </c>
      <c r="T39" s="361">
        <v>0</v>
      </c>
      <c r="U39" s="356"/>
      <c r="V39" s="270"/>
      <c r="W39" s="270"/>
      <c r="X39" s="270"/>
      <c r="Y39" s="357"/>
      <c r="Z39" s="360">
        <v>2049</v>
      </c>
      <c r="AA39" s="370">
        <f>'Nº Cars Projection'!D37</f>
        <v>37104145</v>
      </c>
      <c r="AB39" s="269"/>
      <c r="AC39" s="366">
        <f t="shared" si="7"/>
        <v>3.0173355775196273</v>
      </c>
      <c r="AD39" s="367">
        <f t="shared" si="17"/>
        <v>1119556.5678194701</v>
      </c>
      <c r="AE39" s="363">
        <f>SUM('Business as Usual PR'!K115)</f>
        <v>25.144463145996898</v>
      </c>
      <c r="AF39" s="361">
        <f t="shared" si="8"/>
        <v>9329638.0651622508</v>
      </c>
      <c r="AG39" s="268"/>
      <c r="AH39" s="366">
        <f t="shared" si="23"/>
        <v>11.516294310465277</v>
      </c>
      <c r="AI39" s="367">
        <f t="shared" si="18"/>
        <v>4273022.5395817859</v>
      </c>
      <c r="AJ39" s="363">
        <v>84.45282494341204</v>
      </c>
      <c r="AK39" s="361">
        <f t="shared" si="10"/>
        <v>31335498.623599771</v>
      </c>
      <c r="AL39" s="269"/>
      <c r="AM39" s="366">
        <f t="shared" si="24"/>
        <v>95.969119253877309</v>
      </c>
      <c r="AN39" s="367">
        <f t="shared" si="19"/>
        <v>35608521.163181558</v>
      </c>
      <c r="AO39" s="363">
        <v>0</v>
      </c>
      <c r="AP39" s="361">
        <v>0</v>
      </c>
      <c r="AQ39" s="356"/>
      <c r="AR39" s="270"/>
      <c r="AS39" s="270"/>
      <c r="AT39" s="357"/>
      <c r="AU39" s="360">
        <f t="shared" si="0"/>
        <v>2049</v>
      </c>
      <c r="AV39" s="370">
        <f>'Nº Cars Projection'!F37</f>
        <v>24980000</v>
      </c>
      <c r="AW39" s="269"/>
      <c r="AX39" s="366">
        <f t="shared" si="12"/>
        <v>3.0173355775196273</v>
      </c>
      <c r="AY39" s="367">
        <f t="shared" si="20"/>
        <v>753730.42726440297</v>
      </c>
      <c r="AZ39" s="363">
        <f>SUM('Business as Usual PR'!K115)</f>
        <v>25.144463145996898</v>
      </c>
      <c r="BA39" s="361">
        <f t="shared" si="13"/>
        <v>6281086.8938700249</v>
      </c>
      <c r="BB39" s="268"/>
      <c r="BC39" s="366">
        <f t="shared" si="14"/>
        <v>11.516294310465277</v>
      </c>
      <c r="BD39" s="367">
        <f t="shared" si="21"/>
        <v>2876770.318754226</v>
      </c>
      <c r="BE39" s="363">
        <v>84.45282494341204</v>
      </c>
      <c r="BF39" s="361">
        <f t="shared" si="15"/>
        <v>21096315.670864329</v>
      </c>
      <c r="BG39" s="269"/>
      <c r="BH39" s="366">
        <f t="shared" si="16"/>
        <v>95.969119253877309</v>
      </c>
      <c r="BI39" s="367">
        <f t="shared" si="22"/>
        <v>23973085.989618551</v>
      </c>
      <c r="BJ39" s="363">
        <v>0</v>
      </c>
      <c r="BK39" s="361">
        <v>0</v>
      </c>
      <c r="BL39" s="331"/>
    </row>
    <row r="40" spans="3:64">
      <c r="C40" s="330"/>
      <c r="D40" s="360">
        <v>2050</v>
      </c>
      <c r="E40" s="370">
        <f>'Nº Cars Projection'!B38</f>
        <v>44545833.375</v>
      </c>
      <c r="F40" s="268"/>
      <c r="G40" s="368">
        <f>'Business as Usual PR'!B52</f>
        <v>3.1733355775196275</v>
      </c>
      <c r="H40" s="369">
        <f t="shared" si="2"/>
        <v>1413588.7787914872</v>
      </c>
      <c r="I40" s="364">
        <f>SUM('Business as Usual PR'!K116)</f>
        <v>26.444463145996899</v>
      </c>
      <c r="J40" s="362">
        <f t="shared" si="3"/>
        <v>11779906.489929061</v>
      </c>
      <c r="K40" s="268"/>
      <c r="L40" s="368">
        <f>'Intermediate Limit PR'!B52</f>
        <v>11.650124816238119</v>
      </c>
      <c r="M40" s="369">
        <f t="shared" si="4"/>
        <v>5189645.1886209575</v>
      </c>
      <c r="N40" s="364">
        <v>85.434248652412876</v>
      </c>
      <c r="O40" s="362">
        <f t="shared" si="5"/>
        <v>38057398.049887024</v>
      </c>
      <c r="P40" s="269"/>
      <c r="Q40" s="368">
        <f>'Upper Limit  PR'!B52</f>
        <v>97.084373468650995</v>
      </c>
      <c r="R40" s="369">
        <f t="shared" si="6"/>
        <v>43247043.238507979</v>
      </c>
      <c r="S40" s="364">
        <v>0</v>
      </c>
      <c r="T40" s="362">
        <v>0</v>
      </c>
      <c r="U40" s="356"/>
      <c r="V40" s="270"/>
      <c r="W40" s="270"/>
      <c r="X40" s="270"/>
      <c r="Y40" s="357"/>
      <c r="Z40" s="360">
        <v>2050</v>
      </c>
      <c r="AA40" s="370">
        <f>'Nº Cars Projection'!D38</f>
        <v>37293651</v>
      </c>
      <c r="AB40" s="269"/>
      <c r="AC40" s="368">
        <f t="shared" si="7"/>
        <v>3.1733355775196275</v>
      </c>
      <c r="AD40" s="369">
        <f t="shared" si="17"/>
        <v>1183452.6953390043</v>
      </c>
      <c r="AE40" s="364">
        <f>SUM('Business as Usual PR'!K116)</f>
        <v>26.444463145996899</v>
      </c>
      <c r="AF40" s="362">
        <f t="shared" si="8"/>
        <v>9862105.7944917027</v>
      </c>
      <c r="AG40" s="268"/>
      <c r="AH40" s="368">
        <f t="shared" si="23"/>
        <v>11.650124816238119</v>
      </c>
      <c r="AI40" s="369">
        <f t="shared" si="18"/>
        <v>4344756.8900322355</v>
      </c>
      <c r="AJ40" s="364">
        <v>85.434248652412876</v>
      </c>
      <c r="AK40" s="362">
        <f t="shared" si="10"/>
        <v>31861550.526903063</v>
      </c>
      <c r="AL40" s="269"/>
      <c r="AM40" s="368">
        <f t="shared" si="24"/>
        <v>97.084373468650995</v>
      </c>
      <c r="AN40" s="369">
        <f t="shared" si="19"/>
        <v>36206307.416935295</v>
      </c>
      <c r="AO40" s="364">
        <v>0</v>
      </c>
      <c r="AP40" s="362">
        <v>0</v>
      </c>
      <c r="AQ40" s="356"/>
      <c r="AR40" s="270"/>
      <c r="AS40" s="270"/>
      <c r="AT40" s="357"/>
      <c r="AU40" s="360">
        <f t="shared" si="0"/>
        <v>2050</v>
      </c>
      <c r="AV40" s="370">
        <f>'Nº Cars Projection'!F38</f>
        <v>25200000</v>
      </c>
      <c r="AW40" s="269"/>
      <c r="AX40" s="368">
        <f t="shared" si="12"/>
        <v>3.1733355775196275</v>
      </c>
      <c r="AY40" s="369">
        <f t="shared" si="20"/>
        <v>799680.56553494604</v>
      </c>
      <c r="AZ40" s="364">
        <f>SUM('Business as Usual PR'!K116)</f>
        <v>26.444463145996899</v>
      </c>
      <c r="BA40" s="362">
        <f t="shared" si="13"/>
        <v>6664004.7127912184</v>
      </c>
      <c r="BB40" s="268"/>
      <c r="BC40" s="368">
        <f t="shared" si="14"/>
        <v>11.650124816238119</v>
      </c>
      <c r="BD40" s="369">
        <f t="shared" si="21"/>
        <v>2935831.4536920059</v>
      </c>
      <c r="BE40" s="364">
        <v>85.434248652412876</v>
      </c>
      <c r="BF40" s="362">
        <f t="shared" si="15"/>
        <v>21529430.660408042</v>
      </c>
      <c r="BG40" s="269"/>
      <c r="BH40" s="368">
        <f t="shared" si="16"/>
        <v>97.084373468650995</v>
      </c>
      <c r="BI40" s="369">
        <f t="shared" si="22"/>
        <v>24465262.11410005</v>
      </c>
      <c r="BJ40" s="364">
        <v>0</v>
      </c>
      <c r="BK40" s="362">
        <v>0</v>
      </c>
      <c r="BL40" s="331"/>
    </row>
    <row r="41" spans="3:64" ht="16.2" thickBot="1">
      <c r="C41" s="332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4"/>
      <c r="T41" s="334"/>
      <c r="U41" s="335"/>
      <c r="Y41" s="332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4"/>
      <c r="AL41" s="334"/>
      <c r="AM41" s="334"/>
      <c r="AN41" s="334"/>
      <c r="AO41" s="334"/>
      <c r="AP41" s="334"/>
      <c r="AQ41" s="335"/>
      <c r="AT41" s="332"/>
      <c r="AU41" s="334"/>
      <c r="AV41" s="334"/>
      <c r="AW41" s="334"/>
      <c r="AX41" s="334"/>
      <c r="AY41" s="334"/>
      <c r="AZ41" s="334"/>
      <c r="BA41" s="334"/>
      <c r="BB41" s="334"/>
      <c r="BC41" s="334"/>
      <c r="BD41" s="334"/>
      <c r="BE41" s="334"/>
      <c r="BF41" s="334"/>
      <c r="BG41" s="334"/>
      <c r="BH41" s="334"/>
      <c r="BI41" s="334"/>
      <c r="BJ41" s="334"/>
      <c r="BK41" s="334"/>
      <c r="BL41" s="335"/>
    </row>
    <row r="71" spans="4:12">
      <c r="D71" s="27"/>
      <c r="E71" s="268"/>
      <c r="F71" s="268"/>
      <c r="G71" s="268"/>
      <c r="H71" s="268"/>
      <c r="I71" s="268"/>
      <c r="J71" s="268"/>
      <c r="K71" s="268"/>
      <c r="L71" s="268"/>
    </row>
    <row r="72" spans="4:12">
      <c r="D72" s="27"/>
      <c r="E72" s="268"/>
      <c r="F72" s="268"/>
      <c r="G72" s="268"/>
      <c r="H72" s="268"/>
      <c r="I72" s="268"/>
      <c r="J72" s="268"/>
      <c r="K72" s="268"/>
      <c r="L72" s="268"/>
    </row>
    <row r="73" spans="4:12">
      <c r="D73" s="27"/>
      <c r="E73" s="268"/>
      <c r="F73" s="268"/>
      <c r="G73" s="268"/>
      <c r="H73" s="268"/>
      <c r="I73" s="268"/>
      <c r="J73" s="268"/>
      <c r="K73" s="268"/>
      <c r="L73" s="268"/>
    </row>
    <row r="74" spans="4:12">
      <c r="D74" s="27"/>
      <c r="E74" s="268"/>
      <c r="F74" s="268"/>
      <c r="G74" s="268"/>
      <c r="H74" s="268"/>
      <c r="I74" s="268"/>
      <c r="J74" s="268"/>
      <c r="K74" s="268"/>
      <c r="L74" s="268"/>
    </row>
    <row r="75" spans="4:12">
      <c r="D75" s="27"/>
      <c r="E75" s="268"/>
      <c r="F75" s="268"/>
      <c r="G75" s="268"/>
      <c r="H75" s="268"/>
      <c r="I75" s="268"/>
      <c r="J75" s="268"/>
      <c r="K75" s="268"/>
      <c r="L75" s="268"/>
    </row>
    <row r="76" spans="4:12">
      <c r="D76" s="27"/>
      <c r="E76" s="268"/>
      <c r="F76" s="268"/>
      <c r="G76" s="268"/>
      <c r="H76" s="268"/>
      <c r="I76" s="268"/>
      <c r="J76" s="268"/>
      <c r="K76" s="268"/>
      <c r="L76" s="268"/>
    </row>
    <row r="77" spans="4:12">
      <c r="D77" s="27"/>
      <c r="E77" s="268"/>
      <c r="F77" s="268"/>
      <c r="G77" s="268"/>
      <c r="H77" s="268"/>
      <c r="I77" s="268"/>
      <c r="J77" s="268"/>
      <c r="K77" s="268"/>
      <c r="L77" s="268"/>
    </row>
    <row r="78" spans="4:12">
      <c r="D78" s="27"/>
      <c r="E78" s="268"/>
      <c r="F78" s="268"/>
      <c r="G78" s="268"/>
      <c r="H78" s="268"/>
      <c r="I78" s="268"/>
      <c r="J78" s="268"/>
      <c r="K78" s="268"/>
      <c r="L78" s="268"/>
    </row>
    <row r="79" spans="4:12">
      <c r="D79" s="27"/>
      <c r="E79" s="268"/>
      <c r="F79" s="268"/>
      <c r="G79" s="268"/>
      <c r="H79" s="268"/>
      <c r="I79" s="268"/>
      <c r="J79" s="268"/>
      <c r="K79" s="268"/>
      <c r="L79" s="268"/>
    </row>
    <row r="80" spans="4:12">
      <c r="D80" s="27"/>
      <c r="E80" s="268"/>
      <c r="F80" s="268"/>
      <c r="G80" s="268"/>
      <c r="H80" s="268"/>
      <c r="I80" s="268"/>
      <c r="J80" s="268"/>
      <c r="K80" s="268"/>
      <c r="L80" s="268"/>
    </row>
    <row r="81" spans="4:12">
      <c r="D81" s="27"/>
      <c r="E81" s="268"/>
      <c r="F81" s="268"/>
      <c r="G81" s="268"/>
      <c r="H81" s="268"/>
      <c r="I81" s="268"/>
      <c r="J81" s="268"/>
      <c r="K81" s="268"/>
      <c r="L81" s="268"/>
    </row>
    <row r="82" spans="4:12">
      <c r="D82" s="27"/>
      <c r="E82" s="268"/>
      <c r="F82" s="268"/>
      <c r="G82" s="268"/>
      <c r="H82" s="268"/>
      <c r="I82" s="268"/>
      <c r="J82" s="268"/>
      <c r="K82" s="268"/>
      <c r="L82" s="268"/>
    </row>
    <row r="83" spans="4:12">
      <c r="D83" s="27"/>
      <c r="E83" s="268"/>
      <c r="F83" s="268"/>
      <c r="G83" s="268"/>
      <c r="H83" s="268"/>
      <c r="I83" s="268"/>
      <c r="J83" s="268"/>
      <c r="K83" s="268"/>
      <c r="L83" s="268"/>
    </row>
    <row r="84" spans="4:12">
      <c r="D84" s="27"/>
      <c r="E84" s="268"/>
      <c r="F84" s="268"/>
      <c r="G84" s="268"/>
      <c r="H84" s="268"/>
      <c r="I84" s="268"/>
      <c r="J84" s="268"/>
      <c r="K84" s="268"/>
      <c r="L84" s="268"/>
    </row>
    <row r="85" spans="4:12">
      <c r="D85" s="27"/>
      <c r="E85" s="268"/>
      <c r="F85" s="268"/>
      <c r="G85" s="268"/>
      <c r="H85" s="268"/>
      <c r="I85" s="268"/>
      <c r="J85" s="268"/>
      <c r="K85" s="268"/>
      <c r="L85" s="268"/>
    </row>
    <row r="86" spans="4:12">
      <c r="D86" s="27"/>
      <c r="E86" s="268"/>
      <c r="F86" s="268"/>
      <c r="G86" s="268"/>
      <c r="H86" s="268"/>
      <c r="I86" s="268"/>
      <c r="J86" s="268"/>
      <c r="K86" s="268"/>
      <c r="L86" s="268"/>
    </row>
    <row r="87" spans="4:12">
      <c r="D87" s="27"/>
      <c r="E87" s="268"/>
      <c r="F87" s="268"/>
      <c r="G87" s="268"/>
      <c r="H87" s="268"/>
      <c r="I87" s="268"/>
      <c r="J87" s="268"/>
      <c r="K87" s="268"/>
      <c r="L87" s="268"/>
    </row>
    <row r="88" spans="4:12">
      <c r="D88" s="27"/>
      <c r="E88" s="268"/>
      <c r="F88" s="268"/>
      <c r="G88" s="268"/>
      <c r="H88" s="268"/>
      <c r="I88" s="268"/>
      <c r="J88" s="268"/>
      <c r="K88" s="268"/>
      <c r="L88" s="268"/>
    </row>
    <row r="89" spans="4:12">
      <c r="D89" s="27"/>
      <c r="E89" s="268"/>
      <c r="F89" s="268"/>
      <c r="G89" s="268"/>
      <c r="H89" s="268"/>
      <c r="I89" s="268"/>
      <c r="J89" s="268"/>
      <c r="K89" s="268"/>
      <c r="L89" s="268"/>
    </row>
    <row r="90" spans="4:12">
      <c r="D90" s="27"/>
      <c r="E90" s="268"/>
      <c r="F90" s="268"/>
      <c r="G90" s="268"/>
      <c r="H90" s="268"/>
      <c r="I90" s="268"/>
      <c r="J90" s="268"/>
      <c r="K90" s="268"/>
      <c r="L90" s="268"/>
    </row>
    <row r="91" spans="4:12">
      <c r="D91" s="27"/>
      <c r="E91" s="268"/>
      <c r="F91" s="268"/>
      <c r="G91" s="268"/>
      <c r="H91" s="268"/>
      <c r="I91" s="268"/>
      <c r="J91" s="268"/>
      <c r="K91" s="268"/>
      <c r="L91" s="268"/>
    </row>
    <row r="92" spans="4:12">
      <c r="D92" s="27"/>
      <c r="E92" s="268"/>
      <c r="F92" s="268"/>
      <c r="G92" s="268"/>
      <c r="H92" s="268"/>
      <c r="I92" s="268"/>
      <c r="J92" s="268"/>
      <c r="K92" s="268"/>
      <c r="L92" s="268"/>
    </row>
    <row r="93" spans="4:12">
      <c r="D93" s="27"/>
      <c r="E93" s="268"/>
      <c r="F93" s="268"/>
      <c r="G93" s="268"/>
      <c r="H93" s="268"/>
      <c r="I93" s="268"/>
      <c r="J93" s="268"/>
      <c r="K93" s="268"/>
      <c r="L93" s="268"/>
    </row>
    <row r="94" spans="4:12">
      <c r="D94" s="27"/>
      <c r="E94" s="268"/>
      <c r="F94" s="268"/>
      <c r="G94" s="268"/>
      <c r="H94" s="268"/>
      <c r="I94" s="268"/>
      <c r="J94" s="268"/>
      <c r="K94" s="268"/>
      <c r="L94" s="268"/>
    </row>
    <row r="95" spans="4:12">
      <c r="D95" s="27"/>
      <c r="E95" s="268"/>
      <c r="F95" s="268"/>
      <c r="G95" s="268"/>
      <c r="H95" s="268"/>
      <c r="I95" s="268"/>
      <c r="J95" s="268"/>
      <c r="K95" s="268"/>
      <c r="L95" s="268"/>
    </row>
    <row r="96" spans="4:12">
      <c r="D96" s="27"/>
      <c r="E96" s="268"/>
      <c r="F96" s="268"/>
      <c r="G96" s="268"/>
      <c r="H96" s="268"/>
      <c r="I96" s="268"/>
      <c r="J96" s="268"/>
      <c r="K96" s="268"/>
      <c r="L96" s="268"/>
    </row>
    <row r="97" spans="4:12">
      <c r="D97" s="27"/>
      <c r="E97" s="268"/>
      <c r="F97" s="268"/>
      <c r="G97" s="268"/>
      <c r="H97" s="268"/>
      <c r="I97" s="268"/>
      <c r="J97" s="268"/>
      <c r="K97" s="268"/>
      <c r="L97" s="268"/>
    </row>
    <row r="98" spans="4:12">
      <c r="D98" s="27"/>
      <c r="E98" s="268"/>
      <c r="F98" s="268"/>
      <c r="G98" s="268"/>
      <c r="H98" s="268"/>
      <c r="I98" s="268"/>
      <c r="J98" s="268"/>
      <c r="K98" s="268"/>
      <c r="L98" s="268"/>
    </row>
    <row r="99" spans="4:12">
      <c r="D99" s="27"/>
      <c r="E99" s="268"/>
      <c r="F99" s="268"/>
      <c r="G99" s="268"/>
      <c r="H99" s="268"/>
      <c r="I99" s="268"/>
      <c r="J99" s="268"/>
      <c r="K99" s="268"/>
      <c r="L99" s="268"/>
    </row>
    <row r="100" spans="4:12">
      <c r="D100" s="27"/>
      <c r="E100" s="268"/>
      <c r="F100" s="268"/>
      <c r="G100" s="268"/>
      <c r="H100" s="268"/>
      <c r="I100" s="268"/>
      <c r="J100" s="268"/>
      <c r="K100" s="268"/>
      <c r="L100" s="268"/>
    </row>
    <row r="101" spans="4:12">
      <c r="D101" s="27"/>
      <c r="E101" s="268"/>
      <c r="F101" s="268"/>
      <c r="G101" s="268"/>
      <c r="H101" s="268"/>
      <c r="I101" s="268"/>
      <c r="J101" s="268"/>
      <c r="K101" s="268"/>
      <c r="L101" s="268"/>
    </row>
    <row r="102" spans="4:12">
      <c r="D102" s="27"/>
      <c r="E102" s="268"/>
      <c r="F102" s="268"/>
      <c r="G102" s="268"/>
      <c r="H102" s="268"/>
      <c r="I102" s="268"/>
      <c r="J102" s="268"/>
      <c r="K102" s="268"/>
      <c r="L102" s="268"/>
    </row>
    <row r="103" spans="4:12">
      <c r="D103" s="27"/>
      <c r="E103" s="268"/>
      <c r="F103" s="268"/>
      <c r="G103" s="268"/>
      <c r="H103" s="268"/>
      <c r="I103" s="268"/>
      <c r="J103" s="268"/>
      <c r="K103" s="268"/>
      <c r="L103" s="268"/>
    </row>
    <row r="104" spans="4:12">
      <c r="D104" s="27"/>
      <c r="E104" s="268"/>
      <c r="F104" s="268"/>
      <c r="G104" s="268"/>
      <c r="H104" s="268"/>
      <c r="I104" s="268"/>
      <c r="J104" s="268"/>
      <c r="K104" s="268"/>
      <c r="L104" s="268"/>
    </row>
    <row r="105" spans="4:12">
      <c r="D105" s="27"/>
      <c r="E105" s="268"/>
      <c r="F105" s="268"/>
      <c r="G105" s="268"/>
      <c r="H105" s="268"/>
      <c r="I105" s="268"/>
      <c r="J105" s="268"/>
      <c r="K105" s="268"/>
      <c r="L105" s="268"/>
    </row>
    <row r="106" spans="4:12">
      <c r="D106" s="27"/>
      <c r="E106" s="268"/>
      <c r="F106" s="268"/>
      <c r="G106" s="268"/>
      <c r="H106" s="268"/>
      <c r="I106" s="268"/>
      <c r="J106" s="268"/>
      <c r="K106" s="268"/>
      <c r="L106" s="268"/>
    </row>
    <row r="107" spans="4:12">
      <c r="D107" s="27"/>
      <c r="E107" s="268"/>
      <c r="F107" s="268"/>
      <c r="G107" s="268"/>
      <c r="H107" s="268"/>
      <c r="I107" s="268"/>
      <c r="J107" s="268"/>
      <c r="K107" s="268"/>
      <c r="L107" s="268"/>
    </row>
    <row r="108" spans="4:12">
      <c r="D108" s="27"/>
      <c r="E108" s="268"/>
      <c r="F108" s="268"/>
      <c r="G108" s="268"/>
      <c r="H108" s="268"/>
      <c r="I108" s="268"/>
      <c r="J108" s="268"/>
      <c r="K108" s="268"/>
      <c r="L108" s="268"/>
    </row>
    <row r="109" spans="4:12">
      <c r="D109" s="27"/>
      <c r="E109" s="268"/>
      <c r="F109" s="268"/>
      <c r="G109" s="268"/>
      <c r="H109" s="268"/>
      <c r="I109" s="268"/>
      <c r="J109" s="268"/>
      <c r="K109" s="268"/>
      <c r="L109" s="268"/>
    </row>
    <row r="110" spans="4:12">
      <c r="D110" s="27"/>
      <c r="E110" s="268"/>
      <c r="F110" s="268"/>
      <c r="G110" s="268"/>
      <c r="H110" s="268"/>
      <c r="I110" s="268"/>
      <c r="J110" s="268"/>
      <c r="K110" s="268"/>
      <c r="L110" s="268"/>
    </row>
    <row r="111" spans="4:12">
      <c r="D111" s="27"/>
      <c r="E111" s="268"/>
      <c r="F111" s="268"/>
      <c r="G111" s="268"/>
      <c r="H111" s="268"/>
      <c r="I111" s="268"/>
      <c r="J111" s="268"/>
      <c r="K111" s="268"/>
      <c r="L111" s="268"/>
    </row>
    <row r="112" spans="4:12">
      <c r="D112" s="27"/>
      <c r="E112" s="268"/>
      <c r="F112" s="268"/>
      <c r="G112" s="268"/>
      <c r="H112" s="268"/>
      <c r="I112" s="268"/>
      <c r="J112" s="268"/>
      <c r="K112" s="268"/>
      <c r="L112" s="268"/>
    </row>
    <row r="113" spans="4:12">
      <c r="D113" s="27"/>
      <c r="E113" s="268"/>
      <c r="F113" s="268"/>
      <c r="G113" s="268"/>
      <c r="H113" s="268"/>
      <c r="I113" s="268"/>
      <c r="J113" s="268"/>
      <c r="K113" s="268"/>
      <c r="L113" s="268"/>
    </row>
    <row r="114" spans="4:12">
      <c r="D114" s="27"/>
      <c r="E114" s="268"/>
      <c r="F114" s="268"/>
      <c r="G114" s="268"/>
      <c r="H114" s="268"/>
      <c r="I114" s="268"/>
      <c r="J114" s="268"/>
      <c r="K114" s="268"/>
      <c r="L114" s="268"/>
    </row>
    <row r="115" spans="4:12">
      <c r="D115" s="27"/>
      <c r="E115" s="268"/>
      <c r="F115" s="268"/>
      <c r="G115" s="268"/>
      <c r="H115" s="268"/>
      <c r="I115" s="268"/>
      <c r="J115" s="268"/>
      <c r="K115" s="268"/>
      <c r="L115" s="268"/>
    </row>
    <row r="116" spans="4:12">
      <c r="D116" s="27"/>
      <c r="E116" s="268"/>
      <c r="F116" s="268"/>
      <c r="G116" s="268"/>
      <c r="H116" s="268"/>
      <c r="I116" s="268"/>
      <c r="J116" s="268"/>
      <c r="K116" s="268"/>
      <c r="L116" s="268"/>
    </row>
    <row r="117" spans="4:12">
      <c r="D117" s="27"/>
      <c r="E117" s="268"/>
      <c r="F117" s="268"/>
      <c r="G117" s="268"/>
      <c r="H117" s="268"/>
      <c r="I117" s="268"/>
      <c r="J117" s="268"/>
      <c r="K117" s="268"/>
      <c r="L117" s="268"/>
    </row>
    <row r="118" spans="4:12">
      <c r="D118" s="27"/>
      <c r="E118" s="268"/>
      <c r="F118" s="268"/>
      <c r="G118" s="268"/>
      <c r="H118" s="268"/>
      <c r="I118" s="268"/>
      <c r="J118" s="268"/>
      <c r="K118" s="268"/>
      <c r="L118" s="268"/>
    </row>
    <row r="119" spans="4:12">
      <c r="D119" s="27"/>
      <c r="E119" s="268"/>
      <c r="F119" s="268"/>
      <c r="G119" s="268"/>
      <c r="H119" s="268"/>
      <c r="I119" s="268"/>
      <c r="J119" s="268"/>
      <c r="K119" s="268"/>
      <c r="L119" s="268"/>
    </row>
    <row r="120" spans="4:12">
      <c r="D120" s="27"/>
      <c r="E120" s="268"/>
      <c r="F120" s="268"/>
      <c r="G120" s="268"/>
      <c r="H120" s="268"/>
      <c r="I120" s="268"/>
      <c r="J120" s="268"/>
      <c r="K120" s="268"/>
      <c r="L120" s="268"/>
    </row>
    <row r="121" spans="4:12">
      <c r="D121" s="27"/>
      <c r="E121" s="268"/>
      <c r="F121" s="268"/>
      <c r="G121" s="268"/>
      <c r="H121" s="268"/>
      <c r="I121" s="268"/>
      <c r="J121" s="268"/>
      <c r="K121" s="268"/>
      <c r="L121" s="268"/>
    </row>
    <row r="122" spans="4:12">
      <c r="D122" s="27"/>
      <c r="E122" s="268"/>
      <c r="F122" s="268"/>
      <c r="G122" s="268"/>
      <c r="H122" s="268"/>
      <c r="I122" s="268"/>
      <c r="J122" s="268"/>
      <c r="K122" s="268"/>
      <c r="L122" s="268"/>
    </row>
    <row r="123" spans="4:12">
      <c r="D123" s="27"/>
      <c r="E123" s="268"/>
      <c r="F123" s="268"/>
      <c r="G123" s="268"/>
      <c r="H123" s="268"/>
      <c r="I123" s="268"/>
      <c r="J123" s="268"/>
      <c r="K123" s="268"/>
      <c r="L123" s="268"/>
    </row>
  </sheetData>
  <customSheetViews>
    <customSheetView guid="{6CD3DBEE-3ADC-5D4E-9E8E-2656A4A55EE6}">
      <selection activeCell="B4" sqref="B4:B43"/>
      <pageMargins left="0" right="0" top="0" bottom="0" header="0" footer="0"/>
      <pageSetup paperSize="9" orientation="portrait" horizontalDpi="0" verticalDpi="0"/>
    </customSheetView>
  </customSheetViews>
  <mergeCells count="12">
    <mergeCell ref="D4:E4"/>
    <mergeCell ref="Z4:AA4"/>
    <mergeCell ref="AU4:AV4"/>
    <mergeCell ref="AM4:AP4"/>
    <mergeCell ref="AX4:BA4"/>
    <mergeCell ref="BC4:BF4"/>
    <mergeCell ref="BH4:BK4"/>
    <mergeCell ref="G4:J4"/>
    <mergeCell ref="L4:O4"/>
    <mergeCell ref="Q4:T4"/>
    <mergeCell ref="AC4:AF4"/>
    <mergeCell ref="AH4:AK4"/>
  </mergeCells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zoomScale="40" zoomScaleNormal="40" workbookViewId="0">
      <selection activeCell="G31" sqref="G31"/>
    </sheetView>
  </sheetViews>
  <sheetFormatPr defaultColWidth="11" defaultRowHeight="15.6"/>
  <cols>
    <col min="1" max="1" width="32.69921875" customWidth="1"/>
    <col min="2" max="2" width="11.3984375" customWidth="1"/>
    <col min="3" max="3" width="14" bestFit="1" customWidth="1"/>
    <col min="4" max="4" width="26.19921875" customWidth="1"/>
    <col min="5" max="5" width="23.19921875" bestFit="1" customWidth="1"/>
    <col min="6" max="6" width="12.8984375" bestFit="1" customWidth="1"/>
    <col min="7" max="7" width="26.3984375" customWidth="1"/>
    <col min="8" max="8" width="12.3984375" bestFit="1" customWidth="1"/>
    <col min="9" max="9" width="12.8984375" bestFit="1" customWidth="1"/>
    <col min="10" max="10" width="27" bestFit="1" customWidth="1"/>
    <col min="11" max="11" width="11" customWidth="1"/>
    <col min="12" max="12" width="15.09765625" bestFit="1" customWidth="1"/>
    <col min="13" max="13" width="10.69921875" bestFit="1" customWidth="1"/>
    <col min="14" max="14" width="27" bestFit="1" customWidth="1"/>
    <col min="16" max="16" width="10.69921875" bestFit="1" customWidth="1"/>
    <col min="17" max="17" width="27" bestFit="1" customWidth="1"/>
    <col min="19" max="19" width="11.5" bestFit="1" customWidth="1"/>
    <col min="20" max="20" width="27" bestFit="1" customWidth="1"/>
    <col min="24" max="24" width="27" bestFit="1" customWidth="1"/>
    <col min="27" max="27" width="27" bestFit="1" customWidth="1"/>
    <col min="29" max="29" width="14.09765625" customWidth="1"/>
    <col min="30" max="30" width="27" bestFit="1" customWidth="1"/>
  </cols>
  <sheetData>
    <row r="1" spans="1:30" ht="16.2" thickBot="1"/>
    <row r="2" spans="1:30" ht="16.2" thickBot="1">
      <c r="A2" s="546" t="s">
        <v>195</v>
      </c>
      <c r="B2" s="547"/>
    </row>
    <row r="3" spans="1:30">
      <c r="A3" s="408" t="s">
        <v>196</v>
      </c>
      <c r="B3" s="411">
        <v>2127.5101599970199</v>
      </c>
    </row>
    <row r="4" spans="1:30">
      <c r="A4" s="409" t="s">
        <v>197</v>
      </c>
      <c r="B4" s="406">
        <f>B3/1000000</f>
        <v>2.12751015999702E-3</v>
      </c>
    </row>
    <row r="5" spans="1:30" ht="16.2" thickBot="1">
      <c r="A5" s="410" t="s">
        <v>198</v>
      </c>
      <c r="B5" s="407">
        <f>B4/8760</f>
        <v>2.4286645662066436E-7</v>
      </c>
    </row>
    <row r="6" spans="1:30" ht="29.4" thickBot="1">
      <c r="C6" s="551"/>
      <c r="D6" s="551"/>
      <c r="E6" s="551"/>
      <c r="F6" s="551"/>
      <c r="G6" s="551"/>
      <c r="H6" s="551"/>
      <c r="I6" s="551"/>
      <c r="J6" s="551"/>
      <c r="K6" s="350"/>
      <c r="L6" s="325"/>
      <c r="M6" s="551"/>
      <c r="N6" s="551"/>
      <c r="O6" s="551"/>
      <c r="P6" s="551"/>
      <c r="Q6" s="551"/>
      <c r="R6" s="551"/>
      <c r="S6" s="551"/>
      <c r="T6" s="551"/>
      <c r="U6" s="350"/>
      <c r="V6" s="350"/>
      <c r="W6" s="548"/>
      <c r="X6" s="548"/>
      <c r="Y6" s="548"/>
      <c r="Z6" s="548"/>
      <c r="AA6" s="548"/>
      <c r="AB6" s="548"/>
      <c r="AC6" s="548"/>
      <c r="AD6" s="548"/>
    </row>
    <row r="7" spans="1:30" ht="35.25" customHeight="1" thickBot="1">
      <c r="C7" s="549" t="s">
        <v>199</v>
      </c>
      <c r="D7" s="550"/>
      <c r="E7" s="31"/>
      <c r="F7" s="549" t="s">
        <v>181</v>
      </c>
      <c r="G7" s="550"/>
      <c r="H7" s="31"/>
      <c r="I7" s="549" t="s">
        <v>182</v>
      </c>
      <c r="J7" s="550"/>
      <c r="M7" s="549" t="s">
        <v>184</v>
      </c>
      <c r="N7" s="550"/>
      <c r="O7" s="31"/>
      <c r="P7" s="549" t="s">
        <v>185</v>
      </c>
      <c r="Q7" s="550"/>
      <c r="R7" s="31"/>
      <c r="S7" s="549" t="s">
        <v>186</v>
      </c>
      <c r="T7" s="550"/>
      <c r="W7" s="549" t="s">
        <v>188</v>
      </c>
      <c r="X7" s="550"/>
      <c r="Y7" s="31"/>
      <c r="Z7" s="549" t="s">
        <v>189</v>
      </c>
      <c r="AA7" s="550"/>
      <c r="AB7" s="31"/>
      <c r="AC7" s="549" t="s">
        <v>190</v>
      </c>
      <c r="AD7" s="550"/>
    </row>
    <row r="8" spans="1:30" ht="54.75" customHeight="1">
      <c r="A8" s="271" t="s">
        <v>200</v>
      </c>
      <c r="C8" s="379" t="s">
        <v>201</v>
      </c>
      <c r="D8" s="380" t="s">
        <v>202</v>
      </c>
      <c r="E8" s="30"/>
      <c r="F8" s="379" t="s">
        <v>201</v>
      </c>
      <c r="G8" s="380" t="s">
        <v>202</v>
      </c>
      <c r="H8" s="28"/>
      <c r="I8" s="379" t="s">
        <v>201</v>
      </c>
      <c r="J8" s="380" t="s">
        <v>202</v>
      </c>
      <c r="M8" s="379" t="s">
        <v>201</v>
      </c>
      <c r="N8" s="380" t="s">
        <v>202</v>
      </c>
      <c r="O8" s="30"/>
      <c r="P8" s="379" t="s">
        <v>201</v>
      </c>
      <c r="Q8" s="380" t="s">
        <v>202</v>
      </c>
      <c r="R8" s="28"/>
      <c r="S8" s="379" t="s">
        <v>201</v>
      </c>
      <c r="T8" s="380" t="s">
        <v>202</v>
      </c>
      <c r="W8" s="379" t="s">
        <v>201</v>
      </c>
      <c r="X8" s="380" t="s">
        <v>202</v>
      </c>
      <c r="Y8" s="30"/>
      <c r="Z8" s="379" t="s">
        <v>201</v>
      </c>
      <c r="AA8" s="380" t="s">
        <v>202</v>
      </c>
      <c r="AB8" s="28"/>
      <c r="AC8" s="379" t="s">
        <v>201</v>
      </c>
      <c r="AD8" s="380" t="s">
        <v>202</v>
      </c>
    </row>
    <row r="9" spans="1:30">
      <c r="A9" s="359">
        <v>2016</v>
      </c>
      <c r="C9" s="404">
        <f>Scenarios!H6</f>
        <v>33859.664237524528</v>
      </c>
      <c r="D9" s="415">
        <f t="shared" ref="D9:D43" si="0">$B$5*C9</f>
        <v>8.2233766757330105E-3</v>
      </c>
      <c r="F9" s="404">
        <f>Scenarios!M6</f>
        <v>33859.664237524528</v>
      </c>
      <c r="G9" s="415">
        <f t="shared" ref="G9:G43" si="1">$B$5*F9</f>
        <v>8.2233766757330105E-3</v>
      </c>
      <c r="I9" s="404">
        <f>Scenarios!R6</f>
        <v>33859.664237524528</v>
      </c>
      <c r="J9" s="415">
        <f t="shared" ref="J9:J43" si="2">$B$5*I9</f>
        <v>8.2233766757330105E-3</v>
      </c>
      <c r="M9" s="404">
        <f>Scenarios!AD6</f>
        <v>33859.664237524528</v>
      </c>
      <c r="N9" s="415">
        <f t="shared" ref="N9:N43" si="3">$B$5*M9</f>
        <v>8.2233766757330105E-3</v>
      </c>
      <c r="P9" s="404">
        <f>Scenarios!AI6</f>
        <v>33859.664237524528</v>
      </c>
      <c r="Q9" s="415">
        <f t="shared" ref="Q9:Q43" si="4">$B$5*P9</f>
        <v>8.2233766757330105E-3</v>
      </c>
      <c r="S9" s="404">
        <f>Scenarios!AN6</f>
        <v>33859.664237524528</v>
      </c>
      <c r="T9" s="415">
        <f t="shared" ref="T9:T43" si="5">$B$5*S9</f>
        <v>8.2233766757330105E-3</v>
      </c>
      <c r="W9" s="404">
        <f>Scenarios!AY6</f>
        <v>33859.664237524528</v>
      </c>
      <c r="X9" s="415">
        <f t="shared" ref="X9:X43" si="6">$B$5*W9</f>
        <v>8.2233766757330105E-3</v>
      </c>
      <c r="Z9" s="404">
        <f>Scenarios!BD6</f>
        <v>33859.664237524528</v>
      </c>
      <c r="AA9" s="415">
        <f t="shared" ref="AA9:AA43" si="7">$B$5*Z9</f>
        <v>8.2233766757330105E-3</v>
      </c>
      <c r="AC9" s="404">
        <f>Scenarios!BI6</f>
        <v>33859.664237524528</v>
      </c>
      <c r="AD9" s="415">
        <f t="shared" ref="AD9:AD43" si="8">$B$5*AC9</f>
        <v>8.2233766757330105E-3</v>
      </c>
    </row>
    <row r="10" spans="1:30">
      <c r="A10" s="360">
        <v>2017</v>
      </c>
      <c r="C10" s="403">
        <f>Scenarios!H7</f>
        <v>42921.825458555708</v>
      </c>
      <c r="D10" s="416">
        <f t="shared" si="0"/>
        <v>1.0424271660810046E-2</v>
      </c>
      <c r="F10" s="403">
        <f>Scenarios!M7</f>
        <v>42921.825458555708</v>
      </c>
      <c r="G10" s="416">
        <f t="shared" si="1"/>
        <v>1.0424271660810046E-2</v>
      </c>
      <c r="I10" s="403">
        <f>Scenarios!R7</f>
        <v>42921.825458555708</v>
      </c>
      <c r="J10" s="416">
        <f t="shared" si="2"/>
        <v>1.0424271660810046E-2</v>
      </c>
      <c r="M10" s="403">
        <f>Scenarios!AD7</f>
        <v>42564.955269477316</v>
      </c>
      <c r="N10" s="416">
        <f t="shared" si="3"/>
        <v>1.0337599862515031E-2</v>
      </c>
      <c r="P10" s="403">
        <f>Scenarios!AI7</f>
        <v>42564.955269477316</v>
      </c>
      <c r="Q10" s="416">
        <f t="shared" si="4"/>
        <v>1.0337599862515031E-2</v>
      </c>
      <c r="S10" s="403">
        <f>Scenarios!AN7</f>
        <v>42564.955269477316</v>
      </c>
      <c r="T10" s="416">
        <f t="shared" si="5"/>
        <v>1.0337599862515031E-2</v>
      </c>
      <c r="W10" s="403">
        <f>Scenarios!AY7</f>
        <v>42316.978030640552</v>
      </c>
      <c r="X10" s="416">
        <f t="shared" si="6"/>
        <v>1.027737450919617E-2</v>
      </c>
      <c r="Z10" s="403">
        <f>Scenarios!BD7</f>
        <v>42316.978030640552</v>
      </c>
      <c r="AA10" s="416">
        <f t="shared" si="7"/>
        <v>1.027737450919617E-2</v>
      </c>
      <c r="AC10" s="403">
        <f>Scenarios!BI7</f>
        <v>42316.978030640552</v>
      </c>
      <c r="AD10" s="416">
        <f t="shared" si="8"/>
        <v>1.027737450919617E-2</v>
      </c>
    </row>
    <row r="11" spans="1:30">
      <c r="A11" s="360">
        <v>2018</v>
      </c>
      <c r="C11" s="403">
        <f>Scenarios!H8</f>
        <v>52338.715360765738</v>
      </c>
      <c r="D11" s="416">
        <f t="shared" si="0"/>
        <v>1.2711318343746711E-2</v>
      </c>
      <c r="F11" s="403">
        <f>Scenarios!M8</f>
        <v>52206.18511696683</v>
      </c>
      <c r="G11" s="416">
        <f t="shared" si="1"/>
        <v>1.2679131193040198E-2</v>
      </c>
      <c r="I11" s="403">
        <f>Scenarios!R8</f>
        <v>52206.18511696683</v>
      </c>
      <c r="J11" s="416">
        <f t="shared" si="2"/>
        <v>1.2679131193040198E-2</v>
      </c>
      <c r="M11" s="403">
        <f>Scenarios!AD8</f>
        <v>51479.459130964729</v>
      </c>
      <c r="N11" s="416">
        <f t="shared" si="3"/>
        <v>1.2502633827885709E-2</v>
      </c>
      <c r="P11" s="403">
        <f>Scenarios!AI8</f>
        <v>51349.104665398743</v>
      </c>
      <c r="Q11" s="416">
        <f t="shared" si="4"/>
        <v>1.2470975100729018E-2</v>
      </c>
      <c r="S11" s="403">
        <f>Scenarios!AN8</f>
        <v>51349.104665398743</v>
      </c>
      <c r="T11" s="416">
        <f t="shared" si="5"/>
        <v>1.2470975100729018E-2</v>
      </c>
      <c r="W11" s="403">
        <f>Scenarios!AY8</f>
        <v>50882.387719935425</v>
      </c>
      <c r="X11" s="416">
        <f t="shared" si="6"/>
        <v>1.2357625209939521E-2</v>
      </c>
      <c r="Z11" s="403">
        <f>Scenarios!BD8</f>
        <v>50753.545137477842</v>
      </c>
      <c r="AA11" s="416">
        <f t="shared" si="7"/>
        <v>1.2326333668476193E-2</v>
      </c>
      <c r="AC11" s="403">
        <f>Scenarios!BI8</f>
        <v>50753.545137477842</v>
      </c>
      <c r="AD11" s="416">
        <f t="shared" si="8"/>
        <v>1.2326333668476193E-2</v>
      </c>
    </row>
    <row r="12" spans="1:30">
      <c r="A12" s="360">
        <v>2019</v>
      </c>
      <c r="C12" s="403">
        <f>Scenarios!H9</f>
        <v>63263.530730475759</v>
      </c>
      <c r="D12" s="416">
        <f t="shared" si="0"/>
        <v>1.5364589541823157E-2</v>
      </c>
      <c r="F12" s="403">
        <f>Scenarios!M9</f>
        <v>61712.74321275788</v>
      </c>
      <c r="G12" s="416">
        <f t="shared" si="1"/>
        <v>1.498795527242346E-2</v>
      </c>
      <c r="I12" s="403">
        <f>Scenarios!R9</f>
        <v>61712.74321275788</v>
      </c>
      <c r="J12" s="416">
        <f t="shared" si="2"/>
        <v>1.498795527242346E-2</v>
      </c>
      <c r="M12" s="403">
        <f>Scenarios!AD9</f>
        <v>61725.189272452124</v>
      </c>
      <c r="N12" s="416">
        <f t="shared" si="3"/>
        <v>1.4990978002840291E-2</v>
      </c>
      <c r="P12" s="403">
        <f>Scenarios!AI9</f>
        <v>60212.111327746454</v>
      </c>
      <c r="Q12" s="416">
        <f t="shared" si="4"/>
        <v>1.4623502123818747E-2</v>
      </c>
      <c r="S12" s="403">
        <f>Scenarios!AN9</f>
        <v>60212.111327746454</v>
      </c>
      <c r="T12" s="416">
        <f t="shared" si="5"/>
        <v>1.4623502123818747E-2</v>
      </c>
      <c r="W12" s="403">
        <f>Scenarios!AY9</f>
        <v>60656.240209230287</v>
      </c>
      <c r="X12" s="416">
        <f t="shared" si="6"/>
        <v>1.4731366131547624E-2</v>
      </c>
      <c r="Z12" s="403">
        <f>Scenarios!BD9</f>
        <v>59169.365558036377</v>
      </c>
      <c r="AA12" s="416">
        <f t="shared" si="7"/>
        <v>1.4370254153573073E-2</v>
      </c>
      <c r="AC12" s="403">
        <f>Scenarios!BI9</f>
        <v>59169.365558036377</v>
      </c>
      <c r="AD12" s="416">
        <f t="shared" si="8"/>
        <v>1.4370254153573073E-2</v>
      </c>
    </row>
    <row r="13" spans="1:30">
      <c r="A13" s="360">
        <v>2020</v>
      </c>
      <c r="C13" s="403">
        <f>Scenarios!H10</f>
        <v>75744.608250185789</v>
      </c>
      <c r="D13" s="416">
        <f t="shared" si="0"/>
        <v>1.8395824613842964E-2</v>
      </c>
      <c r="F13" s="403">
        <f>Scenarios!M10</f>
        <v>71441.499745928857</v>
      </c>
      <c r="G13" s="416">
        <f t="shared" si="1"/>
        <v>1.7350743898959835E-2</v>
      </c>
      <c r="I13" s="403">
        <f>Scenarios!R10</f>
        <v>71441.499745928857</v>
      </c>
      <c r="J13" s="416">
        <f t="shared" si="2"/>
        <v>1.7350743898959835E-2</v>
      </c>
      <c r="M13" s="403">
        <f>Scenarios!AD10</f>
        <v>73319.302400809785</v>
      </c>
      <c r="N13" s="416">
        <f t="shared" si="3"/>
        <v>1.7806799175983642E-2</v>
      </c>
      <c r="P13" s="403">
        <f>Scenarios!AI10</f>
        <v>69153.977356880525</v>
      </c>
      <c r="Q13" s="416">
        <f t="shared" si="4"/>
        <v>1.6795181441891228E-2</v>
      </c>
      <c r="S13" s="403">
        <f>Scenarios!AN10</f>
        <v>69153.977356880525</v>
      </c>
      <c r="T13" s="416">
        <f t="shared" si="5"/>
        <v>1.6795181441891228E-2</v>
      </c>
      <c r="W13" s="403">
        <f>Scenarios!AY10</f>
        <v>71634.02229852516</v>
      </c>
      <c r="X13" s="416">
        <f t="shared" si="6"/>
        <v>1.7397501169128464E-2</v>
      </c>
      <c r="Z13" s="403">
        <f>Scenarios!BD10</f>
        <v>67564.439292316165</v>
      </c>
      <c r="AA13" s="416">
        <f t="shared" si="7"/>
        <v>1.6409135964486815E-2</v>
      </c>
      <c r="AC13" s="403">
        <f>Scenarios!BI10</f>
        <v>67564.439292316165</v>
      </c>
      <c r="AD13" s="416">
        <f t="shared" si="8"/>
        <v>1.6409135964486815E-2</v>
      </c>
    </row>
    <row r="14" spans="1:30">
      <c r="A14" s="360">
        <v>2021</v>
      </c>
      <c r="C14" s="403">
        <f>Scenarios!H11</f>
        <v>89830.284602395812</v>
      </c>
      <c r="D14" s="416">
        <f t="shared" si="0"/>
        <v>2.1816762918609695E-2</v>
      </c>
      <c r="F14" s="403">
        <f>Scenarios!M11</f>
        <v>81392.45471647974</v>
      </c>
      <c r="G14" s="416">
        <f t="shared" si="1"/>
        <v>1.9767497072649316E-2</v>
      </c>
      <c r="I14" s="403">
        <f>Scenarios!R11</f>
        <v>81392.45471647974</v>
      </c>
      <c r="J14" s="416">
        <f t="shared" si="2"/>
        <v>1.9767497072649316E-2</v>
      </c>
      <c r="M14" s="403">
        <f>Scenarios!AD11</f>
        <v>86479.850698259645</v>
      </c>
      <c r="N14" s="416">
        <f t="shared" si="3"/>
        <v>2.1003054908170407E-2</v>
      </c>
      <c r="P14" s="403">
        <f>Scenarios!AI11</f>
        <v>78356.729726516962</v>
      </c>
      <c r="Q14" s="416">
        <f t="shared" si="4"/>
        <v>1.9030221301062251E-2</v>
      </c>
      <c r="S14" s="403">
        <f>Scenarios!AN11</f>
        <v>78356.729726516962</v>
      </c>
      <c r="T14" s="416">
        <f t="shared" si="5"/>
        <v>1.9030221301062251E-2</v>
      </c>
      <c r="W14" s="403">
        <f>Scenarios!AY11</f>
        <v>83968.689414029082</v>
      </c>
      <c r="X14" s="416">
        <f t="shared" si="6"/>
        <v>2.0393178065066332E-2</v>
      </c>
      <c r="Z14" s="403">
        <f>Scenarios!BD11</f>
        <v>76081.443813562597</v>
      </c>
      <c r="AA14" s="416">
        <f t="shared" si="7"/>
        <v>1.8477630673584114E-2</v>
      </c>
      <c r="AC14" s="403">
        <f>Scenarios!BI11</f>
        <v>76081.443813562597</v>
      </c>
      <c r="AD14" s="416">
        <f t="shared" si="8"/>
        <v>1.8477630673584114E-2</v>
      </c>
    </row>
    <row r="15" spans="1:30">
      <c r="A15" s="360">
        <v>2022</v>
      </c>
      <c r="C15" s="403">
        <f>Scenarios!H12</f>
        <v>105568.89646960584</v>
      </c>
      <c r="D15" s="416">
        <f t="shared" si="0"/>
        <v>2.5639143814926935E-2</v>
      </c>
      <c r="F15" s="403">
        <f>Scenarios!M12</f>
        <v>91565.608124410574</v>
      </c>
      <c r="G15" s="416">
        <f t="shared" si="1"/>
        <v>2.2238214793491914E-2</v>
      </c>
      <c r="I15" s="403">
        <f>Scenarios!R12</f>
        <v>92050.611047847065</v>
      </c>
      <c r="J15" s="416">
        <f t="shared" si="2"/>
        <v>2.2356005734957596E-2</v>
      </c>
      <c r="M15" s="403">
        <f>Scenarios!AD12</f>
        <v>101087.76864922397</v>
      </c>
      <c r="N15" s="416">
        <f t="shared" si="3"/>
        <v>2.4550828179526508E-2</v>
      </c>
      <c r="P15" s="403">
        <f>Scenarios!AI12</f>
        <v>87678.883836498615</v>
      </c>
      <c r="Q15" s="416">
        <f t="shared" si="4"/>
        <v>2.129425983782526E-2</v>
      </c>
      <c r="S15" s="403">
        <f>Scenarios!AN12</f>
        <v>88143.299634694078</v>
      </c>
      <c r="T15" s="416">
        <f t="shared" si="5"/>
        <v>2.1407050857131651E-2</v>
      </c>
      <c r="W15" s="403">
        <f>Scenarios!AY12</f>
        <v>97548.95652953301</v>
      </c>
      <c r="X15" s="416">
        <f t="shared" si="6"/>
        <v>2.3691369419370903E-2</v>
      </c>
      <c r="Z15" s="403">
        <f>Scenarios!BD12</f>
        <v>84609.480872048487</v>
      </c>
      <c r="AA15" s="416">
        <f t="shared" si="7"/>
        <v>2.0548804815908296E-2</v>
      </c>
      <c r="AC15" s="403">
        <f>Scenarios!BI12</f>
        <v>85057.638716614238</v>
      </c>
      <c r="AD15" s="416">
        <f t="shared" si="8"/>
        <v>2.0657647323624732E-2</v>
      </c>
    </row>
    <row r="16" spans="1:30">
      <c r="A16" s="360">
        <v>2023</v>
      </c>
      <c r="C16" s="403">
        <f>Scenarios!H13</f>
        <v>123008.78053431585</v>
      </c>
      <c r="D16" s="416">
        <f t="shared" si="0"/>
        <v>2.9874706661598242E-2</v>
      </c>
      <c r="F16" s="403">
        <f>Scenarios!M13</f>
        <v>101960.95996972131</v>
      </c>
      <c r="G16" s="416">
        <f t="shared" si="1"/>
        <v>2.4762897061487616E-2</v>
      </c>
      <c r="I16" s="403">
        <f>Scenarios!R13</f>
        <v>130154.97782356928</v>
      </c>
      <c r="J16" s="416">
        <f t="shared" si="2"/>
        <v>3.1610278275551421E-2</v>
      </c>
      <c r="M16" s="403">
        <f>Scenarios!AD13</f>
        <v>117169.03084018831</v>
      </c>
      <c r="N16" s="416">
        <f t="shared" si="3"/>
        <v>2.8456427345833878E-2</v>
      </c>
      <c r="P16" s="403">
        <f>Scenarios!AI13</f>
        <v>97120.43978726145</v>
      </c>
      <c r="Q16" s="416">
        <f t="shared" si="4"/>
        <v>2.3587297076572776E-2</v>
      </c>
      <c r="S16" s="403">
        <f>Scenarios!AN13</f>
        <v>123975.96776727229</v>
      </c>
      <c r="T16" s="416">
        <f t="shared" si="5"/>
        <v>3.0109603997755117E-2</v>
      </c>
      <c r="W16" s="403">
        <f>Scenarios!AY13</f>
        <v>112377.22364503694</v>
      </c>
      <c r="X16" s="416">
        <f t="shared" si="6"/>
        <v>2.7292658111538061E-2</v>
      </c>
      <c r="Z16" s="403">
        <f>Scenarios!BD13</f>
        <v>93148.550467773792</v>
      </c>
      <c r="AA16" s="416">
        <f t="shared" si="7"/>
        <v>2.2622658391459348E-2</v>
      </c>
      <c r="AC16" s="403">
        <f>Scenarios!BI13</f>
        <v>118905.7804480365</v>
      </c>
      <c r="AD16" s="416">
        <f t="shared" si="8"/>
        <v>2.8878225569129296E-2</v>
      </c>
    </row>
    <row r="17" spans="1:30">
      <c r="A17" s="360">
        <v>2024</v>
      </c>
      <c r="C17" s="403">
        <f>Scenarios!H14</f>
        <v>142198.27347902587</v>
      </c>
      <c r="D17" s="416">
        <f t="shared" si="0"/>
        <v>3.4535190817427203E-2</v>
      </c>
      <c r="F17" s="403">
        <f>Scenarios!M14</f>
        <v>112578.51025241199</v>
      </c>
      <c r="G17" s="416">
        <f t="shared" si="1"/>
        <v>2.7341543876636433E-2</v>
      </c>
      <c r="I17" s="403">
        <f>Scenarios!R14</f>
        <v>183925.86759650573</v>
      </c>
      <c r="J17" s="416">
        <f t="shared" si="2"/>
        <v>4.4669423744044819E-2</v>
      </c>
      <c r="M17" s="403">
        <f>Scenarios!AD14</f>
        <v>134749.61175115261</v>
      </c>
      <c r="N17" s="416">
        <f t="shared" si="3"/>
        <v>3.272616073701267E-2</v>
      </c>
      <c r="P17" s="403">
        <f>Scenarios!AI14</f>
        <v>106681.39757880548</v>
      </c>
      <c r="Q17" s="416">
        <f t="shared" si="4"/>
        <v>2.590933301730481E-2</v>
      </c>
      <c r="S17" s="403">
        <f>Scenarios!AN14</f>
        <v>174291.42171180202</v>
      </c>
      <c r="T17" s="416">
        <f t="shared" si="5"/>
        <v>4.2329540010523282E-2</v>
      </c>
      <c r="W17" s="403">
        <f>Scenarios!AY14</f>
        <v>128455.89076054085</v>
      </c>
      <c r="X17" s="416">
        <f t="shared" si="6"/>
        <v>3.1197627021063691E-2</v>
      </c>
      <c r="Z17" s="403">
        <f>Scenarios!BD14</f>
        <v>101698.65260073853</v>
      </c>
      <c r="AA17" s="416">
        <f t="shared" si="7"/>
        <v>2.4699191400237276E-2</v>
      </c>
      <c r="AC17" s="403">
        <f>Scenarios!BI14</f>
        <v>166150.82995012109</v>
      </c>
      <c r="AD17" s="416">
        <f t="shared" si="8"/>
        <v>4.0352463334568461E-2</v>
      </c>
    </row>
    <row r="18" spans="1:30">
      <c r="A18" s="360">
        <v>2025</v>
      </c>
      <c r="C18" s="403">
        <f>Scenarios!H15</f>
        <v>163185.71198623592</v>
      </c>
      <c r="D18" s="416">
        <f t="shared" si="0"/>
        <v>3.9632335641217396E-2</v>
      </c>
      <c r="F18" s="403">
        <f>Scenarios!M15</f>
        <v>123418.25897248258</v>
      </c>
      <c r="G18" s="416">
        <f t="shared" si="1"/>
        <v>2.9974155238938361E-2</v>
      </c>
      <c r="I18" s="403">
        <f>Scenarios!R15</f>
        <v>259716.39940422747</v>
      </c>
      <c r="J18" s="416">
        <f t="shared" si="2"/>
        <v>6.3076401649581948E-2</v>
      </c>
      <c r="M18" s="403">
        <f>Scenarios!AD15</f>
        <v>153855.49444219505</v>
      </c>
      <c r="N18" s="416">
        <f t="shared" si="3"/>
        <v>3.736633876679623E-2</v>
      </c>
      <c r="P18" s="403">
        <f>Scenarios!AI15</f>
        <v>116361.76370029135</v>
      </c>
      <c r="Q18" s="416">
        <f t="shared" si="4"/>
        <v>2.8260369236020808E-2</v>
      </c>
      <c r="S18" s="403">
        <f>Scenarios!AN15</f>
        <v>244866.99576035433</v>
      </c>
      <c r="T18" s="416">
        <f t="shared" si="5"/>
        <v>5.94699796036645E-2</v>
      </c>
      <c r="W18" s="403">
        <f>Scenarios!AY15</f>
        <v>145787.35787604479</v>
      </c>
      <c r="X18" s="416">
        <f t="shared" si="6"/>
        <v>3.5406859027443699E-2</v>
      </c>
      <c r="Z18" s="403">
        <f>Scenarios!BD15</f>
        <v>110259.78727094269</v>
      </c>
      <c r="AA18" s="416">
        <f t="shared" si="7"/>
        <v>2.6778403842242081E-2</v>
      </c>
      <c r="AC18" s="403">
        <f>Scenarios!BI15</f>
        <v>232026.2430170083</v>
      </c>
      <c r="AD18" s="416">
        <f t="shared" si="8"/>
        <v>5.6351391484545973E-2</v>
      </c>
    </row>
    <row r="19" spans="1:30">
      <c r="A19" s="360">
        <v>2026</v>
      </c>
      <c r="C19" s="403">
        <f>Scenarios!H16</f>
        <v>186019.43273844593</v>
      </c>
      <c r="D19" s="416">
        <f t="shared" si="0"/>
        <v>4.5177880491772369E-2</v>
      </c>
      <c r="F19" s="403">
        <f>Scenarios!M16</f>
        <v>134480.20612993313</v>
      </c>
      <c r="G19" s="416">
        <f t="shared" si="1"/>
        <v>3.2660731148393407E-2</v>
      </c>
      <c r="I19" s="403">
        <f>Scenarios!R16</f>
        <v>366376.80757035385</v>
      </c>
      <c r="J19" s="416">
        <f t="shared" si="2"/>
        <v>8.8980637042602839E-2</v>
      </c>
      <c r="M19" s="403">
        <f>Scenarios!AD16</f>
        <v>174618.51609864205</v>
      </c>
      <c r="N19" s="416">
        <f t="shared" si="3"/>
        <v>4.2408980265235631E-2</v>
      </c>
      <c r="P19" s="403">
        <f>Scenarios!AI16</f>
        <v>126238.069288527</v>
      </c>
      <c r="Q19" s="416">
        <f t="shared" si="4"/>
        <v>3.0658992578738463E-2</v>
      </c>
      <c r="S19" s="403">
        <f>Scenarios!AN16</f>
        <v>343921.99529415352</v>
      </c>
      <c r="T19" s="416">
        <f t="shared" si="5"/>
        <v>8.3527116350999867E-2</v>
      </c>
      <c r="W19" s="403">
        <f>Scenarios!AY16</f>
        <v>164480.69210705263</v>
      </c>
      <c r="X19" s="416">
        <f t="shared" si="6"/>
        <v>3.9946842874554349E-2</v>
      </c>
      <c r="Z19" s="403">
        <f>Scenarios!BD16</f>
        <v>118909.06801146767</v>
      </c>
      <c r="AA19" s="416">
        <f t="shared" si="7"/>
        <v>2.8879024008010741E-2</v>
      </c>
      <c r="AC19" s="403">
        <f>Scenarios!BI16</f>
        <v>323954.92231113277</v>
      </c>
      <c r="AD19" s="416">
        <f t="shared" si="8"/>
        <v>7.8677784086527425E-2</v>
      </c>
    </row>
    <row r="20" spans="1:30">
      <c r="A20" s="360">
        <v>2027</v>
      </c>
      <c r="C20" s="403">
        <f>Scenarios!H17</f>
        <v>210747.77241815592</v>
      </c>
      <c r="D20" s="416">
        <f t="shared" si="0"/>
        <v>5.118356472789571E-2</v>
      </c>
      <c r="F20" s="403">
        <f>Scenarios!M17</f>
        <v>145764.35172476358</v>
      </c>
      <c r="G20" s="416">
        <f t="shared" si="1"/>
        <v>3.5401271605001554E-2</v>
      </c>
      <c r="I20" s="403">
        <f>Scenarios!R17</f>
        <v>516162.20600965025</v>
      </c>
      <c r="J20" s="416">
        <f t="shared" si="2"/>
        <v>0.12535848601506913</v>
      </c>
      <c r="M20" s="403">
        <f>Scenarios!AD17</f>
        <v>196984.19564181133</v>
      </c>
      <c r="N20" s="416">
        <f t="shared" si="3"/>
        <v>4.7840853605798428E-2</v>
      </c>
      <c r="P20" s="403">
        <f>Scenarios!AI17</f>
        <v>136244.731074932</v>
      </c>
      <c r="Q20" s="416">
        <f t="shared" si="4"/>
        <v>3.3089275069404053E-2</v>
      </c>
      <c r="S20" s="403">
        <f>Scenarios!AN17</f>
        <v>482452.53463354986</v>
      </c>
      <c r="T20" s="416">
        <f t="shared" si="5"/>
        <v>0.1171715375741086</v>
      </c>
      <c r="W20" s="403">
        <f>Scenarios!AY17</f>
        <v>184457.22633806046</v>
      </c>
      <c r="X20" s="416">
        <f t="shared" si="6"/>
        <v>4.4798472958800628E-2</v>
      </c>
      <c r="Z20" s="403">
        <f>Scenarios!BD17</f>
        <v>127580.41382647149</v>
      </c>
      <c r="AA20" s="416">
        <f t="shared" si="7"/>
        <v>3.0985003040233144E-2</v>
      </c>
      <c r="AC20" s="403">
        <f>Scenarios!BI17</f>
        <v>451771.55501394195</v>
      </c>
      <c r="AD20" s="416">
        <f t="shared" si="8"/>
        <v>0.10972015676824361</v>
      </c>
    </row>
    <row r="21" spans="1:30">
      <c r="A21" s="360">
        <v>2028</v>
      </c>
      <c r="C21" s="403">
        <f>Scenarios!H18</f>
        <v>237419.06770786599</v>
      </c>
      <c r="D21" s="416">
        <f t="shared" si="0"/>
        <v>5.7661127708391012E-2</v>
      </c>
      <c r="F21" s="403">
        <f>Scenarios!M18</f>
        <v>157270.69575697396</v>
      </c>
      <c r="G21" s="416">
        <f t="shared" si="1"/>
        <v>3.8195776608762819E-2</v>
      </c>
      <c r="I21" s="403">
        <f>Scenarios!R18</f>
        <v>725900.75783864828</v>
      </c>
      <c r="J21" s="416">
        <f t="shared" si="2"/>
        <v>0.17629694491452746</v>
      </c>
      <c r="M21" s="403">
        <f>Scenarios!AD18</f>
        <v>220980.88606498064</v>
      </c>
      <c r="N21" s="416">
        <f t="shared" si="3"/>
        <v>5.3668844779496593E-2</v>
      </c>
      <c r="P21" s="403">
        <f>Scenarios!AI18</f>
        <v>146381.7461502089</v>
      </c>
      <c r="Q21" s="416">
        <f t="shared" si="4"/>
        <v>3.5551216001446811E-2</v>
      </c>
      <c r="S21" s="403">
        <f>Scenarios!AN18</f>
        <v>675641.57424711704</v>
      </c>
      <c r="T21" s="416">
        <f t="shared" si="5"/>
        <v>0.16409067508300482</v>
      </c>
      <c r="W21" s="403">
        <f>Scenarios!AY18</f>
        <v>205721.76056906834</v>
      </c>
      <c r="X21" s="416">
        <f t="shared" si="6"/>
        <v>4.9962915039174334E-2</v>
      </c>
      <c r="Z21" s="403">
        <f>Scenarios!BD18</f>
        <v>136273.82471595419</v>
      </c>
      <c r="AA21" s="416">
        <f t="shared" si="7"/>
        <v>3.3096340938909306E-2</v>
      </c>
      <c r="AC21" s="403">
        <f>Scenarios!BI18</f>
        <v>628987.31488886254</v>
      </c>
      <c r="AD21" s="416">
        <f t="shared" si="8"/>
        <v>0.1527599204264041</v>
      </c>
    </row>
    <row r="22" spans="1:30">
      <c r="A22" s="360">
        <v>2029</v>
      </c>
      <c r="C22" s="403">
        <f>Scenarios!H19</f>
        <v>266081.65529007599</v>
      </c>
      <c r="D22" s="416">
        <f t="shared" si="0"/>
        <v>6.4622308792061808E-2</v>
      </c>
      <c r="F22" s="403">
        <f>Scenarios!M19</f>
        <v>168999.23822656425</v>
      </c>
      <c r="G22" s="416">
        <f t="shared" si="1"/>
        <v>4.1044246159677188E-2</v>
      </c>
      <c r="I22" s="403">
        <f>Scenarios!R19</f>
        <v>1018429.4999016544</v>
      </c>
      <c r="J22" s="416">
        <f t="shared" si="2"/>
        <v>0.24734236395907006</v>
      </c>
      <c r="M22" s="403">
        <f>Scenarios!AD19</f>
        <v>246636.94420814991</v>
      </c>
      <c r="N22" s="416">
        <f t="shared" si="3"/>
        <v>5.9899840711581859E-2</v>
      </c>
      <c r="P22" s="403">
        <f>Scenarios!AI19</f>
        <v>156649.1145143577</v>
      </c>
      <c r="Q22" s="416">
        <f t="shared" si="4"/>
        <v>3.8044815374866738E-2</v>
      </c>
      <c r="S22" s="403">
        <f>Scenarios!AN19</f>
        <v>944004.72469004022</v>
      </c>
      <c r="T22" s="416">
        <f t="shared" si="5"/>
        <v>0.22926708251863584</v>
      </c>
      <c r="W22" s="403">
        <f>Scenarios!AY19</f>
        <v>228279.09480007616</v>
      </c>
      <c r="X22" s="416">
        <f t="shared" si="6"/>
        <v>5.5441334874667222E-2</v>
      </c>
      <c r="Z22" s="403">
        <f>Scenarios!BD19</f>
        <v>144989.30067991573</v>
      </c>
      <c r="AA22" s="416">
        <f t="shared" si="7"/>
        <v>3.5213037704039211E-2</v>
      </c>
      <c r="AC22" s="403">
        <f>Scenarios!BI19</f>
        <v>873739.92055857053</v>
      </c>
      <c r="AD22" s="416">
        <f t="shared" si="8"/>
        <v>0.2122021185140808</v>
      </c>
    </row>
    <row r="23" spans="1:30">
      <c r="A23" s="360">
        <v>2030</v>
      </c>
      <c r="C23" s="403">
        <f>Scenarios!H20</f>
        <v>296783.87184728601</v>
      </c>
      <c r="D23" s="416">
        <f t="shared" si="0"/>
        <v>7.2078847337711693E-2</v>
      </c>
      <c r="F23" s="403">
        <f>Scenarios!M20</f>
        <v>180949.97913353448</v>
      </c>
      <c r="G23" s="416">
        <f t="shared" si="1"/>
        <v>4.3946680257744675E-2</v>
      </c>
      <c r="I23" s="403">
        <f>Scenarios!R20</f>
        <v>1424228.8356624753</v>
      </c>
      <c r="J23" s="416">
        <f t="shared" si="2"/>
        <v>0.34589741073431984</v>
      </c>
      <c r="M23" s="403">
        <f>Scenarios!AD20</f>
        <v>273980.73718627705</v>
      </c>
      <c r="N23" s="416">
        <f t="shared" si="3"/>
        <v>6.6540730822748598E-2</v>
      </c>
      <c r="P23" s="403">
        <f>Scenarios!AI20</f>
        <v>167046.84243204977</v>
      </c>
      <c r="Q23" s="416">
        <f t="shared" si="4"/>
        <v>4.0570074711142372E-2</v>
      </c>
      <c r="S23" s="403">
        <f>Scenarios!AN20</f>
        <v>1314799.4326239747</v>
      </c>
      <c r="T23" s="416">
        <f t="shared" si="5"/>
        <v>0.31932067936824465</v>
      </c>
      <c r="W23" s="403">
        <f>Scenarios!AY20</f>
        <v>252134.02903108401</v>
      </c>
      <c r="X23" s="416">
        <f t="shared" si="6"/>
        <v>6.1234898224271091E-2</v>
      </c>
      <c r="Z23" s="403">
        <f>Scenarios!BD20</f>
        <v>153726.84171835615</v>
      </c>
      <c r="AA23" s="416">
        <f t="shared" si="7"/>
        <v>3.7335093335622883E-2</v>
      </c>
      <c r="AC23" s="403">
        <f>Scenarios!BI20</f>
        <v>1209959.8012610581</v>
      </c>
      <c r="AD23" s="416">
        <f t="shared" si="8"/>
        <v>0.29385864958571645</v>
      </c>
    </row>
    <row r="24" spans="1:30">
      <c r="A24" s="360">
        <v>2031</v>
      </c>
      <c r="C24" s="403">
        <f>Scenarios!H21</f>
        <v>329574.05406199599</v>
      </c>
      <c r="D24" s="416">
        <f t="shared" si="0"/>
        <v>8.0042482704144241E-2</v>
      </c>
      <c r="F24" s="403">
        <f>Scenarios!M21</f>
        <v>237963.6092216151</v>
      </c>
      <c r="G24" s="416">
        <f t="shared" si="1"/>
        <v>5.7793378576318111E-2</v>
      </c>
      <c r="I24" s="403">
        <f>Scenarios!R21</f>
        <v>1983030.0768467926</v>
      </c>
      <c r="J24" s="416">
        <f t="shared" si="2"/>
        <v>0.48161148813598426</v>
      </c>
      <c r="M24" s="403">
        <f>Scenarios!AD21</f>
        <v>302368.14159186638</v>
      </c>
      <c r="N24" s="416">
        <f t="shared" si="3"/>
        <v>7.343507914339191E-2</v>
      </c>
      <c r="P24" s="403">
        <f>Scenarios!AI21</f>
        <v>218320.02064488336</v>
      </c>
      <c r="Q24" s="416">
        <f t="shared" si="4"/>
        <v>5.3022609823373111E-2</v>
      </c>
      <c r="S24" s="403">
        <f>Scenarios!AN21</f>
        <v>1819333.5053740281</v>
      </c>
      <c r="T24" s="416">
        <f t="shared" si="5"/>
        <v>0.44185508186144262</v>
      </c>
      <c r="W24" s="403">
        <f>Scenarios!AY21</f>
        <v>269787.34441092698</v>
      </c>
      <c r="X24" s="416">
        <f t="shared" si="6"/>
        <v>6.5522296378180633E-2</v>
      </c>
      <c r="Z24" s="403">
        <f>Scenarios!BD21</f>
        <v>194795.58359367258</v>
      </c>
      <c r="AA24" s="416">
        <f t="shared" si="7"/>
        <v>4.730931315274968E-2</v>
      </c>
      <c r="AC24" s="403">
        <f>Scenarios!BI21</f>
        <v>1623296.5299472716</v>
      </c>
      <c r="AD24" s="416">
        <f t="shared" si="8"/>
        <v>0.39424427627291403</v>
      </c>
    </row>
    <row r="25" spans="1:30">
      <c r="A25" s="360">
        <v>2032</v>
      </c>
      <c r="C25" s="403">
        <f>Scenarios!H22</f>
        <v>364500.53861670598</v>
      </c>
      <c r="D25" s="416">
        <f t="shared" si="0"/>
        <v>8.8524954250163018E-2</v>
      </c>
      <c r="F25" s="403">
        <f>Scenarios!M22</f>
        <v>329386.98359402362</v>
      </c>
      <c r="G25" s="416">
        <f t="shared" si="1"/>
        <v>7.9997049562449421E-2</v>
      </c>
      <c r="I25" s="403">
        <f>Scenarios!R22</f>
        <v>2744891.5299501969</v>
      </c>
      <c r="J25" s="416">
        <f t="shared" si="2"/>
        <v>0.66664207968707845</v>
      </c>
      <c r="M25" s="403">
        <f>Scenarios!AD22</f>
        <v>332373.52441905777</v>
      </c>
      <c r="N25" s="416">
        <f t="shared" si="3"/>
        <v>8.0722380150178422E-2</v>
      </c>
      <c r="P25" s="403">
        <f>Scenarios!AI22</f>
        <v>300354.87204048334</v>
      </c>
      <c r="Q25" s="416">
        <f t="shared" si="4"/>
        <v>7.2946123501225243E-2</v>
      </c>
      <c r="S25" s="403">
        <f>Scenarios!AN22</f>
        <v>2502957.267004028</v>
      </c>
      <c r="T25" s="416">
        <f t="shared" si="5"/>
        <v>0.60788436251021039</v>
      </c>
      <c r="W25" s="403">
        <f>Scenarios!AY22</f>
        <v>287336.65979076998</v>
      </c>
      <c r="X25" s="416">
        <f t="shared" si="6"/>
        <v>6.9784436420601628E-2</v>
      </c>
      <c r="Z25" s="403">
        <f>Scenarios!BD22</f>
        <v>259656.55909219023</v>
      </c>
      <c r="AA25" s="416">
        <f t="shared" si="7"/>
        <v>6.3061868445034391E-2</v>
      </c>
      <c r="AC25" s="403">
        <f>Scenarios!BI22</f>
        <v>2163804.6591015854</v>
      </c>
      <c r="AD25" s="416">
        <f t="shared" si="8"/>
        <v>0.52551557037528662</v>
      </c>
    </row>
    <row r="26" spans="1:30">
      <c r="A26" s="360">
        <v>2033</v>
      </c>
      <c r="C26" s="403">
        <f>Scenarios!H23</f>
        <v>401611.66219391604</v>
      </c>
      <c r="D26" s="416">
        <f t="shared" si="0"/>
        <v>9.753800133457162E-2</v>
      </c>
      <c r="F26" s="403">
        <f>Scenarios!M23</f>
        <v>452377.64025000611</v>
      </c>
      <c r="G26" s="416">
        <f t="shared" si="1"/>
        <v>0.10986735454193662</v>
      </c>
      <c r="I26" s="403">
        <f>Scenarios!R23</f>
        <v>3769813.6687500509</v>
      </c>
      <c r="J26" s="416">
        <f t="shared" si="2"/>
        <v>0.91556128784947177</v>
      </c>
      <c r="M26" s="403">
        <f>Scenarios!AD23</f>
        <v>364016.20736624917</v>
      </c>
      <c r="N26" s="416">
        <f t="shared" si="3"/>
        <v>8.8407326435533923E-2</v>
      </c>
      <c r="P26" s="403">
        <f>Scenarios!AI23</f>
        <v>410029.90800000553</v>
      </c>
      <c r="Q26" s="416">
        <f t="shared" si="4"/>
        <v>9.9582510864458337E-2</v>
      </c>
      <c r="S26" s="403">
        <f>Scenarios!AN23</f>
        <v>3416915.900000046</v>
      </c>
      <c r="T26" s="416">
        <f t="shared" si="5"/>
        <v>0.82985425720381945</v>
      </c>
      <c r="W26" s="403">
        <f>Scenarios!AY23</f>
        <v>304685.97517061298</v>
      </c>
      <c r="X26" s="416">
        <f t="shared" si="6"/>
        <v>7.3998003171698495E-2</v>
      </c>
      <c r="Z26" s="403">
        <f>Scenarios!BD23</f>
        <v>343200.0000000046</v>
      </c>
      <c r="AA26" s="416">
        <f t="shared" si="7"/>
        <v>8.3351767912213118E-2</v>
      </c>
      <c r="AC26" s="403">
        <f>Scenarios!BI23</f>
        <v>2860000.0000000386</v>
      </c>
      <c r="AD26" s="416">
        <f t="shared" si="8"/>
        <v>0.69459806593510942</v>
      </c>
    </row>
    <row r="27" spans="1:30">
      <c r="A27" s="360">
        <v>2034</v>
      </c>
      <c r="C27" s="403">
        <f>Scenarios!H24</f>
        <v>440955.76147612609</v>
      </c>
      <c r="D27" s="416">
        <f t="shared" si="0"/>
        <v>0.1070933633161736</v>
      </c>
      <c r="F27" s="403">
        <f>Scenarios!M24</f>
        <v>614934.69709380111</v>
      </c>
      <c r="G27" s="416">
        <f t="shared" si="1"/>
        <v>0.14934701093627303</v>
      </c>
      <c r="I27" s="403">
        <f>Scenarios!R24</f>
        <v>5124455.8091150094</v>
      </c>
      <c r="J27" s="416">
        <f t="shared" si="2"/>
        <v>1.2445584244689418</v>
      </c>
      <c r="M27" s="403">
        <f>Scenarios!AD24</f>
        <v>397315.51427344058</v>
      </c>
      <c r="N27" s="416">
        <f t="shared" si="3"/>
        <v>9.6494611112007508E-2</v>
      </c>
      <c r="P27" s="403">
        <f>Scenarios!AI24</f>
        <v>554076.20619927871</v>
      </c>
      <c r="Q27" s="416">
        <f t="shared" si="4"/>
        <v>0.13456652489743939</v>
      </c>
      <c r="S27" s="403">
        <f>Scenarios!AN24</f>
        <v>4617301.718327323</v>
      </c>
      <c r="T27" s="416">
        <f t="shared" si="5"/>
        <v>1.1213877074786618</v>
      </c>
      <c r="W27" s="403">
        <f>Scenarios!AY24</f>
        <v>321739.29055045597</v>
      </c>
      <c r="X27" s="416">
        <f t="shared" si="6"/>
        <v>7.8139681451635648E-2</v>
      </c>
      <c r="Z27" s="403">
        <f>Scenarios!BD24</f>
        <v>448681.41084155196</v>
      </c>
      <c r="AA27" s="416">
        <f t="shared" si="7"/>
        <v>0.10896966440264826</v>
      </c>
      <c r="AC27" s="403">
        <f>Scenarios!BI24</f>
        <v>3739011.7570129326</v>
      </c>
      <c r="AD27" s="416">
        <f t="shared" si="8"/>
        <v>0.90808053668873545</v>
      </c>
    </row>
    <row r="28" spans="1:30">
      <c r="A28" s="360">
        <v>2035</v>
      </c>
      <c r="C28" s="403">
        <f>Scenarios!H25</f>
        <v>482581.17314583616</v>
      </c>
      <c r="D28" s="416">
        <f t="shared" si="0"/>
        <v>0.11720277955377253</v>
      </c>
      <c r="F28" s="403">
        <f>Scenarios!M25</f>
        <v>824904.11273606936</v>
      </c>
      <c r="G28" s="416">
        <f t="shared" si="1"/>
        <v>0.20034153891202222</v>
      </c>
      <c r="I28" s="403">
        <f>Scenarios!R25</f>
        <v>6874200.9394672448</v>
      </c>
      <c r="J28" s="416">
        <f t="shared" si="2"/>
        <v>1.6695128242668518</v>
      </c>
      <c r="M28" s="403">
        <f>Scenarios!AD25</f>
        <v>432290.79039052426</v>
      </c>
      <c r="N28" s="416">
        <f t="shared" si="3"/>
        <v>0.10498893249189296</v>
      </c>
      <c r="P28" s="403">
        <f>Scenarios!AI25</f>
        <v>738939.83175200538</v>
      </c>
      <c r="Q28" s="416">
        <f t="shared" si="4"/>
        <v>0.17946369859347944</v>
      </c>
      <c r="S28" s="403">
        <f>Scenarios!AN25</f>
        <v>6157831.9312667111</v>
      </c>
      <c r="T28" s="416">
        <f t="shared" si="5"/>
        <v>1.4955308216123284</v>
      </c>
      <c r="W28" s="403">
        <f>Scenarios!AY25</f>
        <v>338400.60593029897</v>
      </c>
      <c r="X28" s="416">
        <f t="shared" si="6"/>
        <v>8.2186156080577485E-2</v>
      </c>
      <c r="Z28" s="403">
        <f>Scenarios!BD25</f>
        <v>578447.86974298919</v>
      </c>
      <c r="AA28" s="416">
        <f t="shared" si="7"/>
        <v>0.14048558446425138</v>
      </c>
      <c r="AC28" s="403">
        <f>Scenarios!BI25</f>
        <v>4820398.91452491</v>
      </c>
      <c r="AD28" s="416">
        <f t="shared" si="8"/>
        <v>1.1707132038687615</v>
      </c>
    </row>
    <row r="29" spans="1:30">
      <c r="A29" s="360">
        <v>2036</v>
      </c>
      <c r="C29" s="403">
        <f>Scenarios!H26</f>
        <v>526536.23388554621</v>
      </c>
      <c r="D29" s="416">
        <f t="shared" si="0"/>
        <v>0.12787798940617198</v>
      </c>
      <c r="F29" s="403">
        <f>Scenarios!M26</f>
        <v>1088316.4001610281</v>
      </c>
      <c r="G29" s="416">
        <f t="shared" si="1"/>
        <v>0.26431554778926591</v>
      </c>
      <c r="I29" s="403">
        <f>Scenarios!R26</f>
        <v>9069303.3346752357</v>
      </c>
      <c r="J29" s="416">
        <f t="shared" si="2"/>
        <v>2.2026295649105498</v>
      </c>
      <c r="M29" s="403">
        <f>Scenarios!AD26</f>
        <v>469237.9577199358</v>
      </c>
      <c r="N29" s="416">
        <f t="shared" si="3"/>
        <v>0.11396216010335793</v>
      </c>
      <c r="P29" s="403">
        <f>Scenarios!AI26</f>
        <v>969884.56273206871</v>
      </c>
      <c r="Q29" s="416">
        <f t="shared" si="4"/>
        <v>0.23555242708181998</v>
      </c>
      <c r="S29" s="403">
        <f>Scenarios!AN26</f>
        <v>8082371.3561005732</v>
      </c>
      <c r="T29" s="416">
        <f t="shared" si="5"/>
        <v>1.9629368923485</v>
      </c>
      <c r="W29" s="403">
        <f>Scenarios!AY26</f>
        <v>354573.92131014203</v>
      </c>
      <c r="X29" s="416">
        <f t="shared" si="6"/>
        <v>8.6114111878688462E-2</v>
      </c>
      <c r="Z29" s="403">
        <f>Scenarios!BD26</f>
        <v>732881.40264078102</v>
      </c>
      <c r="AA29" s="416">
        <f t="shared" si="7"/>
        <v>0.1779923093825489</v>
      </c>
      <c r="AC29" s="403">
        <f>Scenarios!BI26</f>
        <v>6107345.0220065089</v>
      </c>
      <c r="AD29" s="416">
        <f t="shared" si="8"/>
        <v>1.4832692448545741</v>
      </c>
    </row>
    <row r="30" spans="1:30">
      <c r="A30" s="360">
        <v>2037</v>
      </c>
      <c r="C30" s="403">
        <f>Scenarios!H27</f>
        <v>572869.28037775622</v>
      </c>
      <c r="D30" s="416">
        <f t="shared" si="0"/>
        <v>0.13913073223217554</v>
      </c>
      <c r="F30" s="403">
        <f>Scenarios!M27</f>
        <v>1407116.0819619084</v>
      </c>
      <c r="G30" s="416">
        <f t="shared" si="1"/>
        <v>0.34174129688004101</v>
      </c>
      <c r="I30" s="403">
        <f>Scenarios!R27</f>
        <v>11725967.34968257</v>
      </c>
      <c r="J30" s="416">
        <f t="shared" si="2"/>
        <v>2.8478441406670085</v>
      </c>
      <c r="M30" s="403">
        <f>Scenarios!AD27</f>
        <v>507942.23423252802</v>
      </c>
      <c r="N30" s="416">
        <f t="shared" si="3"/>
        <v>0.12336213059603759</v>
      </c>
      <c r="P30" s="403">
        <f>Scenarios!AI27</f>
        <v>1247638.3548179604</v>
      </c>
      <c r="Q30" s="416">
        <f t="shared" si="4"/>
        <v>0.30300950637867324</v>
      </c>
      <c r="S30" s="403">
        <f>Scenarios!AN27</f>
        <v>10396986.29014967</v>
      </c>
      <c r="T30" s="416">
        <f t="shared" si="5"/>
        <v>2.5250792198222767</v>
      </c>
      <c r="W30" s="403">
        <f>Scenarios!AY27</f>
        <v>370163.23668998503</v>
      </c>
      <c r="X30" s="416">
        <f t="shared" si="6"/>
        <v>8.9900233666132964E-2</v>
      </c>
      <c r="Z30" s="403">
        <f>Scenarios!BD27</f>
        <v>909217.27021928586</v>
      </c>
      <c r="AA30" s="416">
        <f t="shared" si="7"/>
        <v>0.22081837671647106</v>
      </c>
      <c r="AC30" s="403">
        <f>Scenarios!BI27</f>
        <v>7576810.5851607146</v>
      </c>
      <c r="AD30" s="416">
        <f t="shared" si="8"/>
        <v>1.8401531393039252</v>
      </c>
    </row>
    <row r="31" spans="1:30">
      <c r="A31" s="360">
        <v>2038</v>
      </c>
      <c r="C31" s="403">
        <f>Scenarios!H28</f>
        <v>621628.64930496633</v>
      </c>
      <c r="D31" s="416">
        <f t="shared" si="0"/>
        <v>0.15097274739058678</v>
      </c>
      <c r="F31" s="403">
        <f>Scenarios!M28</f>
        <v>1776863.6987153452</v>
      </c>
      <c r="G31" s="416">
        <f t="shared" si="1"/>
        <v>0.43154059040488363</v>
      </c>
      <c r="I31" s="403">
        <f>Scenarios!R28</f>
        <v>14807197.489294546</v>
      </c>
      <c r="J31" s="416">
        <f t="shared" si="2"/>
        <v>3.596171586707364</v>
      </c>
      <c r="M31" s="403">
        <f>Scenarios!AD28</f>
        <v>548425.40034512023</v>
      </c>
      <c r="N31" s="416">
        <f t="shared" si="3"/>
        <v>0.13319413370258862</v>
      </c>
      <c r="P31" s="403">
        <f>Scenarios!AI28</f>
        <v>1567619.4886066185</v>
      </c>
      <c r="Q31" s="416">
        <f t="shared" si="4"/>
        <v>0.38072219052738737</v>
      </c>
      <c r="S31" s="403">
        <f>Scenarios!AN28</f>
        <v>13063495.73838849</v>
      </c>
      <c r="T31" s="416">
        <f t="shared" si="5"/>
        <v>3.172684921061562</v>
      </c>
      <c r="W31" s="403">
        <f>Scenarios!AY28</f>
        <v>385072.55206982803</v>
      </c>
      <c r="X31" s="416">
        <f t="shared" si="6"/>
        <v>9.3521206263075404E-2</v>
      </c>
      <c r="Z31" s="403">
        <f>Scenarios!BD28</f>
        <v>1100691.6105130769</v>
      </c>
      <c r="AA31" s="416">
        <f t="shared" si="7"/>
        <v>0.2673210712774034</v>
      </c>
      <c r="AC31" s="403">
        <f>Scenarios!BI28</f>
        <v>9172430.0876089744</v>
      </c>
      <c r="AD31" s="416">
        <f t="shared" si="8"/>
        <v>2.2276755939783617</v>
      </c>
    </row>
    <row r="32" spans="1:30">
      <c r="A32" s="360">
        <v>2039</v>
      </c>
      <c r="C32" s="403">
        <f>Scenarios!H29</f>
        <v>672862.67734967649</v>
      </c>
      <c r="D32" s="416">
        <f t="shared" si="0"/>
        <v>0.16341577424020928</v>
      </c>
      <c r="F32" s="403">
        <f>Scenarios!M29</f>
        <v>2185489.8664942221</v>
      </c>
      <c r="G32" s="416">
        <f t="shared" si="1"/>
        <v>0.53078217985582055</v>
      </c>
      <c r="I32" s="403">
        <f>Scenarios!R29</f>
        <v>18212415.554118518</v>
      </c>
      <c r="J32" s="416">
        <f t="shared" si="2"/>
        <v>4.4231848321318381</v>
      </c>
      <c r="M32" s="403">
        <f>Scenarios!AD29</f>
        <v>590709.23281771259</v>
      </c>
      <c r="N32" s="416">
        <f t="shared" si="3"/>
        <v>0.14346345826754892</v>
      </c>
      <c r="P32" s="403">
        <f>Scenarios!AI29</f>
        <v>1918651.5849753094</v>
      </c>
      <c r="Q32" s="416">
        <f t="shared" si="4"/>
        <v>0.46597611193257488</v>
      </c>
      <c r="S32" s="403">
        <f>Scenarios!AN29</f>
        <v>15988763.208127579</v>
      </c>
      <c r="T32" s="416">
        <f t="shared" si="5"/>
        <v>3.8831342661047907</v>
      </c>
      <c r="W32" s="403">
        <f>Scenarios!AY29</f>
        <v>399205.86744967109</v>
      </c>
      <c r="X32" s="416">
        <f t="shared" si="6"/>
        <v>9.6953714489680223E-2</v>
      </c>
      <c r="Z32" s="403">
        <f>Scenarios!BD29</f>
        <v>1296639.5779192364</v>
      </c>
      <c r="AA32" s="416">
        <f t="shared" si="7"/>
        <v>0.31491025980335874</v>
      </c>
      <c r="AC32" s="403">
        <f>Scenarios!BI29</f>
        <v>10805329.815993637</v>
      </c>
      <c r="AD32" s="416">
        <f t="shared" si="8"/>
        <v>2.6242521650279897</v>
      </c>
    </row>
    <row r="33" spans="1:30">
      <c r="A33" s="360">
        <v>2040</v>
      </c>
      <c r="C33" s="403">
        <f>Scenarios!H30</f>
        <v>726619.70119438658</v>
      </c>
      <c r="D33" s="416">
        <f t="shared" si="0"/>
        <v>0.17647155213984658</v>
      </c>
      <c r="F33" s="403">
        <f>Scenarios!M30</f>
        <v>2614208.9974382389</v>
      </c>
      <c r="G33" s="416">
        <f t="shared" si="1"/>
        <v>0.63490367607368448</v>
      </c>
      <c r="I33" s="403">
        <f>Scenarios!R30</f>
        <v>21785074.978651993</v>
      </c>
      <c r="J33" s="416">
        <f t="shared" si="2"/>
        <v>5.2908639672807052</v>
      </c>
      <c r="M33" s="403">
        <f>Scenarios!AD30</f>
        <v>634815.53701153805</v>
      </c>
      <c r="N33" s="416">
        <f t="shared" si="3"/>
        <v>0.15417540008173644</v>
      </c>
      <c r="P33" s="403">
        <f>Scenarios!AI30</f>
        <v>2283918.9273856296</v>
      </c>
      <c r="Q33" s="416">
        <f t="shared" si="4"/>
        <v>0.55468729710301623</v>
      </c>
      <c r="S33" s="403">
        <f>Scenarios!AN30</f>
        <v>19032657.728213582</v>
      </c>
      <c r="T33" s="416">
        <f t="shared" si="5"/>
        <v>4.6223941425251365</v>
      </c>
      <c r="W33" s="403">
        <f>Scenarios!AY30</f>
        <v>412467.18282951415</v>
      </c>
      <c r="X33" s="416">
        <f t="shared" si="6"/>
        <v>0.10017444316611183</v>
      </c>
      <c r="Z33" s="403">
        <f>Scenarios!BD30</f>
        <v>1483961.1680339738</v>
      </c>
      <c r="AA33" s="416">
        <f t="shared" si="7"/>
        <v>0.3604043906430735</v>
      </c>
      <c r="AC33" s="403">
        <f>Scenarios!BI30</f>
        <v>12366343.066949783</v>
      </c>
      <c r="AD33" s="416">
        <f t="shared" si="8"/>
        <v>3.0033699220256129</v>
      </c>
    </row>
    <row r="34" spans="1:30">
      <c r="A34" s="360">
        <v>2041</v>
      </c>
      <c r="C34" s="403">
        <f>Scenarios!H31</f>
        <v>782948.05752159643</v>
      </c>
      <c r="D34" s="416">
        <f t="shared" si="0"/>
        <v>0.19015182044830223</v>
      </c>
      <c r="F34" s="403">
        <f>Scenarios!M31</f>
        <v>3040857.5727146985</v>
      </c>
      <c r="G34" s="416">
        <f t="shared" si="1"/>
        <v>0.73852230377333306</v>
      </c>
      <c r="I34" s="403">
        <f>Scenarios!R31</f>
        <v>25340479.772622488</v>
      </c>
      <c r="J34" s="416">
        <f t="shared" si="2"/>
        <v>6.1543525314444425</v>
      </c>
      <c r="M34" s="403">
        <f>Scenarios!AD31</f>
        <v>680919.72126319481</v>
      </c>
      <c r="N34" s="416">
        <f t="shared" si="3"/>
        <v>0.16537255994632258</v>
      </c>
      <c r="P34" s="403">
        <f>Scenarios!AI31</f>
        <v>2644594.1987113925</v>
      </c>
      <c r="Q34" s="416">
        <f t="shared" si="4"/>
        <v>0.64228322224060097</v>
      </c>
      <c r="S34" s="403">
        <f>Scenarios!AN31</f>
        <v>22038284.989261605</v>
      </c>
      <c r="T34" s="416">
        <f t="shared" si="5"/>
        <v>5.352360185338342</v>
      </c>
      <c r="W34" s="403">
        <f>Scenarios!AY31</f>
        <v>444276.52110005723</v>
      </c>
      <c r="X34" s="416">
        <f t="shared" si="6"/>
        <v>0.10789986443932673</v>
      </c>
      <c r="Z34" s="403">
        <f>Scenarios!BD31</f>
        <v>1725506.0672133868</v>
      </c>
      <c r="AA34" s="416">
        <f t="shared" si="7"/>
        <v>0.41906754442157318</v>
      </c>
      <c r="AC34" s="403">
        <f>Scenarios!BI31</f>
        <v>14379217.226778224</v>
      </c>
      <c r="AD34" s="416">
        <f t="shared" si="8"/>
        <v>3.4922295368464433</v>
      </c>
    </row>
    <row r="35" spans="1:30">
      <c r="A35" s="360">
        <v>2042</v>
      </c>
      <c r="C35" s="403">
        <f>Scenarios!H32</f>
        <v>841896.08301380649</v>
      </c>
      <c r="D35" s="416">
        <f t="shared" si="0"/>
        <v>0.20446831852437988</v>
      </c>
      <c r="F35" s="403">
        <f>Scenarios!M32</f>
        <v>3444543.6315151397</v>
      </c>
      <c r="G35" s="416">
        <f t="shared" si="1"/>
        <v>0.83656410646135737</v>
      </c>
      <c r="I35" s="403">
        <f>Scenarios!R32</f>
        <v>28704530.262626164</v>
      </c>
      <c r="J35" s="416">
        <f t="shared" si="2"/>
        <v>6.9713675538446447</v>
      </c>
      <c r="M35" s="403">
        <f>Scenarios!AD32</f>
        <v>728909.83470272913</v>
      </c>
      <c r="N35" s="416">
        <f t="shared" si="3"/>
        <v>0.17702774875020599</v>
      </c>
      <c r="P35" s="403">
        <f>Scenarios!AI32</f>
        <v>2982270.3534693415</v>
      </c>
      <c r="Q35" s="416">
        <f t="shared" si="4"/>
        <v>0.72429343343195518</v>
      </c>
      <c r="S35" s="403">
        <f>Scenarios!AN32</f>
        <v>24852252.945577845</v>
      </c>
      <c r="T35" s="416">
        <f t="shared" si="5"/>
        <v>6.0357786119329599</v>
      </c>
      <c r="W35" s="403">
        <f>Scenarios!AY32</f>
        <v>477551.45937060041</v>
      </c>
      <c r="X35" s="416">
        <f t="shared" si="6"/>
        <v>0.11598123079136488</v>
      </c>
      <c r="Z35" s="403">
        <f>Scenarios!BD32</f>
        <v>1953859.7117677606</v>
      </c>
      <c r="AA35" s="416">
        <f t="shared" si="7"/>
        <v>0.47452698493090861</v>
      </c>
      <c r="AC35" s="403">
        <f>Scenarios!BI32</f>
        <v>16282164.264731338</v>
      </c>
      <c r="AD35" s="416">
        <f t="shared" si="8"/>
        <v>3.9543915410909047</v>
      </c>
    </row>
    <row r="36" spans="1:30">
      <c r="A36" s="360">
        <v>2043</v>
      </c>
      <c r="C36" s="403">
        <f>Scenarios!H33</f>
        <v>903512.11435351672</v>
      </c>
      <c r="D36" s="416">
        <f t="shared" si="0"/>
        <v>0.2194327857268831</v>
      </c>
      <c r="F36" s="403">
        <f>Scenarios!M33</f>
        <v>3809658.9611086412</v>
      </c>
      <c r="G36" s="416">
        <f t="shared" si="1"/>
        <v>0.92523837281761701</v>
      </c>
      <c r="I36" s="403">
        <f>Scenarios!R33</f>
        <v>31747158.009238675</v>
      </c>
      <c r="J36" s="416">
        <f t="shared" si="2"/>
        <v>7.7103197734801414</v>
      </c>
      <c r="M36" s="403">
        <f>Scenarios!AD33</f>
        <v>778808.60738226364</v>
      </c>
      <c r="N36" s="416">
        <f t="shared" si="3"/>
        <v>0.18914648686060456</v>
      </c>
      <c r="P36" s="403">
        <f>Scenarios!AI33</f>
        <v>3283846.6058923118</v>
      </c>
      <c r="Q36" s="416">
        <f t="shared" si="4"/>
        <v>0.79753618925886105</v>
      </c>
      <c r="S36" s="403">
        <f>Scenarios!AN33</f>
        <v>27365388.382435933</v>
      </c>
      <c r="T36" s="416">
        <f t="shared" si="5"/>
        <v>6.6461349104905088</v>
      </c>
      <c r="W36" s="403">
        <f>Scenarios!AY33</f>
        <v>512318.3976411437</v>
      </c>
      <c r="X36" s="416">
        <f t="shared" si="6"/>
        <v>0.1244249538966811</v>
      </c>
      <c r="Z36" s="403">
        <f>Scenarios!BD33</f>
        <v>2160190.5978990998</v>
      </c>
      <c r="AA36" s="416">
        <f t="shared" si="7"/>
        <v>0.52463783613702875</v>
      </c>
      <c r="AC36" s="403">
        <f>Scenarios!BI33</f>
        <v>18001588.315825831</v>
      </c>
      <c r="AD36" s="416">
        <f t="shared" si="8"/>
        <v>4.3719819678085727</v>
      </c>
    </row>
    <row r="37" spans="1:30">
      <c r="A37" s="360">
        <v>2044</v>
      </c>
      <c r="C37" s="403">
        <f>Scenarios!H34</f>
        <v>967844.48822322662</v>
      </c>
      <c r="D37" s="416">
        <f t="shared" si="0"/>
        <v>0.23505696141461535</v>
      </c>
      <c r="F37" s="403">
        <f>Scenarios!M34</f>
        <v>4127768.0263600247</v>
      </c>
      <c r="G37" s="416">
        <f t="shared" si="1"/>
        <v>1.0024963943141323</v>
      </c>
      <c r="I37" s="403">
        <f>Scenarios!R34</f>
        <v>34398066.88633354</v>
      </c>
      <c r="J37" s="416">
        <f t="shared" si="2"/>
        <v>8.3541366192844357</v>
      </c>
      <c r="M37" s="403">
        <f>Scenarios!AD34</f>
        <v>830638.78002179798</v>
      </c>
      <c r="N37" s="416">
        <f t="shared" si="3"/>
        <v>0.20173429723560557</v>
      </c>
      <c r="P37" s="403">
        <f>Scenarios!AI34</f>
        <v>3542598.2576220171</v>
      </c>
      <c r="Q37" s="416">
        <f t="shared" si="4"/>
        <v>0.86037828605919875</v>
      </c>
      <c r="S37" s="403">
        <f>Scenarios!AN34</f>
        <v>29521652.146850143</v>
      </c>
      <c r="T37" s="416">
        <f t="shared" si="5"/>
        <v>7.1698190504933228</v>
      </c>
      <c r="W37" s="403">
        <f>Scenarios!AY34</f>
        <v>548603.73591168679</v>
      </c>
      <c r="X37" s="416">
        <f t="shared" si="6"/>
        <v>0.13323744542973009</v>
      </c>
      <c r="Z37" s="403">
        <f>Scenarios!BD34</f>
        <v>2339744.6467821659</v>
      </c>
      <c r="AA37" s="416">
        <f t="shared" si="7"/>
        <v>0.56824549176115258</v>
      </c>
      <c r="AC37" s="403">
        <f>Scenarios!BI34</f>
        <v>19497872.056518052</v>
      </c>
      <c r="AD37" s="416">
        <f t="shared" si="8"/>
        <v>4.7353790980096049</v>
      </c>
    </row>
    <row r="38" spans="1:30">
      <c r="A38" s="360">
        <v>2045</v>
      </c>
      <c r="C38" s="403">
        <f>Scenarios!H35</f>
        <v>1034941.5413054369</v>
      </c>
      <c r="D38" s="416">
        <f t="shared" si="0"/>
        <v>0.25135258494638041</v>
      </c>
      <c r="F38" s="403">
        <f>Scenarios!M35</f>
        <v>4397193.9079187876</v>
      </c>
      <c r="G38" s="416">
        <f t="shared" si="1"/>
        <v>1.0679309034902078</v>
      </c>
      <c r="I38" s="403">
        <f>Scenarios!R35</f>
        <v>36643282.565989897</v>
      </c>
      <c r="J38" s="416">
        <f t="shared" si="2"/>
        <v>8.899424195751731</v>
      </c>
      <c r="M38" s="403">
        <f>Scenarios!AD35</f>
        <v>884423.09334133239</v>
      </c>
      <c r="N38" s="416">
        <f t="shared" si="3"/>
        <v>0.21479670283329649</v>
      </c>
      <c r="P38" s="403">
        <f>Scenarios!AI35</f>
        <v>3757680.6832565456</v>
      </c>
      <c r="Q38" s="416">
        <f t="shared" si="4"/>
        <v>0.91261459265443423</v>
      </c>
      <c r="S38" s="403">
        <f>Scenarios!AN35</f>
        <v>31314005.693804547</v>
      </c>
      <c r="T38" s="416">
        <f t="shared" si="5"/>
        <v>7.6051216054536184</v>
      </c>
      <c r="W38" s="403">
        <f>Scenarios!AY35</f>
        <v>586433.87418223009</v>
      </c>
      <c r="X38" s="416">
        <f t="shared" si="6"/>
        <v>0.14242511706496672</v>
      </c>
      <c r="Z38" s="403">
        <f>Scenarios!BD35</f>
        <v>2491603.0094788587</v>
      </c>
      <c r="AA38" s="416">
        <f t="shared" si="7"/>
        <v>0.60512679421751403</v>
      </c>
      <c r="AC38" s="403">
        <f>Scenarios!BI35</f>
        <v>20763358.412323825</v>
      </c>
      <c r="AD38" s="416">
        <f t="shared" si="8"/>
        <v>5.0427232851459509</v>
      </c>
    </row>
    <row r="39" spans="1:30">
      <c r="A39" s="360">
        <v>2046</v>
      </c>
      <c r="C39" s="403">
        <f>Scenarios!H36</f>
        <v>1104851.6102826467</v>
      </c>
      <c r="D39" s="416">
        <f t="shared" si="0"/>
        <v>0.26833139568098158</v>
      </c>
      <c r="F39" s="403">
        <f>Scenarios!M36</f>
        <v>4621173.0903210826</v>
      </c>
      <c r="G39" s="416">
        <f t="shared" si="1"/>
        <v>1.1223279338770467</v>
      </c>
      <c r="I39" s="403">
        <f>Scenarios!R36</f>
        <v>38509775.75267569</v>
      </c>
      <c r="J39" s="416">
        <f t="shared" si="2"/>
        <v>9.3527327823087223</v>
      </c>
      <c r="M39" s="403">
        <f>Scenarios!AD36</f>
        <v>940184.28806086665</v>
      </c>
      <c r="N39" s="416">
        <f t="shared" si="3"/>
        <v>0.22833922661176467</v>
      </c>
      <c r="P39" s="403">
        <f>Scenarios!AI36</f>
        <v>3932432.4565342064</v>
      </c>
      <c r="Q39" s="416">
        <f t="shared" si="4"/>
        <v>0.95505593661855737</v>
      </c>
      <c r="S39" s="403">
        <f>Scenarios!AN36</f>
        <v>32770270.471118387</v>
      </c>
      <c r="T39" s="416">
        <f t="shared" si="5"/>
        <v>7.9587994718213118</v>
      </c>
      <c r="W39" s="403">
        <f>Scenarios!AY36</f>
        <v>625835.21245277324</v>
      </c>
      <c r="X39" s="416">
        <f t="shared" si="6"/>
        <v>0.15199438047684571</v>
      </c>
      <c r="Z39" s="403">
        <f>Scenarios!BD36</f>
        <v>2617630.1105469437</v>
      </c>
      <c r="AA39" s="416">
        <f t="shared" si="7"/>
        <v>0.6357345496920942</v>
      </c>
      <c r="AC39" s="403">
        <f>Scenarios!BI36</f>
        <v>21813584.254557867</v>
      </c>
      <c r="AD39" s="416">
        <f t="shared" si="8"/>
        <v>5.2977879141007849</v>
      </c>
    </row>
    <row r="40" spans="1:30">
      <c r="A40" s="360">
        <v>2047</v>
      </c>
      <c r="C40" s="403">
        <f>Scenarios!H37</f>
        <v>1177623.031837357</v>
      </c>
      <c r="D40" s="416">
        <f t="shared" si="0"/>
        <v>0.28600513297722269</v>
      </c>
      <c r="F40" s="403">
        <f>Scenarios!M37</f>
        <v>4805674.1611540895</v>
      </c>
      <c r="G40" s="416">
        <f t="shared" si="1"/>
        <v>1.1671370551929772</v>
      </c>
      <c r="I40" s="403">
        <f>Scenarios!R37</f>
        <v>40047284.676284082</v>
      </c>
      <c r="J40" s="416">
        <f t="shared" si="2"/>
        <v>9.7261421266081438</v>
      </c>
      <c r="M40" s="403">
        <f>Scenarios!AD37</f>
        <v>997945.1049004012</v>
      </c>
      <c r="N40" s="416">
        <f t="shared" si="3"/>
        <v>0.24236739152909764</v>
      </c>
      <c r="P40" s="403">
        <f>Scenarios!AI37</f>
        <v>4072439.8854424059</v>
      </c>
      <c r="Q40" s="416">
        <f t="shared" si="4"/>
        <v>0.98905904477806139</v>
      </c>
      <c r="S40" s="403">
        <f>Scenarios!AN37</f>
        <v>33936999.045353383</v>
      </c>
      <c r="T40" s="416">
        <f t="shared" si="5"/>
        <v>8.2421587064838455</v>
      </c>
      <c r="W40" s="403">
        <f>Scenarios!AY37</f>
        <v>666834.15072331647</v>
      </c>
      <c r="X40" s="416">
        <f t="shared" si="6"/>
        <v>0.1619516473398219</v>
      </c>
      <c r="Z40" s="403">
        <f>Scenarios!BD37</f>
        <v>2721233.8424684983</v>
      </c>
      <c r="AA40" s="416">
        <f t="shared" si="7"/>
        <v>0.66089642095655932</v>
      </c>
      <c r="AC40" s="403">
        <f>Scenarios!BI37</f>
        <v>22676948.687237486</v>
      </c>
      <c r="AD40" s="416">
        <f t="shared" si="8"/>
        <v>5.5074701746379944</v>
      </c>
    </row>
    <row r="41" spans="1:30">
      <c r="A41" s="360">
        <v>2048</v>
      </c>
      <c r="C41" s="403">
        <f>Scenarios!H38</f>
        <v>1253304.1426520671</v>
      </c>
      <c r="D41" s="416">
        <f t="shared" si="0"/>
        <v>0.30438553619390718</v>
      </c>
      <c r="F41" s="403">
        <f>Scenarios!M38</f>
        <v>4957603.3546686275</v>
      </c>
      <c r="G41" s="416">
        <f t="shared" si="1"/>
        <v>1.2040355600790884</v>
      </c>
      <c r="I41" s="403">
        <f>Scenarios!R38</f>
        <v>41313361.288905226</v>
      </c>
      <c r="J41" s="416">
        <f t="shared" si="2"/>
        <v>10.033629667325735</v>
      </c>
      <c r="M41" s="403">
        <f>Scenarios!AD38</f>
        <v>1057728.2845799355</v>
      </c>
      <c r="N41" s="416">
        <f t="shared" si="3"/>
        <v>0.25688672054338263</v>
      </c>
      <c r="P41" s="403">
        <f>Scenarios!AI38</f>
        <v>4183978.2647372331</v>
      </c>
      <c r="Q41" s="416">
        <f t="shared" si="4"/>
        <v>1.0161479757346077</v>
      </c>
      <c r="S41" s="403">
        <f>Scenarios!AN38</f>
        <v>34866485.539476939</v>
      </c>
      <c r="T41" s="416">
        <f t="shared" si="5"/>
        <v>8.4678997977883963</v>
      </c>
      <c r="W41" s="403">
        <f>Scenarios!AY38</f>
        <v>709457.08899385971</v>
      </c>
      <c r="X41" s="416">
        <f t="shared" si="6"/>
        <v>0.17230332932835005</v>
      </c>
      <c r="Z41" s="403">
        <f>Scenarios!BD38</f>
        <v>2806347.4177519088</v>
      </c>
      <c r="AA41" s="416">
        <f t="shared" si="7"/>
        <v>0.68156765339595737</v>
      </c>
      <c r="AC41" s="403">
        <f>Scenarios!BI38</f>
        <v>23386228.481265903</v>
      </c>
      <c r="AD41" s="416">
        <f t="shared" si="8"/>
        <v>5.6797304449663102</v>
      </c>
    </row>
    <row r="42" spans="1:30">
      <c r="A42" s="360">
        <v>2049</v>
      </c>
      <c r="C42" s="403">
        <f>Scenarios!H39</f>
        <v>1331943.2794092773</v>
      </c>
      <c r="D42" s="416">
        <f t="shared" si="0"/>
        <v>0.32348434468983867</v>
      </c>
      <c r="F42" s="403">
        <f>Scenarios!M39</f>
        <v>5083640.9860426737</v>
      </c>
      <c r="G42" s="416">
        <f t="shared" si="1"/>
        <v>1.2346458730117644</v>
      </c>
      <c r="I42" s="403">
        <f>Scenarios!R39</f>
        <v>42363674.883688956</v>
      </c>
      <c r="J42" s="416">
        <f t="shared" si="2"/>
        <v>10.288715608431373</v>
      </c>
      <c r="M42" s="403">
        <f>Scenarios!AD39</f>
        <v>1119556.5678194701</v>
      </c>
      <c r="N42" s="416">
        <f t="shared" si="3"/>
        <v>0.2719027366127072</v>
      </c>
      <c r="P42" s="403">
        <f>Scenarios!AI39</f>
        <v>4273022.5395817859</v>
      </c>
      <c r="Q42" s="416">
        <f t="shared" si="4"/>
        <v>1.0377738432484609</v>
      </c>
      <c r="S42" s="403">
        <f>Scenarios!AN39</f>
        <v>35608521.163181558</v>
      </c>
      <c r="T42" s="416">
        <f t="shared" si="5"/>
        <v>8.6481153604038425</v>
      </c>
      <c r="W42" s="403">
        <f>Scenarios!AY39</f>
        <v>753730.42726440297</v>
      </c>
      <c r="X42" s="416">
        <f t="shared" si="6"/>
        <v>0.18305583811688494</v>
      </c>
      <c r="Z42" s="403">
        <f>Scenarios!BD39</f>
        <v>2876770.318754226</v>
      </c>
      <c r="AA42" s="416">
        <f t="shared" si="7"/>
        <v>0.69867101382733798</v>
      </c>
      <c r="AC42" s="403">
        <f>Scenarios!BI39</f>
        <v>23973085.989618551</v>
      </c>
      <c r="AD42" s="416">
        <f t="shared" si="8"/>
        <v>5.8222584485611506</v>
      </c>
    </row>
    <row r="43" spans="1:30">
      <c r="A43" s="360">
        <v>2050</v>
      </c>
      <c r="C43" s="405">
        <f>Scenarios!H40</f>
        <v>1413588.7787914872</v>
      </c>
      <c r="D43" s="417">
        <f t="shared" si="0"/>
        <v>0.34331329782382064</v>
      </c>
      <c r="F43" s="405">
        <f>Scenarios!M40</f>
        <v>5189645.1886209575</v>
      </c>
      <c r="G43" s="417">
        <f t="shared" si="1"/>
        <v>1.2603907380788513</v>
      </c>
      <c r="I43" s="405">
        <f>Scenarios!R40</f>
        <v>43247043.238507979</v>
      </c>
      <c r="J43" s="417">
        <f t="shared" si="2"/>
        <v>10.503256150657094</v>
      </c>
      <c r="M43" s="405">
        <f>Scenarios!AD40</f>
        <v>1183452.6953390043</v>
      </c>
      <c r="N43" s="417">
        <f t="shared" si="3"/>
        <v>0.2874209626951586</v>
      </c>
      <c r="P43" s="405">
        <f>Scenarios!AI40</f>
        <v>4344756.8900322355</v>
      </c>
      <c r="Q43" s="417">
        <f t="shared" si="4"/>
        <v>1.0551957107603465</v>
      </c>
      <c r="S43" s="405">
        <f>Scenarios!AN40</f>
        <v>36206307.416935295</v>
      </c>
      <c r="T43" s="417">
        <f t="shared" si="5"/>
        <v>8.7932975896695531</v>
      </c>
      <c r="W43" s="405">
        <f>Scenarios!AY40</f>
        <v>799680.56553494604</v>
      </c>
      <c r="X43" s="417">
        <f t="shared" si="6"/>
        <v>0.19421558537988132</v>
      </c>
      <c r="Z43" s="405">
        <f>Scenarios!BD40</f>
        <v>2935831.4536920059</v>
      </c>
      <c r="AA43" s="417">
        <f t="shared" si="7"/>
        <v>0.71301498239367156</v>
      </c>
      <c r="AC43" s="405">
        <f>Scenarios!BI40</f>
        <v>24465262.11410005</v>
      </c>
      <c r="AD43" s="417">
        <f t="shared" si="8"/>
        <v>5.9417915199472633</v>
      </c>
    </row>
    <row r="52" spans="1:7">
      <c r="A52" t="s">
        <v>203</v>
      </c>
      <c r="B52" t="s">
        <v>204</v>
      </c>
      <c r="C52" t="s">
        <v>205</v>
      </c>
      <c r="D52" t="s">
        <v>206</v>
      </c>
    </row>
    <row r="53" spans="1:7">
      <c r="A53" t="s">
        <v>207</v>
      </c>
      <c r="B53" s="180">
        <v>40</v>
      </c>
      <c r="C53" s="180">
        <v>270</v>
      </c>
      <c r="D53" s="180">
        <f t="shared" ref="D53:D60" si="9">B53/C53</f>
        <v>0.14814814814814814</v>
      </c>
      <c r="G53" t="s">
        <v>208</v>
      </c>
    </row>
    <row r="54" spans="1:7">
      <c r="A54" t="s">
        <v>209</v>
      </c>
      <c r="B54" s="180">
        <v>33</v>
      </c>
      <c r="C54" s="180">
        <v>250</v>
      </c>
      <c r="D54" s="180">
        <f t="shared" si="9"/>
        <v>0.13200000000000001</v>
      </c>
      <c r="G54" s="402">
        <v>12713.786</v>
      </c>
    </row>
    <row r="55" spans="1:7">
      <c r="A55" t="s">
        <v>210</v>
      </c>
      <c r="B55" s="180">
        <v>100</v>
      </c>
      <c r="C55" s="180">
        <v>539</v>
      </c>
      <c r="D55" s="180">
        <f t="shared" si="9"/>
        <v>0.18552875695732837</v>
      </c>
    </row>
    <row r="56" spans="1:7">
      <c r="A56" t="s">
        <v>211</v>
      </c>
      <c r="B56" s="180">
        <v>28</v>
      </c>
      <c r="C56" s="180">
        <v>200</v>
      </c>
      <c r="D56" s="180">
        <f t="shared" si="9"/>
        <v>0.14000000000000001</v>
      </c>
      <c r="G56" t="s">
        <v>212</v>
      </c>
    </row>
    <row r="57" spans="1:7">
      <c r="A57" t="s">
        <v>213</v>
      </c>
      <c r="B57" s="180">
        <v>33.5</v>
      </c>
      <c r="C57" s="180">
        <v>185</v>
      </c>
      <c r="D57" s="180">
        <f t="shared" si="9"/>
        <v>0.18108108108108109</v>
      </c>
      <c r="G57" s="382">
        <f>G54*D61</f>
        <v>2127.5101599970199</v>
      </c>
    </row>
    <row r="58" spans="1:7">
      <c r="A58" t="s">
        <v>214</v>
      </c>
      <c r="B58" s="180">
        <v>60</v>
      </c>
      <c r="C58" s="180">
        <v>380</v>
      </c>
      <c r="D58" s="180">
        <f t="shared" si="9"/>
        <v>0.15789473684210525</v>
      </c>
    </row>
    <row r="59" spans="1:7">
      <c r="A59" t="s">
        <v>215</v>
      </c>
      <c r="B59" s="180">
        <v>26.5</v>
      </c>
      <c r="C59" s="180">
        <v>150</v>
      </c>
      <c r="D59" s="180">
        <f t="shared" si="9"/>
        <v>0.17666666666666667</v>
      </c>
    </row>
    <row r="60" spans="1:7">
      <c r="A60" t="s">
        <v>216</v>
      </c>
      <c r="B60" s="180">
        <v>90</v>
      </c>
      <c r="C60" s="180">
        <v>414</v>
      </c>
      <c r="D60" s="180">
        <f t="shared" si="9"/>
        <v>0.21739130434782608</v>
      </c>
    </row>
    <row r="61" spans="1:7">
      <c r="A61" t="s">
        <v>217</v>
      </c>
      <c r="D61" s="402">
        <f>AVERAGE(D53:D60)</f>
        <v>0.16733883675539449</v>
      </c>
    </row>
    <row r="65" spans="1:7">
      <c r="A65" s="401" t="s">
        <v>218</v>
      </c>
      <c r="B65" s="400"/>
      <c r="C65" s="400"/>
      <c r="D65" s="400"/>
      <c r="E65" s="400"/>
    </row>
    <row r="66" spans="1:7" ht="18">
      <c r="A66" s="401" t="s">
        <v>219</v>
      </c>
      <c r="B66" s="400"/>
      <c r="C66" s="400"/>
      <c r="D66" s="400"/>
      <c r="E66" s="400"/>
    </row>
    <row r="67" spans="1:7">
      <c r="A67" s="399"/>
      <c r="B67" s="399"/>
      <c r="C67" s="399"/>
      <c r="D67" s="399"/>
      <c r="E67" s="399"/>
    </row>
    <row r="68" spans="1:7" ht="16.2" thickBot="1">
      <c r="A68" s="398"/>
      <c r="B68" s="398"/>
      <c r="C68" s="398"/>
      <c r="D68" s="397"/>
      <c r="E68" s="397"/>
    </row>
    <row r="69" spans="1:7">
      <c r="A69" s="396"/>
      <c r="B69" s="395" t="s">
        <v>220</v>
      </c>
      <c r="C69" s="394"/>
      <c r="D69" s="394"/>
      <c r="E69" s="393"/>
    </row>
    <row r="70" spans="1:7" ht="27">
      <c r="A70" s="392" t="s">
        <v>43</v>
      </c>
      <c r="B70" s="391" t="s">
        <v>69</v>
      </c>
      <c r="C70" s="391" t="s">
        <v>70</v>
      </c>
      <c r="D70" s="391" t="s">
        <v>221</v>
      </c>
      <c r="E70" s="390" t="s">
        <v>222</v>
      </c>
      <c r="F70" s="389" t="s">
        <v>223</v>
      </c>
    </row>
    <row r="71" spans="1:7">
      <c r="A71" s="388">
        <v>2002</v>
      </c>
      <c r="B71" s="387">
        <v>8600</v>
      </c>
      <c r="C71" s="387">
        <v>12900</v>
      </c>
      <c r="D71" s="387">
        <v>9200</v>
      </c>
      <c r="E71" s="387">
        <v>7338</v>
      </c>
      <c r="F71">
        <f t="shared" ref="F71:F84" si="10">D71*G71</f>
        <v>14805.928</v>
      </c>
      <c r="G71" s="381">
        <v>1.60934</v>
      </c>
    </row>
    <row r="72" spans="1:7">
      <c r="A72" s="388">
        <v>2003</v>
      </c>
      <c r="B72" s="387">
        <v>8500</v>
      </c>
      <c r="C72" s="387">
        <v>13300</v>
      </c>
      <c r="D72" s="387">
        <v>9200</v>
      </c>
      <c r="E72" s="387">
        <v>7813</v>
      </c>
      <c r="F72">
        <f t="shared" si="10"/>
        <v>14805.928</v>
      </c>
      <c r="G72" s="381">
        <v>1.60934</v>
      </c>
    </row>
    <row r="73" spans="1:7">
      <c r="A73" s="388">
        <v>2004</v>
      </c>
      <c r="B73" s="387">
        <v>8300</v>
      </c>
      <c r="C73" s="387">
        <v>13300</v>
      </c>
      <c r="D73" s="387">
        <v>9100</v>
      </c>
      <c r="E73" s="387">
        <v>7445</v>
      </c>
      <c r="F73">
        <f t="shared" si="10"/>
        <v>14644.994000000001</v>
      </c>
      <c r="G73" s="381">
        <v>1.60934</v>
      </c>
    </row>
    <row r="74" spans="1:7">
      <c r="A74" s="388">
        <v>2005</v>
      </c>
      <c r="B74" s="387">
        <v>8100</v>
      </c>
      <c r="C74" s="387">
        <v>12900</v>
      </c>
      <c r="D74" s="387">
        <v>8900</v>
      </c>
      <c r="E74" s="387">
        <v>8153</v>
      </c>
      <c r="F74">
        <f t="shared" si="10"/>
        <v>14323.126</v>
      </c>
      <c r="G74" s="381">
        <v>1.60934</v>
      </c>
    </row>
    <row r="75" spans="1:7">
      <c r="A75" s="388">
        <v>2006</v>
      </c>
      <c r="B75" s="387">
        <v>7800</v>
      </c>
      <c r="C75" s="387">
        <v>12800</v>
      </c>
      <c r="D75" s="387">
        <v>8700</v>
      </c>
      <c r="E75" s="387">
        <v>8064</v>
      </c>
      <c r="F75">
        <f t="shared" si="10"/>
        <v>14001.258</v>
      </c>
      <c r="G75" s="381">
        <v>1.60934</v>
      </c>
    </row>
    <row r="76" spans="1:7">
      <c r="A76" s="388">
        <v>2007</v>
      </c>
      <c r="B76" s="387">
        <v>7800</v>
      </c>
      <c r="C76" s="387">
        <v>12800</v>
      </c>
      <c r="D76" s="387">
        <v>8900</v>
      </c>
      <c r="E76" s="387">
        <v>7911</v>
      </c>
      <c r="F76">
        <f t="shared" si="10"/>
        <v>14323.126</v>
      </c>
      <c r="G76" s="381">
        <v>1.60934</v>
      </c>
    </row>
    <row r="77" spans="1:7">
      <c r="A77" s="388">
        <v>2008</v>
      </c>
      <c r="B77" s="387">
        <v>7500</v>
      </c>
      <c r="C77" s="385">
        <v>12300</v>
      </c>
      <c r="D77" s="387">
        <v>8600</v>
      </c>
      <c r="E77" s="387">
        <v>7299</v>
      </c>
      <c r="F77">
        <f t="shared" si="10"/>
        <v>13840.324000000001</v>
      </c>
      <c r="G77" s="381">
        <v>1.60934</v>
      </c>
    </row>
    <row r="78" spans="1:7">
      <c r="A78" s="386">
        <v>2009</v>
      </c>
      <c r="B78" s="387">
        <v>7200</v>
      </c>
      <c r="C78" s="385">
        <v>11700</v>
      </c>
      <c r="D78" s="387">
        <v>8300</v>
      </c>
      <c r="E78" s="387">
        <v>7732</v>
      </c>
      <c r="F78">
        <f t="shared" si="10"/>
        <v>13357.522000000001</v>
      </c>
      <c r="G78" s="381">
        <v>1.60934</v>
      </c>
    </row>
    <row r="79" spans="1:7">
      <c r="A79" s="386">
        <v>2010</v>
      </c>
      <c r="B79" s="387">
        <v>7100</v>
      </c>
      <c r="C79" s="385">
        <v>11600</v>
      </c>
      <c r="D79" s="387">
        <v>8300</v>
      </c>
      <c r="E79" s="387">
        <v>7479</v>
      </c>
      <c r="F79">
        <f t="shared" si="10"/>
        <v>13357.522000000001</v>
      </c>
      <c r="G79" s="381">
        <v>1.60934</v>
      </c>
    </row>
    <row r="80" spans="1:7">
      <c r="A80" s="386">
        <v>2011</v>
      </c>
      <c r="B80" s="387">
        <v>7000</v>
      </c>
      <c r="C80" s="385">
        <v>11000</v>
      </c>
      <c r="D80" s="387">
        <v>8100</v>
      </c>
      <c r="E80" s="387">
        <v>7012</v>
      </c>
      <c r="F80">
        <f t="shared" si="10"/>
        <v>13035.654</v>
      </c>
      <c r="G80" s="381">
        <v>1.60934</v>
      </c>
    </row>
    <row r="81" spans="1:7">
      <c r="A81" s="386">
        <v>2012</v>
      </c>
      <c r="B81" s="385">
        <v>6800</v>
      </c>
      <c r="C81" s="385">
        <v>11200</v>
      </c>
      <c r="D81" s="385">
        <v>8100</v>
      </c>
      <c r="E81" s="385">
        <v>7458</v>
      </c>
      <c r="F81">
        <f t="shared" si="10"/>
        <v>13035.654</v>
      </c>
      <c r="G81" s="381">
        <v>1.60934</v>
      </c>
    </row>
    <row r="82" spans="1:7">
      <c r="A82" s="386">
        <v>2013</v>
      </c>
      <c r="B82" s="385">
        <v>6700</v>
      </c>
      <c r="C82" s="385">
        <v>10700</v>
      </c>
      <c r="D82" s="385">
        <v>7900</v>
      </c>
      <c r="E82" s="385">
        <v>7349</v>
      </c>
      <c r="F82" s="382">
        <f t="shared" si="10"/>
        <v>12713.786</v>
      </c>
      <c r="G82" s="381">
        <v>1.60934</v>
      </c>
    </row>
    <row r="83" spans="1:7">
      <c r="A83" s="386">
        <v>2014</v>
      </c>
      <c r="B83" s="385">
        <v>6700</v>
      </c>
      <c r="C83" s="385">
        <v>10700</v>
      </c>
      <c r="D83" s="385">
        <v>7900</v>
      </c>
      <c r="E83" s="385">
        <v>7177</v>
      </c>
      <c r="F83" s="382">
        <f t="shared" si="10"/>
        <v>12713.786</v>
      </c>
      <c r="G83" s="381">
        <v>1.60934</v>
      </c>
    </row>
    <row r="84" spans="1:7" ht="16.2" thickBot="1">
      <c r="A84" s="384">
        <v>2015</v>
      </c>
      <c r="B84" s="383">
        <v>6500</v>
      </c>
      <c r="C84" s="383">
        <v>10700</v>
      </c>
      <c r="D84" s="383">
        <v>7900</v>
      </c>
      <c r="E84" s="383">
        <v>7383</v>
      </c>
      <c r="F84" s="382">
        <f t="shared" si="10"/>
        <v>12713.786</v>
      </c>
      <c r="G84" s="381">
        <v>1.60934</v>
      </c>
    </row>
  </sheetData>
  <mergeCells count="13">
    <mergeCell ref="A2:B2"/>
    <mergeCell ref="W6:AD6"/>
    <mergeCell ref="C7:D7"/>
    <mergeCell ref="F7:G7"/>
    <mergeCell ref="I7:J7"/>
    <mergeCell ref="P7:Q7"/>
    <mergeCell ref="S7:T7"/>
    <mergeCell ref="Z7:AA7"/>
    <mergeCell ref="AC7:AD7"/>
    <mergeCell ref="C6:J6"/>
    <mergeCell ref="M6:T6"/>
    <mergeCell ref="M7:N7"/>
    <mergeCell ref="W7:X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INDEX</vt:lpstr>
      <vt:lpstr>GUI</vt:lpstr>
      <vt:lpstr>PRs Analysis</vt:lpstr>
      <vt:lpstr>Business as Usual PR</vt:lpstr>
      <vt:lpstr>Intermediate Limit PR</vt:lpstr>
      <vt:lpstr>Upper Limit  PR</vt:lpstr>
      <vt:lpstr>Nº Cars Projection</vt:lpstr>
      <vt:lpstr>Scenarios</vt:lpstr>
      <vt:lpstr>Demand </vt:lpstr>
      <vt:lpstr>Grid</vt:lpstr>
      <vt:lpstr>Charging </vt:lpstr>
      <vt:lpstr>Tax Revenue Lost</vt:lpstr>
      <vt:lpstr>Lithium and REE</vt:lpstr>
      <vt:lpstr>CO2</vt:lpstr>
      <vt:lpstr>NOx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Comrie</dc:creator>
  <cp:keywords/>
  <dc:description/>
  <cp:lastModifiedBy>Alex</cp:lastModifiedBy>
  <cp:revision/>
  <dcterms:created xsi:type="dcterms:W3CDTF">2018-02-22T16:19:33Z</dcterms:created>
  <dcterms:modified xsi:type="dcterms:W3CDTF">2018-05-14T02:06:49Z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10</vt:i4>
  </property>
</Properties>
</file>