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olas\Desktop\"/>
    </mc:Choice>
  </mc:AlternateContent>
  <xr:revisionPtr revIDLastSave="0" documentId="8_{95CE2961-9992-456F-9287-DE874E7ECA2D}" xr6:coauthVersionLast="32" xr6:coauthVersionMax="32" xr10:uidLastSave="{00000000-0000-0000-0000-000000000000}"/>
  <bookViews>
    <workbookView xWindow="0" yWindow="0" windowWidth="19176" windowHeight="6852" xr2:uid="{00000000-000D-0000-FFFF-FFFF00000000}"/>
  </bookViews>
  <sheets>
    <sheet name="FINANCIAL" sheetId="4" r:id="rId1"/>
    <sheet name="Sheet1" sheetId="5" r:id="rId2"/>
  </sheets>
  <calcPr calcId="179017"/>
</workbook>
</file>

<file path=xl/calcChain.xml><?xml version="1.0" encoding="utf-8"?>
<calcChain xmlns="http://schemas.openxmlformats.org/spreadsheetml/2006/main">
  <c r="F279" i="4" l="1"/>
  <c r="F256" i="4"/>
  <c r="F233" i="4"/>
  <c r="F210" i="4"/>
  <c r="F187" i="4"/>
  <c r="F163" i="4"/>
  <c r="F140" i="4"/>
  <c r="F117" i="4"/>
  <c r="E7" i="4"/>
  <c r="E14" i="4"/>
  <c r="E13" i="4"/>
  <c r="B12" i="4"/>
  <c r="K13" i="4"/>
  <c r="K3" i="4"/>
  <c r="K23" i="4" s="1"/>
  <c r="B13" i="4" s="1"/>
  <c r="C260" i="4" l="1"/>
  <c r="C261" i="4"/>
  <c r="C262" i="4"/>
  <c r="C263" i="4"/>
  <c r="E263" i="4" s="1"/>
  <c r="C264" i="4"/>
  <c r="C265" i="4"/>
  <c r="C266" i="4"/>
  <c r="C267" i="4"/>
  <c r="E267" i="4" s="1"/>
  <c r="C268" i="4"/>
  <c r="C269" i="4"/>
  <c r="C270" i="4"/>
  <c r="C271" i="4"/>
  <c r="E271" i="4" s="1"/>
  <c r="C272" i="4"/>
  <c r="C273" i="4"/>
  <c r="C274" i="4"/>
  <c r="C275" i="4"/>
  <c r="E275" i="4" s="1"/>
  <c r="C276" i="4"/>
  <c r="C277" i="4"/>
  <c r="E277" i="4" s="1"/>
  <c r="C278" i="4"/>
  <c r="C259" i="4"/>
  <c r="E278" i="4"/>
  <c r="E276" i="4"/>
  <c r="E274" i="4"/>
  <c r="E273" i="4"/>
  <c r="E272" i="4"/>
  <c r="E270" i="4"/>
  <c r="E269" i="4"/>
  <c r="E268" i="4"/>
  <c r="E266" i="4"/>
  <c r="E265" i="4"/>
  <c r="E264" i="4"/>
  <c r="E262" i="4"/>
  <c r="E261" i="4"/>
  <c r="E260" i="4"/>
  <c r="E259" i="4"/>
  <c r="C237" i="4"/>
  <c r="C238" i="4"/>
  <c r="C239" i="4"/>
  <c r="C240" i="4"/>
  <c r="E240" i="4" s="1"/>
  <c r="C241" i="4"/>
  <c r="C242" i="4"/>
  <c r="C243" i="4"/>
  <c r="C244" i="4"/>
  <c r="E244" i="4" s="1"/>
  <c r="C245" i="4"/>
  <c r="C246" i="4"/>
  <c r="C247" i="4"/>
  <c r="C248" i="4"/>
  <c r="C249" i="4"/>
  <c r="C250" i="4"/>
  <c r="C251" i="4"/>
  <c r="C252" i="4"/>
  <c r="E252" i="4" s="1"/>
  <c r="C253" i="4"/>
  <c r="C254" i="4"/>
  <c r="C255" i="4"/>
  <c r="C236" i="4"/>
  <c r="C214" i="4"/>
  <c r="E214" i="4" s="1"/>
  <c r="C215" i="4"/>
  <c r="C216" i="4"/>
  <c r="C217" i="4"/>
  <c r="E217" i="4" s="1"/>
  <c r="C218" i="4"/>
  <c r="E218" i="4" s="1"/>
  <c r="C219" i="4"/>
  <c r="C220" i="4"/>
  <c r="C221" i="4"/>
  <c r="E221" i="4" s="1"/>
  <c r="C222" i="4"/>
  <c r="E222" i="4" s="1"/>
  <c r="C223" i="4"/>
  <c r="C224" i="4"/>
  <c r="C225" i="4"/>
  <c r="E225" i="4" s="1"/>
  <c r="C226" i="4"/>
  <c r="E226" i="4" s="1"/>
  <c r="C227" i="4"/>
  <c r="C228" i="4"/>
  <c r="C229" i="4"/>
  <c r="E229" i="4" s="1"/>
  <c r="C230" i="4"/>
  <c r="E230" i="4" s="1"/>
  <c r="C231" i="4"/>
  <c r="C232" i="4"/>
  <c r="C213" i="4"/>
  <c r="C191" i="4"/>
  <c r="C192" i="4"/>
  <c r="C193" i="4"/>
  <c r="C194" i="4"/>
  <c r="E194" i="4" s="1"/>
  <c r="C195" i="4"/>
  <c r="C196" i="4"/>
  <c r="C197" i="4"/>
  <c r="C198" i="4"/>
  <c r="E198" i="4" s="1"/>
  <c r="C199" i="4"/>
  <c r="C200" i="4"/>
  <c r="C201" i="4"/>
  <c r="C202" i="4"/>
  <c r="E202" i="4" s="1"/>
  <c r="C203" i="4"/>
  <c r="C204" i="4"/>
  <c r="C205" i="4"/>
  <c r="C206" i="4"/>
  <c r="E206" i="4" s="1"/>
  <c r="C207" i="4"/>
  <c r="C208" i="4"/>
  <c r="C209" i="4"/>
  <c r="C190" i="4"/>
  <c r="E246" i="4"/>
  <c r="E248" i="4"/>
  <c r="E250" i="4"/>
  <c r="E254" i="4"/>
  <c r="E255" i="4"/>
  <c r="E253" i="4"/>
  <c r="E251" i="4"/>
  <c r="E249" i="4"/>
  <c r="E247" i="4"/>
  <c r="E245" i="4"/>
  <c r="E243" i="4"/>
  <c r="E242" i="4"/>
  <c r="E241" i="4"/>
  <c r="E239" i="4"/>
  <c r="E238" i="4"/>
  <c r="E237" i="4"/>
  <c r="E236" i="4"/>
  <c r="E232" i="4"/>
  <c r="E231" i="4"/>
  <c r="E228" i="4"/>
  <c r="E227" i="4"/>
  <c r="E224" i="4"/>
  <c r="E223" i="4"/>
  <c r="E220" i="4"/>
  <c r="E219" i="4"/>
  <c r="E216" i="4"/>
  <c r="E215" i="4"/>
  <c r="E213" i="4"/>
  <c r="E209" i="4"/>
  <c r="E208" i="4"/>
  <c r="E207" i="4"/>
  <c r="E205" i="4"/>
  <c r="E204" i="4"/>
  <c r="E203" i="4"/>
  <c r="E201" i="4"/>
  <c r="E200" i="4"/>
  <c r="E199" i="4"/>
  <c r="E197" i="4"/>
  <c r="E196" i="4"/>
  <c r="E195" i="4"/>
  <c r="E193" i="4"/>
  <c r="E192" i="4"/>
  <c r="E191" i="4"/>
  <c r="E190" i="4"/>
  <c r="C168" i="4"/>
  <c r="C169" i="4"/>
  <c r="C170" i="4"/>
  <c r="C171" i="4"/>
  <c r="E171" i="4" s="1"/>
  <c r="C172" i="4"/>
  <c r="C173" i="4"/>
  <c r="C174" i="4"/>
  <c r="C175" i="4"/>
  <c r="E175" i="4" s="1"/>
  <c r="C176" i="4"/>
  <c r="C177" i="4"/>
  <c r="C178" i="4"/>
  <c r="C179" i="4"/>
  <c r="E179" i="4" s="1"/>
  <c r="C180" i="4"/>
  <c r="C181" i="4"/>
  <c r="C182" i="4"/>
  <c r="C183" i="4"/>
  <c r="E183" i="4" s="1"/>
  <c r="C184" i="4"/>
  <c r="C185" i="4"/>
  <c r="C186" i="4"/>
  <c r="E186" i="4" s="1"/>
  <c r="C167" i="4"/>
  <c r="E185" i="4"/>
  <c r="E184" i="4"/>
  <c r="E182" i="4"/>
  <c r="E181" i="4"/>
  <c r="E180" i="4"/>
  <c r="E178" i="4"/>
  <c r="E177" i="4"/>
  <c r="E176" i="4"/>
  <c r="E174" i="4"/>
  <c r="E173" i="4"/>
  <c r="E172" i="4"/>
  <c r="E170" i="4"/>
  <c r="E169" i="4"/>
  <c r="E168" i="4"/>
  <c r="E167" i="4"/>
  <c r="C144" i="4"/>
  <c r="C145" i="4"/>
  <c r="C146" i="4"/>
  <c r="C147" i="4"/>
  <c r="E147" i="4" s="1"/>
  <c r="C148" i="4"/>
  <c r="C149" i="4"/>
  <c r="C150" i="4"/>
  <c r="C151" i="4"/>
  <c r="E151" i="4" s="1"/>
  <c r="C152" i="4"/>
  <c r="C153" i="4"/>
  <c r="C154" i="4"/>
  <c r="C155" i="4"/>
  <c r="E155" i="4" s="1"/>
  <c r="C156" i="4"/>
  <c r="C157" i="4"/>
  <c r="C158" i="4"/>
  <c r="C159" i="4"/>
  <c r="E159" i="4" s="1"/>
  <c r="C160" i="4"/>
  <c r="C161" i="4"/>
  <c r="C162" i="4"/>
  <c r="C143" i="4"/>
  <c r="C121" i="4"/>
  <c r="C122" i="4"/>
  <c r="C123" i="4"/>
  <c r="C124" i="4"/>
  <c r="E124" i="4" s="1"/>
  <c r="C125" i="4"/>
  <c r="C126" i="4"/>
  <c r="C127" i="4"/>
  <c r="C128" i="4"/>
  <c r="E128" i="4" s="1"/>
  <c r="C129" i="4"/>
  <c r="C130" i="4"/>
  <c r="C131" i="4"/>
  <c r="C132" i="4"/>
  <c r="E132" i="4" s="1"/>
  <c r="C133" i="4"/>
  <c r="C134" i="4"/>
  <c r="C135" i="4"/>
  <c r="C136" i="4"/>
  <c r="E136" i="4" s="1"/>
  <c r="C137" i="4"/>
  <c r="C138" i="4"/>
  <c r="C139" i="4"/>
  <c r="C120" i="4"/>
  <c r="C98" i="4"/>
  <c r="C99" i="4"/>
  <c r="E99" i="4" s="1"/>
  <c r="C100" i="4"/>
  <c r="C101" i="4"/>
  <c r="E101" i="4" s="1"/>
  <c r="C102" i="4"/>
  <c r="C103" i="4"/>
  <c r="E103" i="4" s="1"/>
  <c r="C104" i="4"/>
  <c r="C105" i="4"/>
  <c r="E105" i="4" s="1"/>
  <c r="C106" i="4"/>
  <c r="C107" i="4"/>
  <c r="E107" i="4" s="1"/>
  <c r="C108" i="4"/>
  <c r="C109" i="4"/>
  <c r="E109" i="4" s="1"/>
  <c r="C110" i="4"/>
  <c r="C111" i="4"/>
  <c r="E111" i="4" s="1"/>
  <c r="C112" i="4"/>
  <c r="C113" i="4"/>
  <c r="E113" i="4" s="1"/>
  <c r="C114" i="4"/>
  <c r="C115" i="4"/>
  <c r="E115" i="4" s="1"/>
  <c r="C116" i="4"/>
  <c r="C97" i="4"/>
  <c r="E162" i="4"/>
  <c r="E161" i="4"/>
  <c r="E160" i="4"/>
  <c r="E158" i="4"/>
  <c r="E157" i="4"/>
  <c r="E156" i="4"/>
  <c r="E154" i="4"/>
  <c r="E153" i="4"/>
  <c r="E152" i="4"/>
  <c r="E150" i="4"/>
  <c r="E149" i="4"/>
  <c r="E148" i="4"/>
  <c r="E146" i="4"/>
  <c r="E145" i="4"/>
  <c r="E144" i="4"/>
  <c r="E143" i="4"/>
  <c r="E139" i="4"/>
  <c r="E138" i="4"/>
  <c r="E137" i="4"/>
  <c r="E135" i="4"/>
  <c r="E134" i="4"/>
  <c r="E133" i="4"/>
  <c r="E131" i="4"/>
  <c r="E130" i="4"/>
  <c r="E129" i="4"/>
  <c r="E127" i="4"/>
  <c r="E126" i="4"/>
  <c r="E125" i="4"/>
  <c r="E123" i="4"/>
  <c r="E122" i="4"/>
  <c r="E121" i="4"/>
  <c r="E120" i="4"/>
  <c r="E116" i="4"/>
  <c r="E114" i="4"/>
  <c r="E112" i="4"/>
  <c r="E110" i="4"/>
  <c r="E108" i="4"/>
  <c r="E106" i="4"/>
  <c r="E104" i="4"/>
  <c r="E102" i="4"/>
  <c r="E100" i="4"/>
  <c r="E98" i="4"/>
  <c r="E97" i="4"/>
  <c r="F9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74" i="4"/>
  <c r="E94" i="4" s="1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74" i="4"/>
  <c r="B40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G40" i="4"/>
  <c r="G41" i="4"/>
  <c r="D34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42" i="4"/>
  <c r="E43" i="4"/>
  <c r="D41" i="4"/>
  <c r="F41" i="4" s="1"/>
  <c r="C41" i="4"/>
  <c r="C40" i="4"/>
  <c r="C34" i="4"/>
  <c r="B34" i="4"/>
  <c r="D31" i="4"/>
  <c r="D29" i="4"/>
  <c r="G21" i="4"/>
  <c r="G31" i="4"/>
  <c r="G25" i="4"/>
  <c r="C24" i="4"/>
  <c r="C25" i="4" s="1"/>
  <c r="B24" i="4"/>
  <c r="B31" i="4" s="1"/>
  <c r="V68" i="4"/>
  <c r="U68" i="4"/>
  <c r="T68" i="4"/>
  <c r="S68" i="4"/>
  <c r="R68" i="4"/>
  <c r="Q68" i="4"/>
  <c r="P68" i="4"/>
  <c r="O68" i="4"/>
  <c r="N68" i="4"/>
  <c r="M68" i="4"/>
  <c r="L68" i="4"/>
  <c r="K68" i="4"/>
  <c r="I68" i="4"/>
  <c r="G68" i="4"/>
  <c r="E68" i="4"/>
  <c r="J68" i="4"/>
  <c r="H68" i="4"/>
  <c r="F68" i="4"/>
  <c r="D68" i="4"/>
  <c r="E15" i="4"/>
  <c r="G26" i="4" s="1"/>
  <c r="G13" i="4"/>
  <c r="G15" i="4" s="1"/>
  <c r="G34" i="4" s="1"/>
  <c r="G30" i="4"/>
  <c r="B2" i="4"/>
  <c r="H41" i="4" l="1"/>
  <c r="H61" i="4" s="1"/>
  <c r="G94" i="4"/>
  <c r="H94" i="4" s="1"/>
  <c r="G32" i="4"/>
  <c r="F61" i="4"/>
  <c r="E279" i="4"/>
  <c r="G279" i="4" s="1"/>
  <c r="H279" i="4" s="1"/>
  <c r="E210" i="4"/>
  <c r="G210" i="4" s="1"/>
  <c r="H210" i="4" s="1"/>
  <c r="E256" i="4"/>
  <c r="G256" i="4" s="1"/>
  <c r="H256" i="4" s="1"/>
  <c r="E233" i="4"/>
  <c r="G233" i="4"/>
  <c r="H233" i="4" s="1"/>
  <c r="E187" i="4"/>
  <c r="G187" i="4"/>
  <c r="H187" i="4" s="1"/>
  <c r="E163" i="4"/>
  <c r="G163" i="4" s="1"/>
  <c r="H163" i="4" s="1"/>
  <c r="E140" i="4"/>
  <c r="G140" i="4" s="1"/>
  <c r="H140" i="4" s="1"/>
  <c r="E117" i="4"/>
  <c r="G117" i="4" s="1"/>
  <c r="H117" i="4" s="1"/>
  <c r="B25" i="4"/>
  <c r="C68" i="4"/>
  <c r="B5" i="4"/>
  <c r="B6" i="4" l="1"/>
  <c r="B8" i="4" s="1"/>
  <c r="B9" i="4" s="1"/>
  <c r="B26" i="4"/>
  <c r="B29" i="4"/>
  <c r="G24" i="4" l="1"/>
  <c r="G27" i="4" s="1"/>
  <c r="B66" i="4" l="1"/>
  <c r="B68" i="4" s="1"/>
  <c r="B69" i="4" s="1"/>
  <c r="B71" i="4" s="1"/>
  <c r="G36" i="4"/>
  <c r="B41" i="4" s="1"/>
  <c r="E41" i="4" s="1"/>
  <c r="E61" i="4" s="1"/>
  <c r="I61" i="4" s="1"/>
  <c r="I62" i="4" s="1"/>
  <c r="C69" i="4" l="1"/>
  <c r="C71" i="4" s="1"/>
  <c r="G61" i="4"/>
  <c r="G62" i="4" s="1"/>
  <c r="D69" i="4" l="1"/>
  <c r="D71" i="4" s="1"/>
  <c r="E69" i="4" l="1"/>
  <c r="F69" i="4" s="1"/>
  <c r="E71" i="4" l="1"/>
  <c r="G69" i="4"/>
  <c r="F71" i="4"/>
  <c r="H69" i="4" l="1"/>
  <c r="G71" i="4"/>
  <c r="I69" i="4" l="1"/>
  <c r="H71" i="4"/>
  <c r="J69" i="4" l="1"/>
  <c r="I71" i="4"/>
  <c r="K69" i="4" l="1"/>
  <c r="J71" i="4"/>
  <c r="L69" i="4" l="1"/>
  <c r="K71" i="4"/>
  <c r="M69" i="4" l="1"/>
  <c r="L71" i="4"/>
  <c r="N69" i="4" l="1"/>
  <c r="M71" i="4"/>
  <c r="O69" i="4" l="1"/>
  <c r="N71" i="4"/>
  <c r="P69" i="4" l="1"/>
  <c r="O71" i="4"/>
  <c r="Q69" i="4" l="1"/>
  <c r="P71" i="4"/>
  <c r="R69" i="4" l="1"/>
  <c r="Q71" i="4"/>
  <c r="S69" i="4" l="1"/>
  <c r="R71" i="4"/>
  <c r="T69" i="4" l="1"/>
  <c r="S71" i="4"/>
  <c r="U69" i="4" l="1"/>
  <c r="T71" i="4"/>
  <c r="V69" i="4" l="1"/>
  <c r="V71" i="4" s="1"/>
  <c r="U71" i="4"/>
</calcChain>
</file>

<file path=xl/sharedStrings.xml><?xml version="1.0" encoding="utf-8"?>
<sst xmlns="http://schemas.openxmlformats.org/spreadsheetml/2006/main" count="153" uniqueCount="88">
  <si>
    <t>Wind Turbine</t>
  </si>
  <si>
    <t>m</t>
  </si>
  <si>
    <t>Platform mass (kg)</t>
  </si>
  <si>
    <t>1USD=0.80EURO</t>
  </si>
  <si>
    <t xml:space="preserve">Life Time </t>
  </si>
  <si>
    <t>20 years</t>
  </si>
  <si>
    <t>Platform mass (tonne)</t>
  </si>
  <si>
    <t>1EURO=0.86GBP</t>
  </si>
  <si>
    <t>Steel Cost (USD per ton)</t>
  </si>
  <si>
    <t>Structure Cost (Steel) USD</t>
  </si>
  <si>
    <t>Structure Capital Cost £</t>
  </si>
  <si>
    <t xml:space="preserve">Wind Turbine </t>
  </si>
  <si>
    <t>100kW</t>
  </si>
  <si>
    <t xml:space="preserve">Current Turbine </t>
  </si>
  <si>
    <t>5kW</t>
  </si>
  <si>
    <t xml:space="preserve">Transmission Cost £ per 100m </t>
  </si>
  <si>
    <t>Capital cost (£)</t>
  </si>
  <si>
    <t>No of Turbine</t>
  </si>
  <si>
    <t>Distance (m)</t>
  </si>
  <si>
    <t>Turbine Cost £</t>
  </si>
  <si>
    <t>Cables Cost £</t>
  </si>
  <si>
    <t>Substation Cost (including Frequency Converter) £</t>
  </si>
  <si>
    <t>Transmission Cost £</t>
  </si>
  <si>
    <t>Total Current Turbine Cost £</t>
  </si>
  <si>
    <t>Nominal</t>
  </si>
  <si>
    <t>kg/m^3</t>
  </si>
  <si>
    <t>kW</t>
  </si>
  <si>
    <t>Rotor Diameter</t>
  </si>
  <si>
    <t xml:space="preserve">Expected annual output </t>
  </si>
  <si>
    <t>MWh/yr</t>
  </si>
  <si>
    <t>Cp</t>
  </si>
  <si>
    <t xml:space="preserve">Capacity Factor </t>
  </si>
  <si>
    <t>Average Water Velocity</t>
  </si>
  <si>
    <t>m/s</t>
  </si>
  <si>
    <t>Power Output</t>
  </si>
  <si>
    <t>Expected annual output</t>
  </si>
  <si>
    <t>Capacity Factor</t>
  </si>
  <si>
    <t>Initial Capital Cost £</t>
  </si>
  <si>
    <t>Energy/Year</t>
  </si>
  <si>
    <t>4 x TURBINES CONFIGURATION</t>
  </si>
  <si>
    <t xml:space="preserve">O&amp;M cost </t>
  </si>
  <si>
    <t>Maintenance cost per year (£) wind</t>
  </si>
  <si>
    <t>Operating Cost £ per year current</t>
  </si>
  <si>
    <t>Maintenance Cost £</t>
  </si>
  <si>
    <t>Annual Energy Production MWh/yr</t>
  </si>
  <si>
    <t>Rate of interest</t>
  </si>
  <si>
    <t>Life time (years)</t>
  </si>
  <si>
    <t>PAYBACK PERIOD</t>
  </si>
  <si>
    <t>Year</t>
  </si>
  <si>
    <t>Expenses</t>
  </si>
  <si>
    <t>Income</t>
  </si>
  <si>
    <t>Cashflow</t>
  </si>
  <si>
    <t>Net</t>
  </si>
  <si>
    <t xml:space="preserve">Water Turbine </t>
  </si>
  <si>
    <t xml:space="preserve">Water Density </t>
  </si>
  <si>
    <t xml:space="preserve">Power </t>
  </si>
  <si>
    <t>O&amp;M cost per year (£)</t>
  </si>
  <si>
    <t xml:space="preserve">O&amp;M Cost £ per year </t>
  </si>
  <si>
    <t>Rated Power Output</t>
  </si>
  <si>
    <t>Investment expenditure £</t>
  </si>
  <si>
    <t>1+r</t>
  </si>
  <si>
    <t>Capacity Factor Changes (Wind Turbine)</t>
  </si>
  <si>
    <t>Water Turbine Output</t>
  </si>
  <si>
    <t xml:space="preserve">Wind Turbine Output </t>
  </si>
  <si>
    <t>Total Energy Production</t>
  </si>
  <si>
    <t>Investment Expenditure</t>
  </si>
  <si>
    <t>Water Turbine</t>
  </si>
  <si>
    <t>Capacity Factor Changes (Water Turbine)</t>
  </si>
  <si>
    <t xml:space="preserve">Tilapia </t>
  </si>
  <si>
    <t xml:space="preserve">Mullete </t>
  </si>
  <si>
    <t>Carp</t>
  </si>
  <si>
    <t>Sea bream</t>
  </si>
  <si>
    <t>Sea bass</t>
  </si>
  <si>
    <t>Meagre</t>
  </si>
  <si>
    <t>Shrimp</t>
  </si>
  <si>
    <t>Catfish &amp; others</t>
  </si>
  <si>
    <t>Structure Building Cost USD</t>
  </si>
  <si>
    <t>Structure Capital Cost USD</t>
  </si>
  <si>
    <t>1USD=0.68GBP</t>
  </si>
  <si>
    <t>Income (£)</t>
  </si>
  <si>
    <t>Current Turbine</t>
  </si>
  <si>
    <t>Wind Turbine Average O&amp;M Cost</t>
  </si>
  <si>
    <t>LCOE (p/kWh)</t>
  </si>
  <si>
    <t>Substation Cost</t>
  </si>
  <si>
    <t xml:space="preserve">Wind Turbine Capital Cost </t>
  </si>
  <si>
    <t xml:space="preserve">Platform Capital Cost </t>
  </si>
  <si>
    <t>Cables Cost</t>
  </si>
  <si>
    <t xml:space="preserve">Current Turbines Capital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</si>
</sst>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"/>
  </numFmts>
  <fonts count="1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name val="Calibri"/>
    </font>
    <font>
      <i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9" tint="-0.499984740745262"/>
      <name val="Calibri"/>
      <family val="2"/>
    </font>
    <font>
      <sz val="11"/>
      <color rgb="FFC00000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0" borderId="3" xfId="0" applyFont="1" applyBorder="1"/>
    <xf numFmtId="0" fontId="0" fillId="0" borderId="0" xfId="0" applyFont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3" fillId="0" borderId="3" xfId="0" applyFont="1" applyBorder="1"/>
    <xf numFmtId="0" fontId="0" fillId="0" borderId="3" xfId="0" applyFont="1" applyBorder="1" applyAlignment="1"/>
    <xf numFmtId="0" fontId="2" fillId="0" borderId="3" xfId="0" applyFont="1" applyBorder="1" applyAlignment="1"/>
    <xf numFmtId="2" fontId="2" fillId="0" borderId="3" xfId="0" applyNumberFormat="1" applyFont="1" applyBorder="1"/>
    <xf numFmtId="11" fontId="0" fillId="0" borderId="0" xfId="0" applyNumberFormat="1" applyFont="1"/>
    <xf numFmtId="0" fontId="3" fillId="0" borderId="0" xfId="0" applyFont="1" applyAlignment="1"/>
    <xf numFmtId="0" fontId="0" fillId="0" borderId="0" xfId="0" applyFont="1" applyAlignment="1"/>
    <xf numFmtId="11" fontId="3" fillId="0" borderId="0" xfId="0" applyNumberFormat="1" applyFont="1"/>
    <xf numFmtId="2" fontId="0" fillId="0" borderId="0" xfId="0" applyNumberFormat="1" applyFont="1" applyAlignment="1"/>
    <xf numFmtId="0" fontId="5" fillId="0" borderId="3" xfId="0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6" xfId="0" applyFont="1" applyBorder="1"/>
    <xf numFmtId="0" fontId="0" fillId="0" borderId="6" xfId="0" applyFont="1" applyBorder="1" applyAlignment="1"/>
    <xf numFmtId="2" fontId="6" fillId="0" borderId="0" xfId="0" applyNumberFormat="1" applyFont="1" applyAlignment="1"/>
    <xf numFmtId="0" fontId="5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0" fillId="0" borderId="3" xfId="0" applyFont="1" applyBorder="1" applyAlignment="1">
      <alignment horizontal="right"/>
    </xf>
    <xf numFmtId="0" fontId="6" fillId="0" borderId="6" xfId="0" applyFont="1" applyFill="1" applyBorder="1" applyAlignment="1"/>
    <xf numFmtId="2" fontId="0" fillId="0" borderId="6" xfId="0" applyNumberFormat="1" applyFont="1" applyBorder="1" applyAlignment="1"/>
    <xf numFmtId="0" fontId="0" fillId="0" borderId="6" xfId="0" applyFont="1" applyBorder="1"/>
    <xf numFmtId="2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6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6" xfId="0" applyFont="1" applyBorder="1" applyAlignment="1">
      <alignment horizontal="center"/>
    </xf>
    <xf numFmtId="164" fontId="0" fillId="0" borderId="6" xfId="0" applyNumberFormat="1" applyFont="1" applyBorder="1" applyAlignment="1"/>
    <xf numFmtId="0" fontId="3" fillId="0" borderId="3" xfId="0" applyFont="1" applyBorder="1" applyAlignment="1">
      <alignment horizontal="right"/>
    </xf>
    <xf numFmtId="1" fontId="3" fillId="0" borderId="6" xfId="0" applyNumberFormat="1" applyFont="1" applyBorder="1" applyAlignment="1"/>
    <xf numFmtId="2" fontId="9" fillId="0" borderId="6" xfId="0" applyNumberFormat="1" applyFont="1" applyBorder="1"/>
    <xf numFmtId="2" fontId="9" fillId="0" borderId="6" xfId="0" applyNumberFormat="1" applyFont="1" applyBorder="1" applyAlignment="1"/>
    <xf numFmtId="2" fontId="10" fillId="0" borderId="6" xfId="0" applyNumberFormat="1" applyFont="1" applyBorder="1" applyAlignment="1"/>
    <xf numFmtId="2" fontId="3" fillId="0" borderId="6" xfId="0" applyNumberFormat="1" applyFont="1" applyBorder="1"/>
    <xf numFmtId="2" fontId="11" fillId="0" borderId="6" xfId="0" applyNumberFormat="1" applyFont="1" applyBorder="1"/>
    <xf numFmtId="0" fontId="11" fillId="0" borderId="6" xfId="0" applyNumberFormat="1" applyFont="1" applyBorder="1"/>
    <xf numFmtId="2" fontId="11" fillId="0" borderId="6" xfId="0" applyNumberFormat="1" applyFont="1" applyBorder="1" applyAlignment="1"/>
    <xf numFmtId="0" fontId="3" fillId="0" borderId="6" xfId="0" applyNumberFormat="1" applyFont="1" applyBorder="1"/>
    <xf numFmtId="0" fontId="0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11" fontId="0" fillId="0" borderId="6" xfId="0" applyNumberFormat="1" applyFont="1" applyBorder="1"/>
    <xf numFmtId="2" fontId="0" fillId="0" borderId="6" xfId="0" applyNumberFormat="1" applyFont="1" applyBorder="1" applyAlignment="1">
      <alignment horizontal="center"/>
    </xf>
    <xf numFmtId="166" fontId="0" fillId="0" borderId="6" xfId="0" applyNumberFormat="1" applyFont="1" applyBorder="1" applyAlignment="1"/>
    <xf numFmtId="2" fontId="0" fillId="0" borderId="6" xfId="0" applyNumberFormat="1" applyFont="1" applyBorder="1"/>
    <xf numFmtId="2" fontId="0" fillId="0" borderId="10" xfId="0" applyNumberFormat="1" applyFont="1" applyBorder="1" applyAlignment="1"/>
    <xf numFmtId="166" fontId="0" fillId="0" borderId="10" xfId="0" applyNumberFormat="1" applyFont="1" applyBorder="1" applyAlignment="1"/>
    <xf numFmtId="0" fontId="0" fillId="0" borderId="10" xfId="0" applyFont="1" applyBorder="1" applyAlignment="1"/>
    <xf numFmtId="0" fontId="0" fillId="0" borderId="4" xfId="0" applyFont="1" applyBorder="1" applyAlignment="1"/>
    <xf numFmtId="11" fontId="0" fillId="0" borderId="6" xfId="0" applyNumberFormat="1" applyFont="1" applyBorder="1" applyAlignment="1"/>
    <xf numFmtId="2" fontId="6" fillId="0" borderId="6" xfId="0" applyNumberFormat="1" applyFont="1" applyBorder="1" applyAlignment="1"/>
    <xf numFmtId="0" fontId="7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6" xfId="0" applyNumberFormat="1" applyFont="1" applyBorder="1"/>
    <xf numFmtId="0" fontId="0" fillId="0" borderId="4" xfId="0" applyFont="1" applyBorder="1"/>
    <xf numFmtId="0" fontId="1" fillId="0" borderId="3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0" fillId="0" borderId="5" xfId="0" applyFont="1" applyBorder="1" applyAlignment="1">
      <alignment horizontal="right"/>
    </xf>
    <xf numFmtId="0" fontId="3" fillId="0" borderId="6" xfId="0" applyFont="1" applyBorder="1" applyAlignment="1"/>
    <xf numFmtId="0" fontId="8" fillId="0" borderId="4" xfId="0" applyFont="1" applyBorder="1" applyAlignment="1">
      <alignment horizontal="center"/>
    </xf>
    <xf numFmtId="0" fontId="0" fillId="0" borderId="12" xfId="0" applyFont="1" applyBorder="1" applyAlignment="1"/>
    <xf numFmtId="2" fontId="3" fillId="0" borderId="3" xfId="0" applyNumberFormat="1" applyFont="1" applyBorder="1"/>
    <xf numFmtId="0" fontId="12" fillId="0" borderId="6" xfId="0" applyFont="1" applyBorder="1" applyAlignment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/>
    <xf numFmtId="2" fontId="2" fillId="0" borderId="5" xfId="0" applyNumberFormat="1" applyFont="1" applyBorder="1" applyAlignment="1">
      <alignment horizontal="center"/>
    </xf>
    <xf numFmtId="0" fontId="1" fillId="0" borderId="1" xfId="0" applyFont="1" applyBorder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PAYBACK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5460580735392868"/>
          <c:y val="0.10595965915219503"/>
          <c:w val="0.80382058706540005"/>
          <c:h val="0.79366195663898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FINANCIAL!$A$64</c:f>
              <c:strCache>
                <c:ptCount val="1"/>
                <c:pt idx="0">
                  <c:v>PAYBACK PERIOD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FINANCIAL!$B$71:$V$71</c:f>
              <c:numCache>
                <c:formatCode>General</c:formatCode>
                <c:ptCount val="21"/>
                <c:pt idx="0">
                  <c:v>-73.388847273368015</c:v>
                </c:pt>
                <c:pt idx="1">
                  <c:v>-65.972026695023615</c:v>
                </c:pt>
                <c:pt idx="2">
                  <c:v>-58.555206116679202</c:v>
                </c:pt>
                <c:pt idx="3">
                  <c:v>-51.138385538334795</c:v>
                </c:pt>
                <c:pt idx="4">
                  <c:v>-43.721564959990388</c:v>
                </c:pt>
                <c:pt idx="5">
                  <c:v>-36.304744381645989</c:v>
                </c:pt>
                <c:pt idx="6">
                  <c:v>-28.887923803301579</c:v>
                </c:pt>
                <c:pt idx="7">
                  <c:v>-21.471103224957172</c:v>
                </c:pt>
                <c:pt idx="8">
                  <c:v>-14.054282646612766</c:v>
                </c:pt>
                <c:pt idx="9">
                  <c:v>-6.6374620682683609</c:v>
                </c:pt>
                <c:pt idx="10">
                  <c:v>0.77935851007604473</c:v>
                </c:pt>
                <c:pt idx="11">
                  <c:v>8.1961790884204486</c:v>
                </c:pt>
                <c:pt idx="12">
                  <c:v>15.612999666764855</c:v>
                </c:pt>
                <c:pt idx="13">
                  <c:v>23.029820245109264</c:v>
                </c:pt>
                <c:pt idx="14">
                  <c:v>30.44664082345367</c:v>
                </c:pt>
                <c:pt idx="15">
                  <c:v>37.86346140179807</c:v>
                </c:pt>
                <c:pt idx="16">
                  <c:v>45.280281980142476</c:v>
                </c:pt>
                <c:pt idx="17">
                  <c:v>52.697102558486883</c:v>
                </c:pt>
                <c:pt idx="18">
                  <c:v>60.113923136831289</c:v>
                </c:pt>
                <c:pt idx="19">
                  <c:v>67.530743715175689</c:v>
                </c:pt>
                <c:pt idx="20">
                  <c:v>74.947564293520088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0-49AC-BAEF-7CD5B7436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32736"/>
        <c:axId val="353236016"/>
      </c:barChart>
      <c:catAx>
        <c:axId val="353232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Life</a:t>
                </a:r>
                <a:r>
                  <a:rPr lang="en-US" baseline="0"/>
                  <a:t> Time (Years)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53236016"/>
        <c:crosses val="autoZero"/>
        <c:auto val="1"/>
        <c:lblAlgn val="ctr"/>
        <c:lblOffset val="100"/>
        <c:noMultiLvlLbl val="0"/>
      </c:catAx>
      <c:valAx>
        <c:axId val="353236016"/>
        <c:scaling>
          <c:orientation val="minMax"/>
          <c:max val="750"/>
          <c:min val="-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Net</a:t>
                </a:r>
                <a:r>
                  <a:rPr lang="en-US" baseline="0"/>
                  <a:t> Value (Thousands of £)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532327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LCOE with capacity</a:t>
            </a:r>
            <a:r>
              <a:rPr lang="en-US" baseline="0">
                <a:solidFill>
                  <a:sysClr val="windowText" lastClr="000000"/>
                </a:solidFill>
              </a:rPr>
              <a:t> factor changes</a:t>
            </a:r>
            <a:endParaRPr lang="en-U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565130112214275"/>
          <c:y val="6.6842549645759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cap="all" spc="12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9.2941721879889513E-2"/>
          <c:y val="0.20239220426950208"/>
          <c:w val="0.86848131296546371"/>
          <c:h val="0.67684522002362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FINANCIAL!$J$91</c:f>
              <c:strCache>
                <c:ptCount val="1"/>
                <c:pt idx="0">
                  <c:v>Wind Turbine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FINANCIAL!$K$90:$O$90</c:f>
              <c:numCache>
                <c:formatCode>General</c:formatCode>
                <c:ptCount val="5"/>
                <c:pt idx="0">
                  <c:v>0.3</c:v>
                </c:pt>
                <c:pt idx="1">
                  <c:v>0.35</c:v>
                </c:pt>
                <c:pt idx="2">
                  <c:v>0.4</c:v>
                </c:pt>
                <c:pt idx="3">
                  <c:v>0.45</c:v>
                </c:pt>
                <c:pt idx="4">
                  <c:v>0.5</c:v>
                </c:pt>
              </c:numCache>
            </c:numRef>
          </c:cat>
          <c:val>
            <c:numRef>
              <c:f>FINANCIAL!$K$91:$O$91</c:f>
              <c:numCache>
                <c:formatCode>0.000</c:formatCode>
                <c:ptCount val="5"/>
                <c:pt idx="0">
                  <c:v>0.22900000000000001</c:v>
                </c:pt>
                <c:pt idx="1">
                  <c:v>0.18</c:v>
                </c:pt>
                <c:pt idx="2">
                  <c:v>0.16300000000000001</c:v>
                </c:pt>
                <c:pt idx="3">
                  <c:v>0.14499999999999999</c:v>
                </c:pt>
                <c:pt idx="4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B-4935-B404-C2426DB04929}"/>
            </c:ext>
          </c:extLst>
        </c:ser>
        <c:ser>
          <c:idx val="1"/>
          <c:order val="1"/>
          <c:tx>
            <c:strRef>
              <c:f>FINANCIAL!$J$94</c:f>
              <c:strCache>
                <c:ptCount val="1"/>
                <c:pt idx="0">
                  <c:v>Current Turbine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FINANCIAL!$K$94:$O$94</c:f>
              <c:numCache>
                <c:formatCode>0.000</c:formatCode>
                <c:ptCount val="5"/>
                <c:pt idx="0">
                  <c:v>0.20399999999999999</c:v>
                </c:pt>
                <c:pt idx="1">
                  <c:v>0.20300000000000001</c:v>
                </c:pt>
                <c:pt idx="2">
                  <c:v>0.20200000000000001</c:v>
                </c:pt>
                <c:pt idx="3">
                  <c:v>0.20100000000000001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8-4D46-84E0-9D1F4F8CB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432504"/>
        <c:axId val="427429224"/>
      </c:barChart>
      <c:catAx>
        <c:axId val="42743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Capacity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factor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27429224"/>
        <c:crosses val="autoZero"/>
        <c:auto val="1"/>
        <c:lblAlgn val="ctr"/>
        <c:lblOffset val="100"/>
        <c:noMultiLvlLbl val="0"/>
      </c:catAx>
      <c:valAx>
        <c:axId val="427429224"/>
        <c:scaling>
          <c:orientation val="minMax"/>
          <c:max val="0.24000000000000002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LCOE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(p/kwh)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27432504"/>
        <c:crosses val="autoZero"/>
        <c:crossBetween val="between"/>
        <c:majorUnit val="2.0000000000000004E-2"/>
        <c:minorUnit val="1.0000000000000002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46369147860386"/>
          <c:y val="2.2919542955410231E-2"/>
          <c:w val="0.20106201048463793"/>
          <c:h val="0.16798671237703519"/>
        </c:manualLayout>
      </c:layout>
      <c:overlay val="0"/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LCOE</a:t>
            </a:r>
          </a:p>
        </c:rich>
      </c:tx>
      <c:overlay val="0"/>
      <c:spPr>
        <a:solidFill>
          <a:schemeClr val="accent3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1452340746419837"/>
          <c:y val="0.18322125410488804"/>
          <c:w val="0.85660374916756676"/>
          <c:h val="0.63013968837813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FINANCIAL!$J$94</c:f>
              <c:strCache>
                <c:ptCount val="1"/>
                <c:pt idx="0">
                  <c:v>Current Turbine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FINANCIAL!$K$93:$O$93</c:f>
              <c:numCache>
                <c:formatCode>General</c:formatCode>
                <c:ptCount val="5"/>
                <c:pt idx="0">
                  <c:v>0.3</c:v>
                </c:pt>
                <c:pt idx="1">
                  <c:v>0.35</c:v>
                </c:pt>
                <c:pt idx="2">
                  <c:v>0.4</c:v>
                </c:pt>
                <c:pt idx="3">
                  <c:v>0.45</c:v>
                </c:pt>
                <c:pt idx="4">
                  <c:v>0.5</c:v>
                </c:pt>
              </c:numCache>
            </c:numRef>
          </c:cat>
          <c:val>
            <c:numRef>
              <c:f>FINANCIAL!$K$94:$O$94</c:f>
              <c:numCache>
                <c:formatCode>0.000</c:formatCode>
                <c:ptCount val="5"/>
                <c:pt idx="0">
                  <c:v>0.20399999999999999</c:v>
                </c:pt>
                <c:pt idx="1">
                  <c:v>0.20300000000000001</c:v>
                </c:pt>
                <c:pt idx="2">
                  <c:v>0.20200000000000001</c:v>
                </c:pt>
                <c:pt idx="3">
                  <c:v>0.20100000000000001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3-4840-9DBC-A8C665E6A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685352"/>
        <c:axId val="422686008"/>
      </c:barChart>
      <c:catAx>
        <c:axId val="422685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Capacitor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Factor (Current Turbine)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22686008"/>
        <c:crosses val="autoZero"/>
        <c:auto val="1"/>
        <c:lblAlgn val="ctr"/>
        <c:lblOffset val="100"/>
        <c:noMultiLvlLbl val="0"/>
      </c:catAx>
      <c:valAx>
        <c:axId val="422686008"/>
        <c:scaling>
          <c:orientation val="minMax"/>
          <c:max val="0.20500000000000002"/>
          <c:min val="0.199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LCOE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(p/kWh)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22685352"/>
        <c:crosses val="autoZero"/>
        <c:crossBetween val="between"/>
        <c:majorUnit val="2.5000000000000005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FINANCIAL!$A$64</c:f>
              <c:strCache>
                <c:ptCount val="1"/>
                <c:pt idx="0">
                  <c:v>PAYBACK PERIOD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FINANCIAL!$B$65:$V$65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FINANCIAL!$B$69:$V$69</c:f>
              <c:numCache>
                <c:formatCode>General</c:formatCode>
                <c:ptCount val="21"/>
                <c:pt idx="0" formatCode="0.00">
                  <c:v>-73388.84727336801</c:v>
                </c:pt>
                <c:pt idx="1">
                  <c:v>-65972.026695023611</c:v>
                </c:pt>
                <c:pt idx="2" formatCode="0.00">
                  <c:v>-58555.206116679205</c:v>
                </c:pt>
                <c:pt idx="3" formatCode="0.00">
                  <c:v>-51138.385538334798</c:v>
                </c:pt>
                <c:pt idx="4" formatCode="0.00">
                  <c:v>-43721.564959990392</c:v>
                </c:pt>
                <c:pt idx="5" formatCode="0.00">
                  <c:v>-36304.744381645985</c:v>
                </c:pt>
                <c:pt idx="6" formatCode="0.00">
                  <c:v>-28887.923803301579</c:v>
                </c:pt>
                <c:pt idx="7" formatCode="0.00">
                  <c:v>-21471.103224957173</c:v>
                </c:pt>
                <c:pt idx="8" formatCode="0.00">
                  <c:v>-14054.282646612766</c:v>
                </c:pt>
                <c:pt idx="9" formatCode="0.00">
                  <c:v>-6637.4620682683608</c:v>
                </c:pt>
                <c:pt idx="10" formatCode="0.00">
                  <c:v>779.35851007604469</c:v>
                </c:pt>
                <c:pt idx="11">
                  <c:v>8196.1790884204493</c:v>
                </c:pt>
                <c:pt idx="12" formatCode="0.00">
                  <c:v>15612.999666764856</c:v>
                </c:pt>
                <c:pt idx="13" formatCode="0.00">
                  <c:v>23029.820245109262</c:v>
                </c:pt>
                <c:pt idx="14" formatCode="0.00">
                  <c:v>30446.640823453668</c:v>
                </c:pt>
                <c:pt idx="15" formatCode="0.00">
                  <c:v>37863.461401798071</c:v>
                </c:pt>
                <c:pt idx="16" formatCode="0.00">
                  <c:v>45280.281980142478</c:v>
                </c:pt>
                <c:pt idx="17" formatCode="0.00">
                  <c:v>52697.102558486884</c:v>
                </c:pt>
                <c:pt idx="18" formatCode="0.00">
                  <c:v>60113.92313683129</c:v>
                </c:pt>
                <c:pt idx="19" formatCode="0.00">
                  <c:v>67530.743715175689</c:v>
                </c:pt>
                <c:pt idx="20" formatCode="0.00">
                  <c:v>74947.564293520089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4-410B-B19B-0C6F46E5A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8973848"/>
        <c:axId val="548976144"/>
      </c:barChart>
      <c:catAx>
        <c:axId val="548973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Life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time (years)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8976144"/>
        <c:crosses val="autoZero"/>
        <c:auto val="1"/>
        <c:lblAlgn val="ctr"/>
        <c:lblOffset val="100"/>
        <c:noMultiLvlLbl val="0"/>
      </c:catAx>
      <c:valAx>
        <c:axId val="54897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Net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value (£)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897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LCOE</a:t>
            </a:r>
          </a:p>
        </c:rich>
      </c:tx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2619776760877519"/>
          <c:y val="0.15083431257344304"/>
          <c:w val="0.82797155129638078"/>
          <c:h val="0.61695272814752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FINANCIAL!$J$91</c:f>
              <c:strCache>
                <c:ptCount val="1"/>
                <c:pt idx="0">
                  <c:v>Wind Turbine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FINANCIAL!$K$90:$O$90</c:f>
              <c:numCache>
                <c:formatCode>General</c:formatCode>
                <c:ptCount val="5"/>
                <c:pt idx="0">
                  <c:v>0.3</c:v>
                </c:pt>
                <c:pt idx="1">
                  <c:v>0.35</c:v>
                </c:pt>
                <c:pt idx="2">
                  <c:v>0.4</c:v>
                </c:pt>
                <c:pt idx="3">
                  <c:v>0.45</c:v>
                </c:pt>
                <c:pt idx="4">
                  <c:v>0.5</c:v>
                </c:pt>
              </c:numCache>
            </c:numRef>
          </c:cat>
          <c:val>
            <c:numRef>
              <c:f>FINANCIAL!$K$91:$O$91</c:f>
              <c:numCache>
                <c:formatCode>0.000</c:formatCode>
                <c:ptCount val="5"/>
                <c:pt idx="0">
                  <c:v>0.22900000000000001</c:v>
                </c:pt>
                <c:pt idx="1">
                  <c:v>0.18</c:v>
                </c:pt>
                <c:pt idx="2">
                  <c:v>0.16300000000000001</c:v>
                </c:pt>
                <c:pt idx="3">
                  <c:v>0.14499999999999999</c:v>
                </c:pt>
                <c:pt idx="4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6-4666-97F6-E2D0C4DF8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633072"/>
        <c:axId val="420633728"/>
      </c:barChart>
      <c:catAx>
        <c:axId val="42063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Capacitor Factor (Wind Turbine)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20633728"/>
        <c:crosses val="autoZero"/>
        <c:auto val="1"/>
        <c:lblAlgn val="ctr"/>
        <c:lblOffset val="100"/>
        <c:noMultiLvlLbl val="0"/>
      </c:catAx>
      <c:valAx>
        <c:axId val="420633728"/>
        <c:scaling>
          <c:orientation val="minMax"/>
          <c:min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LCOE (p/kWh)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2063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943448361830755E-2"/>
          <c:y val="0.12304439315775183"/>
          <c:w val="0.82572801580093647"/>
          <c:h val="0.80215257860979294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5EDA-4E43-A179-A7C8B8D889F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5EDA-4E43-A179-A7C8B8D889F2}"/>
              </c:ext>
            </c:extLst>
          </c:dPt>
          <c:dPt>
            <c:idx val="2"/>
            <c:bubble3D val="0"/>
            <c:explosion val="12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EDA-4E43-A179-A7C8B8D889F2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EDA-4E43-A179-A7C8B8D889F2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EDA-4E43-A179-A7C8B8D889F2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EDA-4E43-A179-A7C8B8D889F2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EDA-4E43-A179-A7C8B8D889F2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EDA-4E43-A179-A7C8B8D889F2}"/>
              </c:ext>
            </c:extLst>
          </c:dPt>
          <c:dLbls>
            <c:dLbl>
              <c:idx val="0"/>
              <c:layout>
                <c:manualLayout>
                  <c:x val="-0.13997760358342665"/>
                  <c:y val="-0.1878661938780831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62038073908174"/>
                      <c:h val="0.111754966887417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EDA-4E43-A179-A7C8B8D889F2}"/>
                </c:ext>
              </c:extLst>
            </c:dLbl>
            <c:dLbl>
              <c:idx val="1"/>
              <c:layout>
                <c:manualLayout>
                  <c:x val="0.1053828993660227"/>
                  <c:y val="4.48179447314308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DA-4E43-A179-A7C8B8D889F2}"/>
                </c:ext>
              </c:extLst>
            </c:dLbl>
            <c:dLbl>
              <c:idx val="2"/>
              <c:layout>
                <c:manualLayout>
                  <c:x val="3.6561356482175456E-2"/>
                  <c:y val="7.64413099024873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2441209406495E-2"/>
                      <c:h val="8.72929936305732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EDA-4E43-A179-A7C8B8D889F2}"/>
                </c:ext>
              </c:extLst>
            </c:dLbl>
            <c:dLbl>
              <c:idx val="3"/>
              <c:layout>
                <c:manualLayout>
                  <c:x val="-0.13424129934486073"/>
                  <c:y val="-5.110336526405537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05263157894737"/>
                      <c:h val="8.72929936305732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EDA-4E43-A179-A7C8B8D889F2}"/>
                </c:ext>
              </c:extLst>
            </c:dLbl>
            <c:dLbl>
              <c:idx val="4"/>
              <c:layout>
                <c:manualLayout>
                  <c:x val="-3.4376912292458442E-2"/>
                  <c:y val="-5.96935653743918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DA-4E43-A179-A7C8B8D889F2}"/>
                </c:ext>
              </c:extLst>
            </c:dLbl>
            <c:dLbl>
              <c:idx val="5"/>
              <c:layout>
                <c:manualLayout>
                  <c:x val="5.5551401539533203E-2"/>
                  <c:y val="-5.93758463313104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DA-4E43-A179-A7C8B8D889F2}"/>
                </c:ext>
              </c:extLst>
            </c:dLbl>
            <c:dLbl>
              <c:idx val="6"/>
              <c:layout>
                <c:manualLayout>
                  <c:x val="0.19490120005995892"/>
                  <c:y val="-5.7599929785846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DA-4E43-A179-A7C8B8D889F2}"/>
                </c:ext>
              </c:extLst>
            </c:dLbl>
            <c:dLbl>
              <c:idx val="7"/>
              <c:layout>
                <c:manualLayout>
                  <c:x val="0.28180476320639097"/>
                  <c:y val="4.25655750037614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DA-4E43-A179-A7C8B8D889F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Sheet1!$A$1:$A$8</c:f>
              <c:strCache>
                <c:ptCount val="8"/>
                <c:pt idx="0">
                  <c:v>Tilapia </c:v>
                </c:pt>
                <c:pt idx="1">
                  <c:v>Mullete </c:v>
                </c:pt>
                <c:pt idx="2">
                  <c:v>Carp</c:v>
                </c:pt>
                <c:pt idx="3">
                  <c:v>Sea bream</c:v>
                </c:pt>
                <c:pt idx="4">
                  <c:v>Sea bass</c:v>
                </c:pt>
                <c:pt idx="5">
                  <c:v>Meagre</c:v>
                </c:pt>
                <c:pt idx="6">
                  <c:v>Shrimp</c:v>
                </c:pt>
                <c:pt idx="7">
                  <c:v>Catfish &amp; others</c:v>
                </c:pt>
              </c:strCache>
            </c:strRef>
          </c:cat>
          <c:val>
            <c:numRef>
              <c:f>Sheet1!$B$1:$B$8</c:f>
              <c:numCache>
                <c:formatCode>General</c:formatCode>
                <c:ptCount val="8"/>
                <c:pt idx="0">
                  <c:v>768752</c:v>
                </c:pt>
                <c:pt idx="1">
                  <c:v>124651</c:v>
                </c:pt>
                <c:pt idx="2">
                  <c:v>67065</c:v>
                </c:pt>
                <c:pt idx="3">
                  <c:v>14806</c:v>
                </c:pt>
                <c:pt idx="4">
                  <c:v>13798</c:v>
                </c:pt>
                <c:pt idx="5">
                  <c:v>8319</c:v>
                </c:pt>
                <c:pt idx="6">
                  <c:v>1109</c:v>
                </c:pt>
                <c:pt idx="7">
                  <c:v>14236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A-4E43-A179-A7C8B8D889F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Cos</a:t>
            </a:r>
            <a:r>
              <a:rPr lang="en-US" baseline="0"/>
              <a:t>t Distribution</a:t>
            </a:r>
            <a:endParaRPr lang="en-US"/>
          </a:p>
        </c:rich>
      </c:tx>
      <c:layout>
        <c:manualLayout>
          <c:xMode val="edge"/>
          <c:yMode val="edge"/>
          <c:x val="0.35243516761543331"/>
          <c:y val="1.18929633300297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27543277204201472"/>
          <c:y val="0.24605417385264899"/>
          <c:w val="0.42130376966636285"/>
          <c:h val="0.66013999984392435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7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9F-48D1-A220-EA150AE4E8AE}"/>
              </c:ext>
            </c:extLst>
          </c:dPt>
          <c:dPt>
            <c:idx val="1"/>
            <c:bubble3D val="0"/>
            <c:explosion val="1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29F-48D1-A220-EA150AE4E8AE}"/>
              </c:ext>
            </c:extLst>
          </c:dPt>
          <c:dPt>
            <c:idx val="2"/>
            <c:bubble3D val="0"/>
            <c:explosion val="3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9F-48D1-A220-EA150AE4E8AE}"/>
              </c:ext>
            </c:extLst>
          </c:dPt>
          <c:dPt>
            <c:idx val="3"/>
            <c:bubble3D val="0"/>
            <c:explosion val="26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9F-48D1-A220-EA150AE4E8AE}"/>
              </c:ext>
            </c:extLst>
          </c:dPt>
          <c:dPt>
            <c:idx val="4"/>
            <c:bubble3D val="0"/>
            <c:explosion val="5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29F-48D1-A220-EA150AE4E8AE}"/>
              </c:ext>
            </c:extLst>
          </c:dPt>
          <c:dLbls>
            <c:dLbl>
              <c:idx val="0"/>
              <c:layout>
                <c:manualLayout>
                  <c:x val="-2.6700931833236307E-2"/>
                  <c:y val="-8.6275489102019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90079537021821"/>
                      <c:h val="0.233716707116268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29F-48D1-A220-EA150AE4E8AE}"/>
                </c:ext>
              </c:extLst>
            </c:dLbl>
            <c:dLbl>
              <c:idx val="1"/>
              <c:layout>
                <c:manualLayout>
                  <c:x val="-2.5442483826144124E-2"/>
                  <c:y val="-8.03552281435583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33080328905754"/>
                      <c:h val="0.244202180376610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29F-48D1-A220-EA150AE4E8AE}"/>
                </c:ext>
              </c:extLst>
            </c:dLbl>
            <c:dLbl>
              <c:idx val="2"/>
              <c:layout>
                <c:manualLayout>
                  <c:x val="1.0207632964285536E-2"/>
                  <c:y val="5.0057513871221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9F-48D1-A220-EA150AE4E8AE}"/>
                </c:ext>
              </c:extLst>
            </c:dLbl>
            <c:dLbl>
              <c:idx val="3"/>
              <c:layout>
                <c:manualLayout>
                  <c:x val="2.2841319408129036E-2"/>
                  <c:y val="6.39341985125992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9F-48D1-A220-EA150AE4E8AE}"/>
                </c:ext>
              </c:extLst>
            </c:dLbl>
            <c:dLbl>
              <c:idx val="4"/>
              <c:layout>
                <c:manualLayout>
                  <c:x val="0.18564321012130638"/>
                  <c:y val="3.6716012579696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616334722865"/>
                      <c:h val="0.18612487611496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29F-48D1-A220-EA150AE4E8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Sheet1!$A$20:$A$24</c:f>
              <c:strCache>
                <c:ptCount val="5"/>
                <c:pt idx="0">
                  <c:v>Wind Turbine Capital Cost </c:v>
                </c:pt>
                <c:pt idx="1">
                  <c:v>Current Turbines Capital Cost </c:v>
                </c:pt>
                <c:pt idx="2">
                  <c:v>Platform Capital Cost </c:v>
                </c:pt>
                <c:pt idx="3">
                  <c:v>Cables Cost</c:v>
                </c:pt>
                <c:pt idx="4">
                  <c:v>Substation Cost</c:v>
                </c:pt>
              </c:strCache>
            </c:strRef>
          </c:cat>
          <c:val>
            <c:numRef>
              <c:f>Sheet1!$B$20:$B$24</c:f>
              <c:numCache>
                <c:formatCode>General</c:formatCode>
                <c:ptCount val="5"/>
                <c:pt idx="0">
                  <c:v>32640.000000000004</c:v>
                </c:pt>
                <c:pt idx="1">
                  <c:v>20400</c:v>
                </c:pt>
                <c:pt idx="2">
                  <c:v>12148.847273368003</c:v>
                </c:pt>
                <c:pt idx="3">
                  <c:v>1200</c:v>
                </c:pt>
                <c:pt idx="4">
                  <c:v>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F-48D1-A220-EA150AE4E8A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555625</xdr:colOff>
      <xdr:row>43</xdr:row>
      <xdr:rowOff>53975</xdr:rowOff>
    </xdr:from>
    <xdr:to>
      <xdr:col>18</xdr:col>
      <xdr:colOff>215901</xdr:colOff>
      <xdr:row>60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9DBB2C-E6A5-4396-B56C-3B8503855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288924</xdr:colOff>
      <xdr:row>94</xdr:row>
      <xdr:rowOff>104774</xdr:rowOff>
    </xdr:from>
    <xdr:to>
      <xdr:col>19</xdr:col>
      <xdr:colOff>190500</xdr:colOff>
      <xdr:row>114</xdr:row>
      <xdr:rowOff>158750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49F2BD-4446-4639-BFCD-BBCC0069C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377824</xdr:colOff>
      <xdr:row>71</xdr:row>
      <xdr:rowOff>111124</xdr:rowOff>
    </xdr:from>
    <xdr:to>
      <xdr:col>20</xdr:col>
      <xdr:colOff>558800</xdr:colOff>
      <xdr:row>86</xdr:row>
      <xdr:rowOff>158750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4EDCA4-2AFC-4A60-B23C-A988D0C83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295274</xdr:colOff>
      <xdr:row>23</xdr:row>
      <xdr:rowOff>149224</xdr:rowOff>
    </xdr:from>
    <xdr:to>
      <xdr:col>19</xdr:col>
      <xdr:colOff>317500</xdr:colOff>
      <xdr:row>42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9116C8-AEEB-4319-AACB-AB2222C4C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384174</xdr:colOff>
      <xdr:row>71</xdr:row>
      <xdr:rowOff>117475</xdr:rowOff>
    </xdr:from>
    <xdr:to>
      <xdr:col>12</xdr:col>
      <xdr:colOff>165099</xdr:colOff>
      <xdr:row>86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89B577-D70C-45F5-8019-8B048721C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25401</xdr:colOff>
      <xdr:row>1</xdr:row>
      <xdr:rowOff>59823</xdr:rowOff>
    </xdr:from>
    <xdr:to>
      <xdr:col>16</xdr:col>
      <xdr:colOff>38100</xdr:colOff>
      <xdr:row>10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0437A8-56D4-48D6-899A-35AA61013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1" y="243973"/>
          <a:ext cx="3060699" cy="1680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501650</xdr:colOff>
      <xdr:row>1</xdr:row>
      <xdr:rowOff>88900</xdr:rowOff>
    </xdr:from>
    <xdr:to>
      <xdr:col>10</xdr:col>
      <xdr:colOff>438150</xdr:colOff>
      <xdr:row>17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018C93-2359-46E9-ACFA-6F0FD56A1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184151</xdr:colOff>
      <xdr:row>19</xdr:row>
      <xdr:rowOff>85724</xdr:rowOff>
    </xdr:from>
    <xdr:to>
      <xdr:col>12</xdr:col>
      <xdr:colOff>323851</xdr:colOff>
      <xdr:row>36</xdr:row>
      <xdr:rowOff>158749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1DF002-8721-4A3E-93C7-320B210DA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V1002"/>
  <sheetViews>
    <sheetView tabSelected="1" topLeftCell="A41" zoomScaleNormal="100" workbookViewId="0">
      <selection activeCell="B1" sqref="B1"/>
    </sheetView>
  </sheetViews>
  <sheetFormatPr defaultColWidth="14.44140625" defaultRowHeight="15" customHeight="1" x14ac:dyDescent="0.3"/>
  <cols>
    <col min="1" max="1" width="26" customWidth="1"/>
    <col min="2" max="2" width="11.77734375" customWidth="1"/>
    <col min="3" max="3" width="8.5546875" customWidth="1"/>
    <col min="4" max="4" width="31.5546875" bestFit="1" customWidth="1"/>
    <col min="5" max="5" width="14.109375" customWidth="1"/>
    <col min="6" max="6" width="30.5546875" customWidth="1"/>
    <col min="7" max="7" width="16" customWidth="1"/>
    <col min="8" max="8" width="11.77734375" bestFit="1" customWidth="1"/>
    <col min="9" max="9" width="12.44140625" bestFit="1" customWidth="1"/>
    <col min="10" max="10" width="14.21875" bestFit="1" customWidth="1"/>
    <col min="11" max="11" width="10.5546875" customWidth="1"/>
    <col min="12" max="12" width="9.5546875" customWidth="1"/>
    <col min="13" max="13" width="8.77734375" customWidth="1"/>
    <col min="14" max="19" width="10" customWidth="1"/>
    <col min="20" max="25" width="10.44140625" customWidth="1"/>
    <col min="26" max="26" width="12" customWidth="1"/>
  </cols>
  <sheetData>
    <row r="1" spans="1:11" ht="14.25" customHeight="1" x14ac:dyDescent="0.3">
      <c r="A1" s="28" t="s">
        <v>2</v>
      </c>
      <c r="B1" s="20">
        <v>389626.9</v>
      </c>
      <c r="D1" s="71" t="s">
        <v>3</v>
      </c>
      <c r="E1" s="71"/>
    </row>
    <row r="2" spans="1:11" ht="14.25" customHeight="1" x14ac:dyDescent="0.3">
      <c r="A2" s="28" t="s">
        <v>6</v>
      </c>
      <c r="B2" s="20">
        <f>B1/1000</f>
        <v>389.62690000000003</v>
      </c>
      <c r="D2" s="71" t="s">
        <v>7</v>
      </c>
      <c r="E2" s="71"/>
      <c r="H2" s="55"/>
      <c r="J2" s="72" t="s">
        <v>81</v>
      </c>
      <c r="K2" s="73"/>
    </row>
    <row r="3" spans="1:11" ht="14.25" customHeight="1" x14ac:dyDescent="0.3">
      <c r="D3" s="71" t="s">
        <v>78</v>
      </c>
      <c r="E3" s="71"/>
      <c r="H3" s="55"/>
      <c r="J3" s="20">
        <v>1</v>
      </c>
      <c r="K3" s="20">
        <f>B12*1.5%</f>
        <v>489.6</v>
      </c>
    </row>
    <row r="4" spans="1:11" ht="14.25" customHeight="1" x14ac:dyDescent="0.3">
      <c r="A4" s="28" t="s">
        <v>8</v>
      </c>
      <c r="B4" s="20">
        <v>45.4</v>
      </c>
      <c r="C4" s="55"/>
      <c r="D4" s="61"/>
      <c r="E4" s="55"/>
      <c r="F4" s="55"/>
      <c r="H4" s="55"/>
      <c r="J4" s="20">
        <v>2</v>
      </c>
      <c r="K4" s="20">
        <v>489.6</v>
      </c>
    </row>
    <row r="5" spans="1:11" ht="14.25" customHeight="1" x14ac:dyDescent="0.3">
      <c r="A5" s="28" t="s">
        <v>9</v>
      </c>
      <c r="B5" s="35">
        <f>B2*B4</f>
        <v>17689.061260000002</v>
      </c>
      <c r="C5" s="55"/>
      <c r="D5" s="28" t="s">
        <v>45</v>
      </c>
      <c r="E5" s="20">
        <v>0.04</v>
      </c>
      <c r="F5" s="55"/>
      <c r="H5" s="55"/>
      <c r="J5" s="20">
        <v>3</v>
      </c>
      <c r="K5" s="20">
        <v>489.6</v>
      </c>
    </row>
    <row r="6" spans="1:11" ht="14.25" customHeight="1" x14ac:dyDescent="0.3">
      <c r="A6" s="28" t="s">
        <v>76</v>
      </c>
      <c r="B6" s="35">
        <f>B5*1%</f>
        <v>176.89061260000003</v>
      </c>
      <c r="D6" s="28" t="s">
        <v>46</v>
      </c>
      <c r="E6" s="20">
        <v>20</v>
      </c>
      <c r="H6" s="55"/>
      <c r="J6" s="20">
        <v>4</v>
      </c>
      <c r="K6" s="20">
        <v>489.6</v>
      </c>
    </row>
    <row r="7" spans="1:11" ht="14.25" customHeight="1" x14ac:dyDescent="0.3">
      <c r="D7" s="20" t="s">
        <v>79</v>
      </c>
      <c r="E7" s="27">
        <f>C34*0.018</f>
        <v>7416.8205783444055</v>
      </c>
      <c r="H7" s="55"/>
      <c r="J7" s="20">
        <v>5</v>
      </c>
      <c r="K7" s="20">
        <v>489.6</v>
      </c>
    </row>
    <row r="8" spans="1:11" ht="14.25" customHeight="1" x14ac:dyDescent="0.3">
      <c r="A8" s="28" t="s">
        <v>77</v>
      </c>
      <c r="B8" s="35">
        <f>B5+B6</f>
        <v>17865.951872600002</v>
      </c>
      <c r="H8" s="55"/>
      <c r="J8" s="20">
        <v>6</v>
      </c>
      <c r="K8" s="20">
        <v>489.6</v>
      </c>
    </row>
    <row r="9" spans="1:11" ht="14.25" customHeight="1" x14ac:dyDescent="0.3">
      <c r="A9" s="28" t="s">
        <v>10</v>
      </c>
      <c r="B9" s="35">
        <f>B8*0.68</f>
        <v>12148.847273368003</v>
      </c>
      <c r="D9" s="28" t="s">
        <v>4</v>
      </c>
      <c r="E9" s="31" t="s">
        <v>5</v>
      </c>
      <c r="H9" s="55"/>
      <c r="J9" s="20">
        <v>7</v>
      </c>
      <c r="K9" s="20">
        <v>489.6</v>
      </c>
    </row>
    <row r="10" spans="1:11" ht="14.25" customHeight="1" x14ac:dyDescent="0.3">
      <c r="H10" s="55"/>
      <c r="J10" s="20">
        <v>8</v>
      </c>
      <c r="K10" s="20">
        <v>489.6</v>
      </c>
    </row>
    <row r="11" spans="1:11" ht="14.25" customHeight="1" x14ac:dyDescent="0.3">
      <c r="A11" s="4" t="s">
        <v>11</v>
      </c>
      <c r="B11" s="25" t="s">
        <v>12</v>
      </c>
      <c r="D11" s="5" t="s">
        <v>13</v>
      </c>
      <c r="E11" s="65" t="s">
        <v>14</v>
      </c>
      <c r="F11" s="28" t="s">
        <v>15</v>
      </c>
      <c r="G11" s="66">
        <v>800</v>
      </c>
      <c r="H11" s="55"/>
      <c r="J11" s="20">
        <v>9</v>
      </c>
      <c r="K11" s="20">
        <v>489.6</v>
      </c>
    </row>
    <row r="12" spans="1:11" ht="14.25" customHeight="1" x14ac:dyDescent="0.3">
      <c r="A12" s="4" t="s">
        <v>16</v>
      </c>
      <c r="B12" s="62">
        <f>48000*0.68</f>
        <v>32640.000000000004</v>
      </c>
      <c r="D12" s="5" t="s">
        <v>17</v>
      </c>
      <c r="E12" s="63">
        <v>4</v>
      </c>
      <c r="F12" s="28" t="s">
        <v>18</v>
      </c>
      <c r="G12" s="64">
        <v>150</v>
      </c>
      <c r="H12" s="55"/>
      <c r="J12" s="20">
        <v>10</v>
      </c>
      <c r="K12" s="20">
        <v>489.6</v>
      </c>
    </row>
    <row r="13" spans="1:11" ht="14.25" customHeight="1" x14ac:dyDescent="0.3">
      <c r="A13" s="4" t="s">
        <v>56</v>
      </c>
      <c r="B13" s="36">
        <f>K23</f>
        <v>571.19999999999993</v>
      </c>
      <c r="D13" s="5" t="s">
        <v>19</v>
      </c>
      <c r="E13" s="63">
        <f>7500*0.68</f>
        <v>5100</v>
      </c>
      <c r="F13" s="28" t="s">
        <v>20</v>
      </c>
      <c r="G13" s="64">
        <f>G11*1.5</f>
        <v>1200</v>
      </c>
      <c r="H13" s="55"/>
      <c r="J13" s="20">
        <v>11</v>
      </c>
      <c r="K13" s="20">
        <f>B12*2%</f>
        <v>652.80000000000007</v>
      </c>
    </row>
    <row r="14" spans="1:11" ht="14.25" customHeight="1" x14ac:dyDescent="0.3">
      <c r="D14" s="5" t="s">
        <v>57</v>
      </c>
      <c r="E14" s="63">
        <f>E13*10%</f>
        <v>510</v>
      </c>
      <c r="F14" s="28" t="s">
        <v>21</v>
      </c>
      <c r="G14" s="66">
        <v>7000</v>
      </c>
      <c r="H14" s="55"/>
      <c r="J14" s="20">
        <v>12</v>
      </c>
      <c r="K14" s="20">
        <v>652.80000000000007</v>
      </c>
    </row>
    <row r="15" spans="1:11" ht="14.25" customHeight="1" x14ac:dyDescent="0.3">
      <c r="D15" s="5" t="s">
        <v>23</v>
      </c>
      <c r="E15" s="63">
        <f>E12*E13</f>
        <v>20400</v>
      </c>
      <c r="F15" s="28" t="s">
        <v>22</v>
      </c>
      <c r="G15" s="64">
        <f>G13+G14</f>
        <v>8200</v>
      </c>
      <c r="H15" s="55"/>
      <c r="J15" s="20">
        <v>13</v>
      </c>
      <c r="K15" s="20">
        <v>652.80000000000007</v>
      </c>
    </row>
    <row r="16" spans="1:11" ht="14.25" customHeight="1" x14ac:dyDescent="0.3">
      <c r="H16" s="55"/>
      <c r="J16" s="20">
        <v>14</v>
      </c>
      <c r="K16" s="20">
        <v>652.80000000000007</v>
      </c>
    </row>
    <row r="17" spans="1:11" ht="14.25" customHeight="1" x14ac:dyDescent="0.3">
      <c r="H17" s="55"/>
      <c r="J17" s="20">
        <v>15</v>
      </c>
      <c r="K17" s="20">
        <v>652.80000000000007</v>
      </c>
    </row>
    <row r="18" spans="1:11" ht="14.25" customHeight="1" x14ac:dyDescent="0.3">
      <c r="D18" s="3"/>
      <c r="H18" s="55"/>
      <c r="J18" s="20">
        <v>16</v>
      </c>
      <c r="K18" s="20">
        <v>652.80000000000007</v>
      </c>
    </row>
    <row r="19" spans="1:11" ht="14.25" customHeight="1" x14ac:dyDescent="0.3">
      <c r="A19" s="80" t="s">
        <v>53</v>
      </c>
      <c r="B19" s="81"/>
      <c r="C19" s="5"/>
      <c r="D19" s="4" t="s">
        <v>24</v>
      </c>
      <c r="F19" s="28" t="s">
        <v>0</v>
      </c>
      <c r="G19" s="64"/>
      <c r="H19" s="64"/>
      <c r="J19" s="20">
        <v>17</v>
      </c>
      <c r="K19" s="20">
        <v>652.80000000000007</v>
      </c>
    </row>
    <row r="20" spans="1:11" ht="14.25" customHeight="1" x14ac:dyDescent="0.3">
      <c r="A20" s="5" t="s">
        <v>54</v>
      </c>
      <c r="B20" s="4">
        <v>1000</v>
      </c>
      <c r="C20" s="4">
        <v>1000</v>
      </c>
      <c r="D20" s="15" t="s">
        <v>25</v>
      </c>
      <c r="F20" s="20" t="s">
        <v>58</v>
      </c>
      <c r="G20" s="64">
        <v>100</v>
      </c>
      <c r="H20" s="28" t="s">
        <v>26</v>
      </c>
      <c r="J20" s="20">
        <v>18</v>
      </c>
      <c r="K20" s="20">
        <v>652.80000000000007</v>
      </c>
    </row>
    <row r="21" spans="1:11" ht="14.25" customHeight="1" x14ac:dyDescent="0.3">
      <c r="A21" s="5" t="s">
        <v>27</v>
      </c>
      <c r="B21" s="4">
        <v>5</v>
      </c>
      <c r="C21" s="4">
        <v>5</v>
      </c>
      <c r="D21" s="15" t="s">
        <v>1</v>
      </c>
      <c r="F21" s="28" t="s">
        <v>28</v>
      </c>
      <c r="G21" s="64">
        <f>G20*G22*8760/1000</f>
        <v>350.4</v>
      </c>
      <c r="H21" s="28" t="s">
        <v>29</v>
      </c>
      <c r="J21" s="20">
        <v>19</v>
      </c>
      <c r="K21" s="20">
        <v>652.80000000000007</v>
      </c>
    </row>
    <row r="22" spans="1:11" ht="14.25" customHeight="1" x14ac:dyDescent="0.3">
      <c r="A22" s="5" t="s">
        <v>30</v>
      </c>
      <c r="B22" s="4">
        <v>0.35</v>
      </c>
      <c r="C22" s="4">
        <v>0.35</v>
      </c>
      <c r="D22" s="15"/>
      <c r="F22" s="28" t="s">
        <v>31</v>
      </c>
      <c r="G22" s="64">
        <v>0.4</v>
      </c>
      <c r="H22" s="64"/>
      <c r="J22" s="20">
        <v>20</v>
      </c>
      <c r="K22" s="20">
        <v>652.80000000000007</v>
      </c>
    </row>
    <row r="23" spans="1:11" ht="14.25" customHeight="1" x14ac:dyDescent="0.3">
      <c r="A23" s="5" t="s">
        <v>32</v>
      </c>
      <c r="B23" s="4">
        <v>0.8</v>
      </c>
      <c r="C23" s="4">
        <v>1.1339999999999999</v>
      </c>
      <c r="D23" s="15" t="s">
        <v>33</v>
      </c>
      <c r="H23" s="55"/>
      <c r="J23" s="20"/>
      <c r="K23" s="20">
        <f>AVERAGE(K3:K22)</f>
        <v>571.19999999999993</v>
      </c>
    </row>
    <row r="24" spans="1:11" ht="14.25" customHeight="1" x14ac:dyDescent="0.3">
      <c r="A24" s="2" t="s">
        <v>34</v>
      </c>
      <c r="B24" s="16">
        <f t="shared" ref="B24:C24" si="0">0.5*B20*B22*PI()*(B21/2)^2*B23^3/1000</f>
        <v>1.7592918860102846</v>
      </c>
      <c r="C24" s="17">
        <f t="shared" si="0"/>
        <v>5.0108003881760093</v>
      </c>
      <c r="D24" s="15" t="s">
        <v>26</v>
      </c>
      <c r="F24" s="5" t="s">
        <v>10</v>
      </c>
      <c r="G24" s="69">
        <f>B9</f>
        <v>12148.847273368003</v>
      </c>
    </row>
    <row r="25" spans="1:11" ht="14.25" customHeight="1" x14ac:dyDescent="0.3">
      <c r="A25" s="2" t="s">
        <v>35</v>
      </c>
      <c r="B25" s="16">
        <f t="shared" ref="B25:C25" si="1">B24*8760/1000</f>
        <v>15.411396921450095</v>
      </c>
      <c r="C25" s="17">
        <f t="shared" si="1"/>
        <v>43.894611400421837</v>
      </c>
      <c r="D25" s="15" t="s">
        <v>29</v>
      </c>
      <c r="F25" s="5" t="s">
        <v>16</v>
      </c>
      <c r="G25" s="6">
        <f>B12</f>
        <v>32640.000000000004</v>
      </c>
    </row>
    <row r="26" spans="1:11" ht="14.25" customHeight="1" x14ac:dyDescent="0.3">
      <c r="A26" s="2" t="s">
        <v>31</v>
      </c>
      <c r="B26" s="82">
        <f>B25/C25*100/100</f>
        <v>0.35109997400049858</v>
      </c>
      <c r="C26" s="83"/>
      <c r="D26" s="81"/>
      <c r="F26" s="5" t="s">
        <v>23</v>
      </c>
      <c r="G26" s="6">
        <f>E15</f>
        <v>20400</v>
      </c>
    </row>
    <row r="27" spans="1:11" ht="14.25" customHeight="1" x14ac:dyDescent="0.3">
      <c r="A27" s="12"/>
      <c r="B27" s="12"/>
      <c r="C27" s="12"/>
      <c r="D27" s="18"/>
      <c r="F27" s="8" t="s">
        <v>37</v>
      </c>
      <c r="G27" s="9">
        <f>G24+G25+G26</f>
        <v>65188.84727336801</v>
      </c>
    </row>
    <row r="28" spans="1:11" ht="14.25" customHeight="1" x14ac:dyDescent="0.3">
      <c r="A28" s="84" t="s">
        <v>38</v>
      </c>
      <c r="B28" s="85"/>
      <c r="C28" s="85"/>
      <c r="D28" s="86"/>
    </row>
    <row r="29" spans="1:11" ht="14.25" customHeight="1" x14ac:dyDescent="0.3">
      <c r="A29" s="19" t="s">
        <v>39</v>
      </c>
      <c r="B29" s="24">
        <f>B25*4</f>
        <v>61.645587685800379</v>
      </c>
      <c r="C29" s="22" t="s">
        <v>29</v>
      </c>
      <c r="D29" s="23">
        <f>C25*4</f>
        <v>175.57844560168735</v>
      </c>
      <c r="F29" s="5" t="s">
        <v>40</v>
      </c>
      <c r="G29" s="6"/>
    </row>
    <row r="30" spans="1:11" ht="14.25" customHeight="1" x14ac:dyDescent="0.3">
      <c r="A30" s="72" t="s">
        <v>55</v>
      </c>
      <c r="B30" s="74"/>
      <c r="C30" s="74"/>
      <c r="D30" s="73"/>
      <c r="F30" s="7" t="s">
        <v>41</v>
      </c>
      <c r="G30" s="6">
        <f>B13</f>
        <v>571.19999999999993</v>
      </c>
    </row>
    <row r="31" spans="1:11" ht="14.25" customHeight="1" x14ac:dyDescent="0.3">
      <c r="A31" s="19" t="s">
        <v>39</v>
      </c>
      <c r="B31" s="24">
        <f>4*B24</f>
        <v>7.0371675440411385</v>
      </c>
      <c r="C31" s="22" t="s">
        <v>26</v>
      </c>
      <c r="D31" s="23">
        <f>C24*4</f>
        <v>20.043201552704037</v>
      </c>
      <c r="F31" s="7" t="s">
        <v>42</v>
      </c>
      <c r="G31" s="6">
        <f>E14</f>
        <v>510</v>
      </c>
    </row>
    <row r="32" spans="1:11" ht="14.25" customHeight="1" x14ac:dyDescent="0.3">
      <c r="F32" s="2" t="s">
        <v>43</v>
      </c>
      <c r="G32" s="6">
        <f>SUM(G30:G31)</f>
        <v>1081.1999999999998</v>
      </c>
    </row>
    <row r="33" spans="1:8" ht="14.25" customHeight="1" x14ac:dyDescent="0.3"/>
    <row r="34" spans="1:8" ht="14.25" customHeight="1" x14ac:dyDescent="0.3">
      <c r="A34" s="19" t="s">
        <v>44</v>
      </c>
      <c r="B34" s="29">
        <f>G21+B29</f>
        <v>412.04558768580034</v>
      </c>
      <c r="C34" s="30">
        <f>B34*1000</f>
        <v>412045.58768580033</v>
      </c>
      <c r="D34" s="23">
        <f>G21+D29</f>
        <v>525.97844560168733</v>
      </c>
      <c r="F34" s="19" t="s">
        <v>22</v>
      </c>
      <c r="G34" s="20">
        <f>G15</f>
        <v>8200</v>
      </c>
    </row>
    <row r="35" spans="1:8" ht="14.25" customHeight="1" x14ac:dyDescent="0.3">
      <c r="A35" s="68"/>
      <c r="B35" s="67"/>
      <c r="C35" s="67"/>
      <c r="D35" s="55"/>
    </row>
    <row r="36" spans="1:8" ht="14.25" customHeight="1" x14ac:dyDescent="0.3">
      <c r="C36" s="55"/>
      <c r="D36" s="55"/>
      <c r="F36" s="26" t="s">
        <v>59</v>
      </c>
      <c r="G36" s="27">
        <f>G27+G32+G34</f>
        <v>74470.047273368007</v>
      </c>
    </row>
    <row r="37" spans="1:8" ht="14.25" customHeight="1" x14ac:dyDescent="0.3"/>
    <row r="38" spans="1:8" ht="14.25" customHeight="1" x14ac:dyDescent="0.3"/>
    <row r="39" spans="1:8" ht="14.25" customHeight="1" x14ac:dyDescent="0.3"/>
    <row r="40" spans="1:8" ht="14.25" customHeight="1" x14ac:dyDescent="0.3">
      <c r="A40" s="34" t="s">
        <v>46</v>
      </c>
      <c r="B40" s="46" t="str">
        <f>F36</f>
        <v>Investment expenditure £</v>
      </c>
      <c r="C40" s="46" t="str">
        <f>A34</f>
        <v>Annual Energy Production MWh/yr</v>
      </c>
      <c r="D40" s="47" t="s">
        <v>60</v>
      </c>
      <c r="E40" s="34"/>
      <c r="F40" s="34"/>
      <c r="G40" s="46" t="str">
        <f>C40</f>
        <v>Annual Energy Production MWh/yr</v>
      </c>
      <c r="H40" s="34"/>
    </row>
    <row r="41" spans="1:8" ht="14.25" customHeight="1" x14ac:dyDescent="0.3">
      <c r="A41" s="34">
        <v>1</v>
      </c>
      <c r="B41" s="27">
        <f>G36</f>
        <v>74470.047273368007</v>
      </c>
      <c r="C41" s="48">
        <f>B34</f>
        <v>412.04558768580034</v>
      </c>
      <c r="D41" s="49">
        <f>1+E5</f>
        <v>1.04</v>
      </c>
      <c r="E41" s="27">
        <f>B41/(D41^A41)</f>
        <v>71605.814685930774</v>
      </c>
      <c r="F41" s="50">
        <f>C41/(D41^A41)</f>
        <v>396.19768046711567</v>
      </c>
      <c r="G41" s="51">
        <f>D34</f>
        <v>525.97844560168733</v>
      </c>
      <c r="H41" s="50">
        <f>G41/(D41^A41)</f>
        <v>505.74850538623781</v>
      </c>
    </row>
    <row r="42" spans="1:8" ht="14.25" customHeight="1" x14ac:dyDescent="0.3">
      <c r="A42" s="34">
        <v>2</v>
      </c>
      <c r="B42" s="27">
        <v>74470.047273368007</v>
      </c>
      <c r="C42" s="48">
        <v>412.04558768580034</v>
      </c>
      <c r="D42" s="49">
        <v>1.04</v>
      </c>
      <c r="E42" s="27">
        <f t="shared" ref="E42:E60" si="2">B42/(D42^A42)</f>
        <v>68851.744890318048</v>
      </c>
      <c r="F42" s="50">
        <f t="shared" ref="F42:F60" si="3">C42/(D42^A42)</f>
        <v>380.95930814145737</v>
      </c>
      <c r="G42" s="20">
        <v>525.97844560168733</v>
      </c>
      <c r="H42" s="50">
        <f t="shared" ref="H42:H60" si="4">G42/(D42^A42)</f>
        <v>486.2966397944594</v>
      </c>
    </row>
    <row r="43" spans="1:8" ht="14.25" customHeight="1" x14ac:dyDescent="0.3">
      <c r="A43" s="34">
        <v>3</v>
      </c>
      <c r="B43" s="27">
        <v>74470.047273368007</v>
      </c>
      <c r="C43" s="48">
        <v>412.04558768580034</v>
      </c>
      <c r="D43" s="49">
        <v>1.04</v>
      </c>
      <c r="E43" s="27">
        <f t="shared" si="2"/>
        <v>66203.600856075049</v>
      </c>
      <c r="F43" s="50">
        <f t="shared" si="3"/>
        <v>366.30702705909363</v>
      </c>
      <c r="G43" s="20">
        <v>525.97844560168733</v>
      </c>
      <c r="H43" s="50">
        <f t="shared" si="4"/>
        <v>467.59292287928787</v>
      </c>
    </row>
    <row r="44" spans="1:8" ht="14.25" customHeight="1" x14ac:dyDescent="0.3">
      <c r="A44" s="34">
        <v>4</v>
      </c>
      <c r="B44" s="27">
        <v>74470.047273368007</v>
      </c>
      <c r="C44" s="48">
        <v>412.04558768580034</v>
      </c>
      <c r="D44" s="49">
        <v>1.04</v>
      </c>
      <c r="E44" s="27">
        <f t="shared" si="2"/>
        <v>63657.308515456767</v>
      </c>
      <c r="F44" s="50">
        <f t="shared" si="3"/>
        <v>352.21829524912846</v>
      </c>
      <c r="G44" s="20">
        <v>525.97844560168699</v>
      </c>
      <c r="H44" s="50">
        <f t="shared" si="4"/>
        <v>449.60857969162265</v>
      </c>
    </row>
    <row r="45" spans="1:8" ht="14.25" customHeight="1" x14ac:dyDescent="0.3">
      <c r="A45" s="34">
        <v>5</v>
      </c>
      <c r="B45" s="27">
        <v>74470.047273368007</v>
      </c>
      <c r="C45" s="48">
        <v>412.0455876858</v>
      </c>
      <c r="D45" s="49">
        <v>1.04</v>
      </c>
      <c r="E45" s="27">
        <f t="shared" si="2"/>
        <v>61208.9504956315</v>
      </c>
      <c r="F45" s="50">
        <f t="shared" si="3"/>
        <v>338.67143773954626</v>
      </c>
      <c r="G45" s="20">
        <v>525.97844560168699</v>
      </c>
      <c r="H45" s="50">
        <f t="shared" si="4"/>
        <v>432.31594201117554</v>
      </c>
    </row>
    <row r="46" spans="1:8" ht="14.25" customHeight="1" x14ac:dyDescent="0.3">
      <c r="A46" s="34">
        <v>6</v>
      </c>
      <c r="B46" s="27">
        <v>74470.047273368007</v>
      </c>
      <c r="C46" s="48">
        <v>412.0455876858</v>
      </c>
      <c r="D46" s="49">
        <v>1.04</v>
      </c>
      <c r="E46" s="27">
        <f t="shared" si="2"/>
        <v>58854.760091953365</v>
      </c>
      <c r="F46" s="50">
        <f t="shared" si="3"/>
        <v>325.64561321110222</v>
      </c>
      <c r="G46" s="20">
        <v>525.97844560168699</v>
      </c>
      <c r="H46" s="50">
        <f t="shared" si="4"/>
        <v>415.68840577997651</v>
      </c>
    </row>
    <row r="47" spans="1:8" ht="14.25" customHeight="1" x14ac:dyDescent="0.3">
      <c r="A47" s="34">
        <v>7</v>
      </c>
      <c r="B47" s="27">
        <v>74470.047273368007</v>
      </c>
      <c r="C47" s="48">
        <v>412.0455876858</v>
      </c>
      <c r="D47" s="49">
        <v>1.04</v>
      </c>
      <c r="E47" s="27">
        <f t="shared" si="2"/>
        <v>56591.115473032092</v>
      </c>
      <c r="F47" s="50">
        <f t="shared" si="3"/>
        <v>313.12078193375214</v>
      </c>
      <c r="G47" s="20">
        <v>525.97844560168699</v>
      </c>
      <c r="H47" s="50">
        <f t="shared" si="4"/>
        <v>399.70039017305436</v>
      </c>
    </row>
    <row r="48" spans="1:8" ht="14.25" customHeight="1" x14ac:dyDescent="0.3">
      <c r="A48" s="34">
        <v>8</v>
      </c>
      <c r="B48" s="27">
        <v>74470.047273368007</v>
      </c>
      <c r="C48" s="48">
        <v>412.0455876858</v>
      </c>
      <c r="D48" s="49">
        <v>1.04</v>
      </c>
      <c r="E48" s="27">
        <f t="shared" si="2"/>
        <v>54414.534108684689</v>
      </c>
      <c r="F48" s="50">
        <f t="shared" si="3"/>
        <v>301.07767493630007</v>
      </c>
      <c r="G48" s="20">
        <v>525.97844560168699</v>
      </c>
      <c r="H48" s="50">
        <f t="shared" si="4"/>
        <v>384.32729824332142</v>
      </c>
    </row>
    <row r="49" spans="1:22" ht="14.25" customHeight="1" x14ac:dyDescent="0.3">
      <c r="A49" s="34">
        <v>9</v>
      </c>
      <c r="B49" s="27">
        <v>74470.047273368007</v>
      </c>
      <c r="C49" s="48">
        <v>412.0455876858</v>
      </c>
      <c r="D49" s="49">
        <v>1.04</v>
      </c>
      <c r="E49" s="27">
        <f t="shared" si="2"/>
        <v>52321.667412196817</v>
      </c>
      <c r="F49" s="50">
        <f t="shared" si="3"/>
        <v>289.49776436182697</v>
      </c>
      <c r="G49" s="20">
        <v>525.97844560168699</v>
      </c>
      <c r="H49" s="50">
        <f t="shared" si="4"/>
        <v>369.54547908011671</v>
      </c>
    </row>
    <row r="50" spans="1:22" ht="14.25" customHeight="1" x14ac:dyDescent="0.3">
      <c r="A50" s="34">
        <v>10</v>
      </c>
      <c r="B50" s="27">
        <v>74470.047273368007</v>
      </c>
      <c r="C50" s="48">
        <v>412.0455876858</v>
      </c>
      <c r="D50" s="49">
        <v>1.04</v>
      </c>
      <c r="E50" s="27">
        <f t="shared" si="2"/>
        <v>50309.295588650784</v>
      </c>
      <c r="F50" s="50">
        <f t="shared" si="3"/>
        <v>278.36323496329516</v>
      </c>
      <c r="G50" s="20">
        <v>525.97844560168699</v>
      </c>
      <c r="H50" s="50">
        <f t="shared" si="4"/>
        <v>355.33219142318916</v>
      </c>
    </row>
    <row r="51" spans="1:22" ht="14.25" customHeight="1" x14ac:dyDescent="0.3">
      <c r="A51" s="34">
        <v>11</v>
      </c>
      <c r="B51" s="27">
        <v>74470.047273368007</v>
      </c>
      <c r="C51" s="48">
        <v>412.0455876858</v>
      </c>
      <c r="D51" s="49">
        <v>1.04</v>
      </c>
      <c r="E51" s="27">
        <f t="shared" si="2"/>
        <v>48374.322681394988</v>
      </c>
      <c r="F51" s="50">
        <f t="shared" si="3"/>
        <v>267.65695669547614</v>
      </c>
      <c r="G51" s="20">
        <v>525.97844560168699</v>
      </c>
      <c r="H51" s="50">
        <f t="shared" si="4"/>
        <v>341.66556867614344</v>
      </c>
    </row>
    <row r="52" spans="1:22" ht="14.25" customHeight="1" x14ac:dyDescent="0.3">
      <c r="A52" s="34">
        <v>12</v>
      </c>
      <c r="B52" s="27">
        <v>74470.047273368007</v>
      </c>
      <c r="C52" s="48">
        <v>412.0455876858</v>
      </c>
      <c r="D52" s="49">
        <v>1.04</v>
      </c>
      <c r="E52" s="27">
        <f t="shared" si="2"/>
        <v>46513.771809033635</v>
      </c>
      <c r="F52" s="50">
        <f t="shared" si="3"/>
        <v>257.36245836103473</v>
      </c>
      <c r="G52" s="20">
        <v>525.97844560168699</v>
      </c>
      <c r="H52" s="50">
        <f t="shared" si="4"/>
        <v>328.52458526552249</v>
      </c>
    </row>
    <row r="53" spans="1:22" ht="14.25" customHeight="1" x14ac:dyDescent="0.3">
      <c r="A53" s="34">
        <v>13</v>
      </c>
      <c r="B53" s="27">
        <v>74470.047273368007</v>
      </c>
      <c r="C53" s="48">
        <v>412.0455876858</v>
      </c>
      <c r="D53" s="49">
        <v>1.04</v>
      </c>
      <c r="E53" s="27">
        <f t="shared" si="2"/>
        <v>44724.78058560926</v>
      </c>
      <c r="F53" s="50">
        <f t="shared" si="3"/>
        <v>247.46390227022567</v>
      </c>
      <c r="G53" s="20">
        <v>525.97844560168699</v>
      </c>
      <c r="H53" s="50">
        <f t="shared" si="4"/>
        <v>315.88902429377163</v>
      </c>
    </row>
    <row r="54" spans="1:22" ht="14.25" customHeight="1" x14ac:dyDescent="0.3">
      <c r="A54" s="34">
        <v>14</v>
      </c>
      <c r="B54" s="27">
        <v>74470.047273368007</v>
      </c>
      <c r="C54" s="48">
        <v>412.0455876858</v>
      </c>
      <c r="D54" s="49">
        <v>1.04</v>
      </c>
      <c r="E54" s="27">
        <f t="shared" si="2"/>
        <v>43004.596716931985</v>
      </c>
      <c r="F54" s="50">
        <f t="shared" si="3"/>
        <v>237.946059875217</v>
      </c>
      <c r="G54" s="20">
        <v>525.97844560168699</v>
      </c>
      <c r="H54" s="50">
        <f t="shared" si="4"/>
        <v>303.73944643631887</v>
      </c>
    </row>
    <row r="55" spans="1:22" ht="14.25" customHeight="1" x14ac:dyDescent="0.3">
      <c r="A55" s="34">
        <v>15</v>
      </c>
      <c r="B55" s="27">
        <v>74470.047273368007</v>
      </c>
      <c r="C55" s="48">
        <v>412.0455876858</v>
      </c>
      <c r="D55" s="49">
        <v>1.04</v>
      </c>
      <c r="E55" s="27">
        <f t="shared" si="2"/>
        <v>41350.573766280751</v>
      </c>
      <c r="F55" s="50">
        <f t="shared" si="3"/>
        <v>228.79428834155482</v>
      </c>
      <c r="G55" s="20">
        <v>525.97844560168699</v>
      </c>
      <c r="H55" s="50">
        <f t="shared" si="4"/>
        <v>292.05716003492199</v>
      </c>
    </row>
    <row r="56" spans="1:22" ht="14.25" customHeight="1" x14ac:dyDescent="0.3">
      <c r="A56" s="34">
        <v>16</v>
      </c>
      <c r="B56" s="27">
        <v>74470.047273368007</v>
      </c>
      <c r="C56" s="48">
        <v>412.0455876858</v>
      </c>
      <c r="D56" s="49">
        <v>1.04</v>
      </c>
      <c r="E56" s="27">
        <f t="shared" si="2"/>
        <v>39760.167082962253</v>
      </c>
      <c r="F56" s="50">
        <f t="shared" si="3"/>
        <v>219.99450802072573</v>
      </c>
      <c r="G56" s="20">
        <v>525.97844560168699</v>
      </c>
      <c r="H56" s="50">
        <f t="shared" si="4"/>
        <v>280.8241923412711</v>
      </c>
    </row>
    <row r="57" spans="1:22" ht="14.25" customHeight="1" x14ac:dyDescent="0.3">
      <c r="A57" s="34">
        <v>17</v>
      </c>
      <c r="B57" s="27">
        <v>74470.047273368007</v>
      </c>
      <c r="C57" s="48">
        <v>412.0455876858</v>
      </c>
      <c r="D57" s="49">
        <v>1.04</v>
      </c>
      <c r="E57" s="27">
        <f t="shared" si="2"/>
        <v>38230.929887463702</v>
      </c>
      <c r="F57" s="50">
        <f t="shared" si="3"/>
        <v>211.53318078915936</v>
      </c>
      <c r="G57" s="20">
        <v>525.97844560168699</v>
      </c>
      <c r="H57" s="50">
        <f t="shared" si="4"/>
        <v>270.02326186660679</v>
      </c>
    </row>
    <row r="58" spans="1:22" ht="14.25" customHeight="1" x14ac:dyDescent="0.3">
      <c r="A58" s="34">
        <v>18</v>
      </c>
      <c r="B58" s="27">
        <v>74470.047273368007</v>
      </c>
      <c r="C58" s="48">
        <v>412.0455876858</v>
      </c>
      <c r="D58" s="49">
        <v>1.04</v>
      </c>
      <c r="E58" s="27">
        <f t="shared" si="2"/>
        <v>36760.509507176634</v>
      </c>
      <c r="F58" s="50">
        <f t="shared" si="3"/>
        <v>203.3972892203455</v>
      </c>
      <c r="G58" s="20">
        <v>525.97844560168699</v>
      </c>
      <c r="H58" s="50">
        <f t="shared" si="4"/>
        <v>259.63775179481422</v>
      </c>
    </row>
    <row r="59" spans="1:22" ht="14.25" customHeight="1" x14ac:dyDescent="0.3">
      <c r="A59" s="34">
        <v>19</v>
      </c>
      <c r="B59" s="27">
        <v>74470.047273368007</v>
      </c>
      <c r="C59" s="48">
        <v>412.0455876858</v>
      </c>
      <c r="D59" s="49">
        <v>1.04</v>
      </c>
      <c r="E59" s="27">
        <f t="shared" si="2"/>
        <v>35346.643756900616</v>
      </c>
      <c r="F59" s="50">
        <f t="shared" si="3"/>
        <v>195.57431655802455</v>
      </c>
      <c r="G59" s="20">
        <v>525.97844560168699</v>
      </c>
      <c r="H59" s="50">
        <f t="shared" si="4"/>
        <v>249.65168441809061</v>
      </c>
    </row>
    <row r="60" spans="1:22" ht="14.25" customHeight="1" x14ac:dyDescent="0.3">
      <c r="A60" s="34">
        <v>20</v>
      </c>
      <c r="B60" s="27">
        <v>74470.047273368007</v>
      </c>
      <c r="C60" s="48">
        <v>412.0455876858</v>
      </c>
      <c r="D60" s="49">
        <v>1.04</v>
      </c>
      <c r="E60" s="52">
        <f t="shared" si="2"/>
        <v>33987.157458558278</v>
      </c>
      <c r="F60" s="53">
        <f t="shared" si="3"/>
        <v>188.05222745963897</v>
      </c>
      <c r="G60" s="54">
        <v>525.97844560168699</v>
      </c>
      <c r="H60" s="53">
        <f t="shared" si="4"/>
        <v>240.04969655585634</v>
      </c>
      <c r="I60" s="55"/>
    </row>
    <row r="61" spans="1:22" ht="14.25" customHeight="1" x14ac:dyDescent="0.3">
      <c r="C61" s="13"/>
      <c r="D61" s="10"/>
      <c r="E61" s="56">
        <f>SUM(E41:E60)</f>
        <v>1012072.2453702419</v>
      </c>
      <c r="F61" s="50">
        <f>SUM(F41:F60)</f>
        <v>5599.8340056540201</v>
      </c>
      <c r="G61" s="57">
        <f>E61/F61</f>
        <v>180.73254391976201</v>
      </c>
      <c r="H61" s="56">
        <f>SUM(H41:H60)</f>
        <v>7148.2187261457584</v>
      </c>
      <c r="I61" s="57">
        <f>E61/H61</f>
        <v>141.58383845592542</v>
      </c>
    </row>
    <row r="62" spans="1:22" ht="14.25" customHeight="1" x14ac:dyDescent="0.3">
      <c r="A62" s="70" t="s">
        <v>82</v>
      </c>
      <c r="B62" s="70">
        <v>0.14000000000000001</v>
      </c>
      <c r="G62" s="20">
        <f>G61/1000</f>
        <v>0.18073254391976201</v>
      </c>
      <c r="I62" s="20">
        <f>I61/1000</f>
        <v>0.14158383845592543</v>
      </c>
    </row>
    <row r="63" spans="1:22" ht="14.25" customHeight="1" x14ac:dyDescent="0.3"/>
    <row r="64" spans="1:22" ht="14.25" customHeight="1" x14ac:dyDescent="0.3">
      <c r="A64" s="77" t="s">
        <v>47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9"/>
    </row>
    <row r="65" spans="1:22" ht="14.25" customHeight="1" x14ac:dyDescent="0.3">
      <c r="A65" s="20" t="s">
        <v>48</v>
      </c>
      <c r="B65" s="37">
        <v>0</v>
      </c>
      <c r="C65" s="37">
        <v>1</v>
      </c>
      <c r="D65" s="37">
        <v>2</v>
      </c>
      <c r="E65" s="37">
        <v>3</v>
      </c>
      <c r="F65" s="37">
        <v>4</v>
      </c>
      <c r="G65" s="37">
        <v>5</v>
      </c>
      <c r="H65" s="37">
        <v>6</v>
      </c>
      <c r="I65" s="37">
        <v>7</v>
      </c>
      <c r="J65" s="37">
        <v>8</v>
      </c>
      <c r="K65" s="37">
        <v>9</v>
      </c>
      <c r="L65" s="37">
        <v>10</v>
      </c>
      <c r="M65" s="37">
        <v>11</v>
      </c>
      <c r="N65" s="37">
        <v>12</v>
      </c>
      <c r="O65" s="37">
        <v>13</v>
      </c>
      <c r="P65" s="37">
        <v>14</v>
      </c>
      <c r="Q65" s="37">
        <v>15</v>
      </c>
      <c r="R65" s="37">
        <v>16</v>
      </c>
      <c r="S65" s="37">
        <v>17</v>
      </c>
      <c r="T65" s="37">
        <v>18</v>
      </c>
      <c r="U65" s="37">
        <v>19</v>
      </c>
      <c r="V65" s="37">
        <v>20</v>
      </c>
    </row>
    <row r="66" spans="1:22" ht="14.25" customHeight="1" x14ac:dyDescent="0.3">
      <c r="A66" s="20" t="s">
        <v>49</v>
      </c>
      <c r="B66" s="38">
        <f>-(G27+G34)</f>
        <v>-73388.84727336801</v>
      </c>
      <c r="C66" s="39">
        <v>-1081.2</v>
      </c>
      <c r="D66" s="39">
        <v>-1081.2</v>
      </c>
      <c r="E66" s="39">
        <v>-1081.2</v>
      </c>
      <c r="F66" s="39">
        <v>-1081.2</v>
      </c>
      <c r="G66" s="39">
        <v>-1081.2</v>
      </c>
      <c r="H66" s="39">
        <v>-1081.2</v>
      </c>
      <c r="I66" s="39">
        <v>-1081.2</v>
      </c>
      <c r="J66" s="39">
        <v>-1081.2</v>
      </c>
      <c r="K66" s="39">
        <v>-1081.2</v>
      </c>
      <c r="L66" s="39">
        <v>-1081.2</v>
      </c>
      <c r="M66" s="39">
        <v>-1081.2</v>
      </c>
      <c r="N66" s="39">
        <v>-1081.2</v>
      </c>
      <c r="O66" s="39">
        <v>-1081.2</v>
      </c>
      <c r="P66" s="39">
        <v>-1081.2</v>
      </c>
      <c r="Q66" s="39">
        <v>-1081.2</v>
      </c>
      <c r="R66" s="39">
        <v>-1081.2</v>
      </c>
      <c r="S66" s="39">
        <v>-1081.2</v>
      </c>
      <c r="T66" s="39">
        <v>-1081.2</v>
      </c>
      <c r="U66" s="39">
        <v>-1081.2</v>
      </c>
      <c r="V66" s="39">
        <v>-1081.2</v>
      </c>
    </row>
    <row r="67" spans="1:22" ht="14.25" customHeight="1" x14ac:dyDescent="0.3">
      <c r="A67" s="20" t="s">
        <v>50</v>
      </c>
      <c r="B67" s="40">
        <v>0</v>
      </c>
      <c r="C67" s="40">
        <v>7416.8205783444055</v>
      </c>
      <c r="D67" s="40">
        <v>7416.8205783444055</v>
      </c>
      <c r="E67" s="40">
        <v>7416.8205783444055</v>
      </c>
      <c r="F67" s="40">
        <v>7416.8205783444055</v>
      </c>
      <c r="G67" s="40">
        <v>7416.8205783444055</v>
      </c>
      <c r="H67" s="40">
        <v>7416.8205783444055</v>
      </c>
      <c r="I67" s="40">
        <v>7416.8205783444055</v>
      </c>
      <c r="J67" s="40">
        <v>7416.8205783444055</v>
      </c>
      <c r="K67" s="40">
        <v>7416.8205783444055</v>
      </c>
      <c r="L67" s="40">
        <v>7416.8205783444055</v>
      </c>
      <c r="M67" s="40">
        <v>7416.8205783444055</v>
      </c>
      <c r="N67" s="40">
        <v>7416.8205783444055</v>
      </c>
      <c r="O67" s="40">
        <v>7416.8205783444055</v>
      </c>
      <c r="P67" s="40">
        <v>7416.8205783444055</v>
      </c>
      <c r="Q67" s="40">
        <v>7416.8205783444055</v>
      </c>
      <c r="R67" s="40">
        <v>7416.8205783444055</v>
      </c>
      <c r="S67" s="40">
        <v>7416.8205783444055</v>
      </c>
      <c r="T67" s="40">
        <v>7416.8205783444055</v>
      </c>
      <c r="U67" s="40">
        <v>7416.8205783444055</v>
      </c>
      <c r="V67" s="40">
        <v>7416.8205783444055</v>
      </c>
    </row>
    <row r="68" spans="1:22" ht="14.25" customHeight="1" x14ac:dyDescent="0.3">
      <c r="A68" s="20" t="s">
        <v>51</v>
      </c>
      <c r="B68" s="41">
        <f t="shared" ref="B68:V68" si="5">B67+B66</f>
        <v>-73388.84727336801</v>
      </c>
      <c r="C68" s="27">
        <f t="shared" si="5"/>
        <v>6335.6205783444057</v>
      </c>
      <c r="D68" s="27">
        <f t="shared" si="5"/>
        <v>6335.6205783444057</v>
      </c>
      <c r="E68" s="27">
        <f t="shared" si="5"/>
        <v>6335.6205783444057</v>
      </c>
      <c r="F68" s="27">
        <f t="shared" si="5"/>
        <v>6335.6205783444057</v>
      </c>
      <c r="G68" s="27">
        <f t="shared" si="5"/>
        <v>6335.6205783444057</v>
      </c>
      <c r="H68" s="27">
        <f t="shared" si="5"/>
        <v>6335.6205783444057</v>
      </c>
      <c r="I68" s="27">
        <f t="shared" si="5"/>
        <v>6335.6205783444057</v>
      </c>
      <c r="J68" s="27">
        <f t="shared" si="5"/>
        <v>6335.6205783444057</v>
      </c>
      <c r="K68" s="27">
        <f t="shared" si="5"/>
        <v>6335.6205783444057</v>
      </c>
      <c r="L68" s="27">
        <f t="shared" si="5"/>
        <v>6335.6205783444057</v>
      </c>
      <c r="M68" s="27">
        <f t="shared" si="5"/>
        <v>6335.6205783444057</v>
      </c>
      <c r="N68" s="27">
        <f t="shared" si="5"/>
        <v>6335.6205783444057</v>
      </c>
      <c r="O68" s="27">
        <f t="shared" si="5"/>
        <v>6335.6205783444057</v>
      </c>
      <c r="P68" s="27">
        <f t="shared" si="5"/>
        <v>6335.6205783444057</v>
      </c>
      <c r="Q68" s="27">
        <f t="shared" si="5"/>
        <v>6335.6205783444057</v>
      </c>
      <c r="R68" s="27">
        <f t="shared" si="5"/>
        <v>6335.6205783444057</v>
      </c>
      <c r="S68" s="27">
        <f t="shared" si="5"/>
        <v>6335.6205783444057</v>
      </c>
      <c r="T68" s="27">
        <f t="shared" si="5"/>
        <v>6335.6205783444057</v>
      </c>
      <c r="U68" s="27">
        <f t="shared" si="5"/>
        <v>6335.6205783444057</v>
      </c>
      <c r="V68" s="27">
        <f t="shared" si="5"/>
        <v>6335.6205783444057</v>
      </c>
    </row>
    <row r="69" spans="1:22" ht="14.25" customHeight="1" x14ac:dyDescent="0.3">
      <c r="A69" s="20" t="s">
        <v>52</v>
      </c>
      <c r="B69" s="42">
        <f>B67+B68</f>
        <v>-73388.84727336801</v>
      </c>
      <c r="C69" s="43">
        <f>C67+B69</f>
        <v>-65972.026695023611</v>
      </c>
      <c r="D69" s="44">
        <f t="shared" ref="D69:V69" si="6">D67+C69</f>
        <v>-58555.206116679205</v>
      </c>
      <c r="E69" s="42">
        <f t="shared" si="6"/>
        <v>-51138.385538334798</v>
      </c>
      <c r="F69" s="42">
        <f t="shared" si="6"/>
        <v>-43721.564959990392</v>
      </c>
      <c r="G69" s="42">
        <f t="shared" si="6"/>
        <v>-36304.744381645985</v>
      </c>
      <c r="H69" s="42">
        <f t="shared" si="6"/>
        <v>-28887.923803301579</v>
      </c>
      <c r="I69" s="42">
        <f t="shared" si="6"/>
        <v>-21471.103224957173</v>
      </c>
      <c r="J69" s="42">
        <f t="shared" si="6"/>
        <v>-14054.282646612766</v>
      </c>
      <c r="K69" s="42">
        <f t="shared" si="6"/>
        <v>-6637.4620682683608</v>
      </c>
      <c r="L69" s="41">
        <f t="shared" si="6"/>
        <v>779.35851007604469</v>
      </c>
      <c r="M69" s="45">
        <f t="shared" si="6"/>
        <v>8196.1790884204493</v>
      </c>
      <c r="N69" s="41">
        <f t="shared" si="6"/>
        <v>15612.999666764856</v>
      </c>
      <c r="O69" s="41">
        <f t="shared" si="6"/>
        <v>23029.820245109262</v>
      </c>
      <c r="P69" s="41">
        <f t="shared" si="6"/>
        <v>30446.640823453668</v>
      </c>
      <c r="Q69" s="41">
        <f t="shared" si="6"/>
        <v>37863.461401798071</v>
      </c>
      <c r="R69" s="41">
        <f t="shared" si="6"/>
        <v>45280.281980142478</v>
      </c>
      <c r="S69" s="41">
        <f t="shared" si="6"/>
        <v>52697.102558486884</v>
      </c>
      <c r="T69" s="41">
        <f t="shared" si="6"/>
        <v>60113.92313683129</v>
      </c>
      <c r="U69" s="41">
        <f t="shared" si="6"/>
        <v>67530.743715175689</v>
      </c>
      <c r="V69" s="41">
        <f t="shared" si="6"/>
        <v>74947.564293520089</v>
      </c>
    </row>
    <row r="70" spans="1:22" ht="14.25" customHeight="1" x14ac:dyDescent="0.3">
      <c r="D70" s="10"/>
    </row>
    <row r="71" spans="1:22" s="33" customFormat="1" ht="14.25" customHeight="1" x14ac:dyDescent="0.3">
      <c r="A71" s="20" t="s">
        <v>52</v>
      </c>
      <c r="B71" s="20">
        <f>B69/1000</f>
        <v>-73.388847273368015</v>
      </c>
      <c r="C71" s="20">
        <f t="shared" ref="C71:V71" si="7">C69/1000</f>
        <v>-65.972026695023615</v>
      </c>
      <c r="D71" s="20">
        <f t="shared" si="7"/>
        <v>-58.555206116679202</v>
      </c>
      <c r="E71" s="20">
        <f t="shared" si="7"/>
        <v>-51.138385538334795</v>
      </c>
      <c r="F71" s="20">
        <f t="shared" si="7"/>
        <v>-43.721564959990388</v>
      </c>
      <c r="G71" s="20">
        <f t="shared" si="7"/>
        <v>-36.304744381645989</v>
      </c>
      <c r="H71" s="20">
        <f t="shared" si="7"/>
        <v>-28.887923803301579</v>
      </c>
      <c r="I71" s="20">
        <f t="shared" si="7"/>
        <v>-21.471103224957172</v>
      </c>
      <c r="J71" s="20">
        <f t="shared" si="7"/>
        <v>-14.054282646612766</v>
      </c>
      <c r="K71" s="20">
        <f t="shared" si="7"/>
        <v>-6.6374620682683609</v>
      </c>
      <c r="L71" s="20">
        <f t="shared" si="7"/>
        <v>0.77935851007604473</v>
      </c>
      <c r="M71" s="20">
        <f t="shared" si="7"/>
        <v>8.1961790884204486</v>
      </c>
      <c r="N71" s="20">
        <f t="shared" si="7"/>
        <v>15.612999666764855</v>
      </c>
      <c r="O71" s="20">
        <f t="shared" si="7"/>
        <v>23.029820245109264</v>
      </c>
      <c r="P71" s="20">
        <f t="shared" si="7"/>
        <v>30.44664082345367</v>
      </c>
      <c r="Q71" s="20">
        <f t="shared" si="7"/>
        <v>37.86346140179807</v>
      </c>
      <c r="R71" s="20">
        <f t="shared" si="7"/>
        <v>45.280281980142476</v>
      </c>
      <c r="S71" s="20">
        <f t="shared" si="7"/>
        <v>52.697102558486883</v>
      </c>
      <c r="T71" s="20">
        <f t="shared" si="7"/>
        <v>60.113923136831289</v>
      </c>
      <c r="U71" s="20">
        <f t="shared" si="7"/>
        <v>67.530743715175689</v>
      </c>
      <c r="V71" s="20">
        <f t="shared" si="7"/>
        <v>74.947564293520088</v>
      </c>
    </row>
    <row r="72" spans="1:22" ht="14.25" customHeight="1" x14ac:dyDescent="0.3">
      <c r="A72" s="75" t="s">
        <v>61</v>
      </c>
      <c r="B72" s="75"/>
      <c r="C72" s="75"/>
      <c r="D72" s="75"/>
      <c r="E72" s="75"/>
      <c r="F72" s="7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</row>
    <row r="73" spans="1:22" ht="14.25" customHeight="1" x14ac:dyDescent="0.3">
      <c r="A73" s="34" t="s">
        <v>46</v>
      </c>
      <c r="B73" s="58" t="s">
        <v>62</v>
      </c>
      <c r="C73" s="58" t="s">
        <v>63</v>
      </c>
      <c r="D73" s="47" t="s">
        <v>36</v>
      </c>
      <c r="E73" s="47" t="s">
        <v>64</v>
      </c>
      <c r="F73" s="47" t="s">
        <v>65</v>
      </c>
      <c r="G73" s="32"/>
      <c r="H73" s="1"/>
      <c r="I73" s="12"/>
    </row>
    <row r="74" spans="1:22" ht="14.25" customHeight="1" x14ac:dyDescent="0.3">
      <c r="A74" s="59">
        <v>1</v>
      </c>
      <c r="B74" s="48">
        <v>61.645587685800379</v>
      </c>
      <c r="C74" s="60">
        <f>100*0.3*8760/1000</f>
        <v>262.8</v>
      </c>
      <c r="D74" s="60">
        <v>0.3</v>
      </c>
      <c r="E74" s="27">
        <f>(B74+C74)/(1.04^A74)</f>
        <v>311.9669112363465</v>
      </c>
      <c r="F74" s="27">
        <v>71605.814685930774</v>
      </c>
    </row>
    <row r="75" spans="1:22" ht="14.25" customHeight="1" x14ac:dyDescent="0.3">
      <c r="A75" s="59">
        <v>2</v>
      </c>
      <c r="B75" s="48">
        <v>61.645587685800379</v>
      </c>
      <c r="C75" s="60">
        <f t="shared" ref="C75:C93" si="8">100*0.3*8760/1000</f>
        <v>262.8</v>
      </c>
      <c r="D75" s="60">
        <v>0.3</v>
      </c>
      <c r="E75" s="27">
        <f t="shared" ref="E75:E93" si="9">(B75+C75)/(1.04^A75)</f>
        <v>299.96818388110239</v>
      </c>
      <c r="F75" s="27">
        <v>68851.744890318048</v>
      </c>
    </row>
    <row r="76" spans="1:22" ht="14.25" customHeight="1" x14ac:dyDescent="0.3">
      <c r="A76" s="59">
        <v>3</v>
      </c>
      <c r="B76" s="48">
        <v>61.645587685800379</v>
      </c>
      <c r="C76" s="60">
        <f t="shared" si="8"/>
        <v>262.8</v>
      </c>
      <c r="D76" s="60">
        <v>0.3</v>
      </c>
      <c r="E76" s="27">
        <f t="shared" si="9"/>
        <v>288.43094603952153</v>
      </c>
      <c r="F76" s="27">
        <v>66203.600856075049</v>
      </c>
    </row>
    <row r="77" spans="1:22" ht="14.25" customHeight="1" x14ac:dyDescent="0.3">
      <c r="A77" s="59">
        <v>4</v>
      </c>
      <c r="B77" s="48">
        <v>61.645587685800379</v>
      </c>
      <c r="C77" s="60">
        <f t="shared" si="8"/>
        <v>262.8</v>
      </c>
      <c r="D77" s="60">
        <v>0.3</v>
      </c>
      <c r="E77" s="27">
        <f t="shared" si="9"/>
        <v>277.33744811492454</v>
      </c>
      <c r="F77" s="27">
        <v>63657.308515456767</v>
      </c>
    </row>
    <row r="78" spans="1:22" ht="14.25" customHeight="1" x14ac:dyDescent="0.3">
      <c r="A78" s="59">
        <v>5</v>
      </c>
      <c r="B78" s="48">
        <v>61.6455876858004</v>
      </c>
      <c r="C78" s="60">
        <f t="shared" si="8"/>
        <v>262.8</v>
      </c>
      <c r="D78" s="60">
        <v>0.3</v>
      </c>
      <c r="E78" s="27">
        <f t="shared" si="9"/>
        <v>266.67062318742745</v>
      </c>
      <c r="F78" s="27">
        <v>61208.9504956315</v>
      </c>
    </row>
    <row r="79" spans="1:22" ht="14.25" customHeight="1" x14ac:dyDescent="0.3">
      <c r="A79" s="59">
        <v>6</v>
      </c>
      <c r="B79" s="48">
        <v>61.6455876858004</v>
      </c>
      <c r="C79" s="60">
        <f t="shared" si="8"/>
        <v>262.8</v>
      </c>
      <c r="D79" s="60">
        <v>0.3</v>
      </c>
      <c r="E79" s="27">
        <f t="shared" si="9"/>
        <v>256.41406075714178</v>
      </c>
      <c r="F79" s="27">
        <v>58854.760091953365</v>
      </c>
    </row>
    <row r="80" spans="1:22" ht="14.25" customHeight="1" x14ac:dyDescent="0.3">
      <c r="A80" s="59">
        <v>7</v>
      </c>
      <c r="B80" s="48">
        <v>61.6455876858004</v>
      </c>
      <c r="C80" s="60">
        <f t="shared" si="8"/>
        <v>262.8</v>
      </c>
      <c r="D80" s="60">
        <v>0.3</v>
      </c>
      <c r="E80" s="27">
        <f t="shared" si="9"/>
        <v>246.55198149725172</v>
      </c>
      <c r="F80" s="27">
        <v>56591.115473032092</v>
      </c>
    </row>
    <row r="81" spans="1:15" ht="14.25" customHeight="1" x14ac:dyDescent="0.3">
      <c r="A81" s="59">
        <v>8</v>
      </c>
      <c r="B81" s="48">
        <v>61.6455876858004</v>
      </c>
      <c r="C81" s="60">
        <f t="shared" si="8"/>
        <v>262.8</v>
      </c>
      <c r="D81" s="60">
        <v>0.3</v>
      </c>
      <c r="E81" s="27">
        <f t="shared" si="9"/>
        <v>237.06921297812661</v>
      </c>
      <c r="F81" s="27">
        <v>54414.534108684689</v>
      </c>
    </row>
    <row r="82" spans="1:15" ht="14.25" customHeight="1" x14ac:dyDescent="0.3">
      <c r="A82" s="59">
        <v>9</v>
      </c>
      <c r="B82" s="48">
        <v>61.6455876858004</v>
      </c>
      <c r="C82" s="60">
        <f t="shared" si="8"/>
        <v>262.8</v>
      </c>
      <c r="D82" s="60">
        <v>0.3</v>
      </c>
      <c r="E82" s="27">
        <f t="shared" si="9"/>
        <v>227.95116632512173</v>
      </c>
      <c r="F82" s="27">
        <v>52321.667412196817</v>
      </c>
    </row>
    <row r="83" spans="1:15" ht="14.25" customHeight="1" x14ac:dyDescent="0.3">
      <c r="A83" s="59">
        <v>10</v>
      </c>
      <c r="B83" s="48">
        <v>61.6455876858004</v>
      </c>
      <c r="C83" s="60">
        <f t="shared" si="8"/>
        <v>262.8</v>
      </c>
      <c r="D83" s="60">
        <v>0.3</v>
      </c>
      <c r="E83" s="27">
        <f t="shared" si="9"/>
        <v>219.18381377415551</v>
      </c>
      <c r="F83" s="27">
        <v>50309.295588650784</v>
      </c>
    </row>
    <row r="84" spans="1:15" ht="14.25" customHeight="1" x14ac:dyDescent="0.3">
      <c r="A84" s="59">
        <v>11</v>
      </c>
      <c r="B84" s="48">
        <v>61.6455876858004</v>
      </c>
      <c r="C84" s="60">
        <f t="shared" si="8"/>
        <v>262.8</v>
      </c>
      <c r="D84" s="60">
        <v>0.3</v>
      </c>
      <c r="E84" s="27">
        <f t="shared" si="9"/>
        <v>210.75366709053415</v>
      </c>
      <c r="F84" s="27">
        <v>48374.322681394988</v>
      </c>
    </row>
    <row r="85" spans="1:15" ht="14.25" customHeight="1" x14ac:dyDescent="0.3">
      <c r="A85" s="59">
        <v>12</v>
      </c>
      <c r="B85" s="48">
        <v>61.6455876858004</v>
      </c>
      <c r="C85" s="60">
        <f t="shared" si="8"/>
        <v>262.8</v>
      </c>
      <c r="D85" s="60">
        <v>0.3</v>
      </c>
      <c r="E85" s="27">
        <f t="shared" si="9"/>
        <v>202.64775681782126</v>
      </c>
      <c r="F85" s="27">
        <v>46513.771809033635</v>
      </c>
    </row>
    <row r="86" spans="1:15" ht="14.25" customHeight="1" x14ac:dyDescent="0.3">
      <c r="A86" s="59">
        <v>13</v>
      </c>
      <c r="B86" s="48">
        <v>61.6455876858004</v>
      </c>
      <c r="C86" s="60">
        <f t="shared" si="8"/>
        <v>262.8</v>
      </c>
      <c r="D86" s="60">
        <v>0.3</v>
      </c>
      <c r="E86" s="27">
        <f t="shared" si="9"/>
        <v>194.85361232482813</v>
      </c>
      <c r="F86" s="27">
        <v>44724.78058560926</v>
      </c>
    </row>
    <row r="87" spans="1:15" ht="14.25" customHeight="1" x14ac:dyDescent="0.3">
      <c r="A87" s="59">
        <v>14</v>
      </c>
      <c r="B87" s="48">
        <v>61.6455876858004</v>
      </c>
      <c r="C87" s="60">
        <f t="shared" si="8"/>
        <v>262.8</v>
      </c>
      <c r="D87" s="60">
        <v>0.3</v>
      </c>
      <c r="E87" s="27">
        <f t="shared" si="9"/>
        <v>187.35924262002706</v>
      </c>
      <c r="F87" s="27">
        <v>43004.596716931985</v>
      </c>
    </row>
    <row r="88" spans="1:15" ht="14.25" customHeight="1" x14ac:dyDescent="0.3">
      <c r="A88" s="59">
        <v>15</v>
      </c>
      <c r="B88" s="48">
        <v>61.6455876858004</v>
      </c>
      <c r="C88" s="60">
        <f t="shared" si="8"/>
        <v>262.8</v>
      </c>
      <c r="D88" s="60">
        <v>0.3</v>
      </c>
      <c r="E88" s="27">
        <f t="shared" si="9"/>
        <v>180.15311790387219</v>
      </c>
      <c r="F88" s="27">
        <v>41350.573766280751</v>
      </c>
    </row>
    <row r="89" spans="1:15" ht="14.25" customHeight="1" x14ac:dyDescent="0.3">
      <c r="A89" s="59">
        <v>16</v>
      </c>
      <c r="B89" s="48">
        <v>61.6455876858004</v>
      </c>
      <c r="C89" s="60">
        <f t="shared" si="8"/>
        <v>262.8</v>
      </c>
      <c r="D89" s="60">
        <v>0.3</v>
      </c>
      <c r="E89" s="27">
        <f t="shared" si="9"/>
        <v>173.22415183064629</v>
      </c>
      <c r="F89" s="27">
        <v>39760.167082962253</v>
      </c>
      <c r="J89" s="72" t="s">
        <v>0</v>
      </c>
      <c r="K89" s="74"/>
      <c r="L89" s="74"/>
      <c r="M89" s="74"/>
      <c r="N89" s="74"/>
      <c r="O89" s="73"/>
    </row>
    <row r="90" spans="1:15" ht="14.25" customHeight="1" x14ac:dyDescent="0.3">
      <c r="A90" s="59">
        <v>17</v>
      </c>
      <c r="B90" s="48">
        <v>61.6455876858004</v>
      </c>
      <c r="C90" s="60">
        <f t="shared" si="8"/>
        <v>262.8</v>
      </c>
      <c r="D90" s="60">
        <v>0.3</v>
      </c>
      <c r="E90" s="27">
        <f t="shared" si="9"/>
        <v>166.56168445254451</v>
      </c>
      <c r="F90" s="27">
        <v>38230.929887463702</v>
      </c>
      <c r="J90" s="20" t="s">
        <v>36</v>
      </c>
      <c r="K90" s="20">
        <v>0.3</v>
      </c>
      <c r="L90" s="20">
        <v>0.35</v>
      </c>
      <c r="M90" s="20">
        <v>0.4</v>
      </c>
      <c r="N90" s="20">
        <v>0.45</v>
      </c>
      <c r="O90" s="20">
        <v>0.5</v>
      </c>
    </row>
    <row r="91" spans="1:15" ht="14.25" customHeight="1" x14ac:dyDescent="0.3">
      <c r="A91" s="59">
        <v>18</v>
      </c>
      <c r="B91" s="48">
        <v>61.6455876858004</v>
      </c>
      <c r="C91" s="60">
        <f t="shared" si="8"/>
        <v>262.8</v>
      </c>
      <c r="D91" s="60">
        <v>0.3</v>
      </c>
      <c r="E91" s="27">
        <f t="shared" si="9"/>
        <v>160.15546581975431</v>
      </c>
      <c r="F91" s="27">
        <v>36760.509507176634</v>
      </c>
      <c r="J91" s="20" t="s">
        <v>0</v>
      </c>
      <c r="K91" s="35">
        <v>0.22900000000000001</v>
      </c>
      <c r="L91" s="35">
        <v>0.18</v>
      </c>
      <c r="M91" s="35">
        <v>0.16300000000000001</v>
      </c>
      <c r="N91" s="35">
        <v>0.14499999999999999</v>
      </c>
      <c r="O91" s="35">
        <v>0.14000000000000001</v>
      </c>
    </row>
    <row r="92" spans="1:15" ht="14.25" customHeight="1" x14ac:dyDescent="0.3">
      <c r="A92" s="59">
        <v>19</v>
      </c>
      <c r="B92" s="48">
        <v>61.6455876858004</v>
      </c>
      <c r="C92" s="60">
        <f t="shared" si="8"/>
        <v>262.8</v>
      </c>
      <c r="D92" s="60">
        <v>0.3</v>
      </c>
      <c r="E92" s="27">
        <f t="shared" si="9"/>
        <v>153.99564021130223</v>
      </c>
      <c r="F92" s="27">
        <v>35346.643756900616</v>
      </c>
      <c r="J92" s="72" t="s">
        <v>66</v>
      </c>
      <c r="K92" s="74"/>
      <c r="L92" s="74"/>
      <c r="M92" s="74"/>
      <c r="N92" s="74"/>
      <c r="O92" s="73"/>
    </row>
    <row r="93" spans="1:15" ht="14.25" customHeight="1" x14ac:dyDescent="0.3">
      <c r="A93" s="59">
        <v>20</v>
      </c>
      <c r="B93" s="48">
        <v>61.6455876858004</v>
      </c>
      <c r="C93" s="60">
        <f t="shared" si="8"/>
        <v>262.8</v>
      </c>
      <c r="D93" s="60">
        <v>0.3</v>
      </c>
      <c r="E93" s="52">
        <f t="shared" si="9"/>
        <v>148.07273097240599</v>
      </c>
      <c r="F93" s="52">
        <v>33987.157458558278</v>
      </c>
      <c r="G93" s="55"/>
      <c r="H93" s="55"/>
      <c r="J93" s="20" t="s">
        <v>36</v>
      </c>
      <c r="K93" s="20">
        <v>0.3</v>
      </c>
      <c r="L93" s="20">
        <v>0.35</v>
      </c>
      <c r="M93" s="20">
        <v>0.4</v>
      </c>
      <c r="N93" s="20">
        <v>0.45</v>
      </c>
      <c r="O93" s="20">
        <v>0.5</v>
      </c>
    </row>
    <row r="94" spans="1:15" ht="14.25" customHeight="1" x14ac:dyDescent="0.3">
      <c r="A94" s="11"/>
      <c r="B94" s="10"/>
      <c r="C94" s="10"/>
      <c r="E94" s="27">
        <f>SUM(E74:E93)</f>
        <v>4409.3214178348562</v>
      </c>
      <c r="F94" s="27">
        <f>SUM(F74:F93)</f>
        <v>1012072.2453702419</v>
      </c>
      <c r="G94" s="57">
        <f>F94/E94</f>
        <v>229.53015883047323</v>
      </c>
      <c r="H94" s="20">
        <f>G94/1000</f>
        <v>0.22953015883047323</v>
      </c>
      <c r="J94" s="20" t="s">
        <v>80</v>
      </c>
      <c r="K94" s="35">
        <v>0.20399999999999999</v>
      </c>
      <c r="L94" s="35">
        <v>0.20300000000000001</v>
      </c>
      <c r="M94" s="35">
        <v>0.20200000000000001</v>
      </c>
      <c r="N94" s="35">
        <v>0.20100000000000001</v>
      </c>
      <c r="O94" s="35">
        <v>0.2</v>
      </c>
    </row>
    <row r="95" spans="1:15" ht="14.25" customHeight="1" x14ac:dyDescent="0.3">
      <c r="A95" s="11"/>
      <c r="B95" s="10"/>
      <c r="C95" s="10"/>
    </row>
    <row r="96" spans="1:15" ht="14.25" customHeight="1" x14ac:dyDescent="0.3">
      <c r="A96" s="34" t="s">
        <v>46</v>
      </c>
      <c r="B96" s="58" t="s">
        <v>62</v>
      </c>
      <c r="C96" s="58" t="s">
        <v>63</v>
      </c>
      <c r="D96" s="47" t="s">
        <v>36</v>
      </c>
      <c r="E96" s="47" t="s">
        <v>64</v>
      </c>
      <c r="F96" s="47" t="s">
        <v>65</v>
      </c>
      <c r="G96" s="32"/>
    </row>
    <row r="97" spans="1:7" ht="14.25" customHeight="1" x14ac:dyDescent="0.3">
      <c r="A97" s="59">
        <v>1</v>
      </c>
      <c r="B97" s="48">
        <v>61.645587685800379</v>
      </c>
      <c r="C97" s="60">
        <f>100*0.35*8760/1000</f>
        <v>306.60000000000002</v>
      </c>
      <c r="D97" s="60">
        <v>0.35</v>
      </c>
      <c r="E97" s="27">
        <f>(B97+C97)/(1.04^A97)</f>
        <v>354.08229585173115</v>
      </c>
      <c r="F97" s="27">
        <v>71605.814685930774</v>
      </c>
      <c r="G97" s="12"/>
    </row>
    <row r="98" spans="1:7" ht="14.25" customHeight="1" x14ac:dyDescent="0.3">
      <c r="A98" s="59">
        <v>2</v>
      </c>
      <c r="B98" s="48">
        <v>61.645587685800379</v>
      </c>
      <c r="C98" s="60">
        <f t="shared" ref="C98:C116" si="10">100*0.35*8760/1000</f>
        <v>306.60000000000002</v>
      </c>
      <c r="D98" s="60">
        <v>0.35</v>
      </c>
      <c r="E98" s="27">
        <f t="shared" ref="E98:E116" si="11">(B98+C98)/(1.04^A98)</f>
        <v>340.46374601127991</v>
      </c>
      <c r="F98" s="27">
        <v>68851.744890318048</v>
      </c>
      <c r="G98" s="12"/>
    </row>
    <row r="99" spans="1:7" ht="14.25" customHeight="1" x14ac:dyDescent="0.3">
      <c r="A99" s="59">
        <v>3</v>
      </c>
      <c r="B99" s="48">
        <v>61.645587685800379</v>
      </c>
      <c r="C99" s="60">
        <f t="shared" si="10"/>
        <v>306.60000000000002</v>
      </c>
      <c r="D99" s="60">
        <v>0.35</v>
      </c>
      <c r="E99" s="27">
        <f t="shared" si="11"/>
        <v>327.36898654930764</v>
      </c>
      <c r="F99" s="27">
        <v>66203.600856075049</v>
      </c>
      <c r="G99" s="12"/>
    </row>
    <row r="100" spans="1:7" ht="14.25" customHeight="1" x14ac:dyDescent="0.3">
      <c r="A100" s="59">
        <v>4</v>
      </c>
      <c r="B100" s="48">
        <v>61.645587685800379</v>
      </c>
      <c r="C100" s="60">
        <f t="shared" si="10"/>
        <v>306.60000000000002</v>
      </c>
      <c r="D100" s="60">
        <v>0.35</v>
      </c>
      <c r="E100" s="27">
        <f t="shared" si="11"/>
        <v>314.7778716820265</v>
      </c>
      <c r="F100" s="27">
        <v>63657.308515456767</v>
      </c>
      <c r="G100" s="12"/>
    </row>
    <row r="101" spans="1:7" ht="14.25" customHeight="1" x14ac:dyDescent="0.3">
      <c r="A101" s="59">
        <v>5</v>
      </c>
      <c r="B101" s="48">
        <v>61.6455876858004</v>
      </c>
      <c r="C101" s="60">
        <f t="shared" si="10"/>
        <v>306.60000000000002</v>
      </c>
      <c r="D101" s="60">
        <v>0.35</v>
      </c>
      <c r="E101" s="27">
        <f t="shared" si="11"/>
        <v>302.67103046348706</v>
      </c>
      <c r="F101" s="27">
        <v>61208.9504956315</v>
      </c>
      <c r="G101" s="12"/>
    </row>
    <row r="102" spans="1:7" ht="14.25" customHeight="1" x14ac:dyDescent="0.3">
      <c r="A102" s="59">
        <v>6</v>
      </c>
      <c r="B102" s="48">
        <v>61.6455876858004</v>
      </c>
      <c r="C102" s="60">
        <f t="shared" si="10"/>
        <v>306.60000000000002</v>
      </c>
      <c r="D102" s="60">
        <v>0.35</v>
      </c>
      <c r="E102" s="27">
        <f t="shared" si="11"/>
        <v>291.02983698412214</v>
      </c>
      <c r="F102" s="27">
        <v>58854.760091953365</v>
      </c>
      <c r="G102" s="12"/>
    </row>
    <row r="103" spans="1:7" ht="14.25" customHeight="1" x14ac:dyDescent="0.3">
      <c r="A103" s="59">
        <v>7</v>
      </c>
      <c r="B103" s="48">
        <v>61.6455876858004</v>
      </c>
      <c r="C103" s="60">
        <f t="shared" si="10"/>
        <v>306.60000000000002</v>
      </c>
      <c r="D103" s="60">
        <v>0.35</v>
      </c>
      <c r="E103" s="27">
        <f t="shared" si="11"/>
        <v>279.83638171550211</v>
      </c>
      <c r="F103" s="27">
        <v>56591.115473032092</v>
      </c>
      <c r="G103" s="12"/>
    </row>
    <row r="104" spans="1:7" ht="14.25" customHeight="1" x14ac:dyDescent="0.3">
      <c r="A104" s="59">
        <v>8</v>
      </c>
      <c r="B104" s="48">
        <v>61.6455876858004</v>
      </c>
      <c r="C104" s="60">
        <f t="shared" si="10"/>
        <v>306.60000000000002</v>
      </c>
      <c r="D104" s="60">
        <v>0.35</v>
      </c>
      <c r="E104" s="27">
        <f t="shared" si="11"/>
        <v>269.0734439572135</v>
      </c>
      <c r="F104" s="27">
        <v>54414.534108684689</v>
      </c>
      <c r="G104" s="12"/>
    </row>
    <row r="105" spans="1:7" ht="14.25" customHeight="1" x14ac:dyDescent="0.3">
      <c r="A105" s="59">
        <v>9</v>
      </c>
      <c r="B105" s="48">
        <v>61.6455876858004</v>
      </c>
      <c r="C105" s="60">
        <f t="shared" si="10"/>
        <v>306.60000000000002</v>
      </c>
      <c r="D105" s="60">
        <v>0.35</v>
      </c>
      <c r="E105" s="27">
        <f t="shared" si="11"/>
        <v>258.72446534347449</v>
      </c>
      <c r="F105" s="27">
        <v>52321.667412196817</v>
      </c>
      <c r="G105" s="12"/>
    </row>
    <row r="106" spans="1:7" ht="14.25" customHeight="1" x14ac:dyDescent="0.3">
      <c r="A106" s="59">
        <v>10</v>
      </c>
      <c r="B106" s="48">
        <v>61.6455876858004</v>
      </c>
      <c r="C106" s="60">
        <f t="shared" si="10"/>
        <v>306.60000000000002</v>
      </c>
      <c r="D106" s="60">
        <v>0.35</v>
      </c>
      <c r="E106" s="27">
        <f t="shared" si="11"/>
        <v>248.7735243687255</v>
      </c>
      <c r="F106" s="27">
        <v>50309.295588650784</v>
      </c>
      <c r="G106" s="12"/>
    </row>
    <row r="107" spans="1:7" ht="14.25" customHeight="1" x14ac:dyDescent="0.3">
      <c r="A107" s="59">
        <v>11</v>
      </c>
      <c r="B107" s="48">
        <v>61.6455876858004</v>
      </c>
      <c r="C107" s="60">
        <f t="shared" si="10"/>
        <v>306.60000000000002</v>
      </c>
      <c r="D107" s="60">
        <v>0.35</v>
      </c>
      <c r="E107" s="27">
        <f t="shared" si="11"/>
        <v>239.2053118930053</v>
      </c>
      <c r="F107" s="27">
        <v>48374.322681394988</v>
      </c>
      <c r="G107" s="12"/>
    </row>
    <row r="108" spans="1:7" ht="14.25" customHeight="1" x14ac:dyDescent="0.3">
      <c r="A108" s="59">
        <v>12</v>
      </c>
      <c r="B108" s="48">
        <v>61.6455876858004</v>
      </c>
      <c r="C108" s="60">
        <f t="shared" si="10"/>
        <v>306.60000000000002</v>
      </c>
      <c r="D108" s="60">
        <v>0.35</v>
      </c>
      <c r="E108" s="27">
        <f t="shared" si="11"/>
        <v>230.00510758942812</v>
      </c>
      <c r="F108" s="27">
        <v>46513.771809033635</v>
      </c>
      <c r="G108" s="12"/>
    </row>
    <row r="109" spans="1:7" ht="14.25" customHeight="1" x14ac:dyDescent="0.3">
      <c r="A109" s="59">
        <v>13</v>
      </c>
      <c r="B109" s="48">
        <v>61.6455876858004</v>
      </c>
      <c r="C109" s="60">
        <f t="shared" si="10"/>
        <v>306.60000000000002</v>
      </c>
      <c r="D109" s="60">
        <v>0.35</v>
      </c>
      <c r="E109" s="27">
        <f t="shared" si="11"/>
        <v>221.15875729752705</v>
      </c>
      <c r="F109" s="27">
        <v>44724.78058560926</v>
      </c>
      <c r="G109" s="12"/>
    </row>
    <row r="110" spans="1:7" ht="14.25" customHeight="1" x14ac:dyDescent="0.3">
      <c r="A110" s="59">
        <v>14</v>
      </c>
      <c r="B110" s="48">
        <v>61.6455876858004</v>
      </c>
      <c r="C110" s="60">
        <f t="shared" si="10"/>
        <v>306.60000000000002</v>
      </c>
      <c r="D110" s="60">
        <v>0.35</v>
      </c>
      <c r="E110" s="27">
        <f t="shared" si="11"/>
        <v>212.65265124762215</v>
      </c>
      <c r="F110" s="27">
        <v>43004.596716931985</v>
      </c>
      <c r="G110" s="12"/>
    </row>
    <row r="111" spans="1:7" ht="14.25" customHeight="1" x14ac:dyDescent="0.3">
      <c r="A111" s="59">
        <v>15</v>
      </c>
      <c r="B111" s="48">
        <v>61.6455876858004</v>
      </c>
      <c r="C111" s="60">
        <f t="shared" si="10"/>
        <v>306.60000000000002</v>
      </c>
      <c r="D111" s="60">
        <v>0.35</v>
      </c>
      <c r="E111" s="27">
        <f t="shared" si="11"/>
        <v>204.4737031227136</v>
      </c>
      <c r="F111" s="27">
        <v>41350.573766280751</v>
      </c>
      <c r="G111" s="12"/>
    </row>
    <row r="112" spans="1:7" ht="14.25" customHeight="1" x14ac:dyDescent="0.3">
      <c r="A112" s="59">
        <v>16</v>
      </c>
      <c r="B112" s="48">
        <v>61.6455876858004</v>
      </c>
      <c r="C112" s="60">
        <f t="shared" si="10"/>
        <v>306.60000000000002</v>
      </c>
      <c r="D112" s="60">
        <v>0.35</v>
      </c>
      <c r="E112" s="27">
        <f t="shared" si="11"/>
        <v>196.60932992568613</v>
      </c>
      <c r="F112" s="27">
        <v>39760.167082962253</v>
      </c>
      <c r="G112" s="12"/>
    </row>
    <row r="113" spans="1:8" ht="14.25" customHeight="1" x14ac:dyDescent="0.3">
      <c r="A113" s="59">
        <v>17</v>
      </c>
      <c r="B113" s="48">
        <v>61.6455876858004</v>
      </c>
      <c r="C113" s="60">
        <f t="shared" si="10"/>
        <v>306.60000000000002</v>
      </c>
      <c r="D113" s="60">
        <v>0.35</v>
      </c>
      <c r="E113" s="27">
        <f t="shared" si="11"/>
        <v>189.04743262085205</v>
      </c>
      <c r="F113" s="27">
        <v>38230.929887463702</v>
      </c>
      <c r="G113" s="12"/>
    </row>
    <row r="114" spans="1:8" ht="14.25" customHeight="1" x14ac:dyDescent="0.3">
      <c r="A114" s="59">
        <v>18</v>
      </c>
      <c r="B114" s="48">
        <v>61.6455876858004</v>
      </c>
      <c r="C114" s="60">
        <f t="shared" si="10"/>
        <v>306.60000000000002</v>
      </c>
      <c r="D114" s="60">
        <v>0.35</v>
      </c>
      <c r="E114" s="27">
        <f t="shared" si="11"/>
        <v>181.77637752005003</v>
      </c>
      <c r="F114" s="27">
        <v>36760.509507176634</v>
      </c>
      <c r="G114" s="12"/>
    </row>
    <row r="115" spans="1:8" ht="14.25" customHeight="1" x14ac:dyDescent="0.3">
      <c r="A115" s="59">
        <v>19</v>
      </c>
      <c r="B115" s="48">
        <v>61.6455876858004</v>
      </c>
      <c r="C115" s="60">
        <f t="shared" si="10"/>
        <v>306.60000000000002</v>
      </c>
      <c r="D115" s="60">
        <v>0.35</v>
      </c>
      <c r="E115" s="27">
        <f t="shared" si="11"/>
        <v>174.7849783846635</v>
      </c>
      <c r="F115" s="27">
        <v>35346.643756900616</v>
      </c>
      <c r="G115" s="12"/>
    </row>
    <row r="116" spans="1:8" ht="14.25" customHeight="1" x14ac:dyDescent="0.3">
      <c r="A116" s="59">
        <v>20</v>
      </c>
      <c r="B116" s="48">
        <v>61.6455876858004</v>
      </c>
      <c r="C116" s="60">
        <f t="shared" si="10"/>
        <v>306.60000000000002</v>
      </c>
      <c r="D116" s="60">
        <v>0.35</v>
      </c>
      <c r="E116" s="52">
        <f t="shared" si="11"/>
        <v>168.06247921602258</v>
      </c>
      <c r="F116" s="52">
        <v>33987.157458558278</v>
      </c>
      <c r="G116" s="55"/>
      <c r="H116" s="55"/>
    </row>
    <row r="117" spans="1:8" ht="14.25" customHeight="1" x14ac:dyDescent="0.3">
      <c r="A117" s="11"/>
      <c r="B117" s="10"/>
      <c r="C117" s="10"/>
      <c r="D117" s="12"/>
      <c r="E117" s="27">
        <f>SUM(E97:E116)</f>
        <v>5004.5777117444404</v>
      </c>
      <c r="F117" s="27">
        <f>SUM(F97:F116)</f>
        <v>1012072.2453702419</v>
      </c>
      <c r="G117" s="57">
        <f>F117/E117</f>
        <v>202.22929958609134</v>
      </c>
      <c r="H117" s="20">
        <f>G117/1000</f>
        <v>0.20222929958609134</v>
      </c>
    </row>
    <row r="118" spans="1:8" ht="14.25" customHeight="1" x14ac:dyDescent="0.3">
      <c r="A118" s="11"/>
      <c r="B118" s="10"/>
      <c r="C118" s="10"/>
    </row>
    <row r="119" spans="1:8" ht="14.25" customHeight="1" x14ac:dyDescent="0.3">
      <c r="A119" s="34" t="s">
        <v>46</v>
      </c>
      <c r="B119" s="58" t="s">
        <v>62</v>
      </c>
      <c r="C119" s="58" t="s">
        <v>63</v>
      </c>
      <c r="D119" s="47" t="s">
        <v>36</v>
      </c>
      <c r="E119" s="47" t="s">
        <v>64</v>
      </c>
      <c r="F119" s="47" t="s">
        <v>65</v>
      </c>
      <c r="G119" s="32"/>
    </row>
    <row r="120" spans="1:8" ht="14.25" customHeight="1" x14ac:dyDescent="0.3">
      <c r="A120" s="59">
        <v>1</v>
      </c>
      <c r="B120" s="48">
        <v>61.645587685800379</v>
      </c>
      <c r="C120" s="60">
        <f>100*0.45*8760/1000</f>
        <v>394.2</v>
      </c>
      <c r="D120" s="60">
        <v>0.45</v>
      </c>
      <c r="E120" s="27">
        <f>(B120+C120)/(1.04^A120)</f>
        <v>438.31306508250032</v>
      </c>
      <c r="F120" s="27">
        <v>71605.814685930774</v>
      </c>
      <c r="G120" s="12"/>
    </row>
    <row r="121" spans="1:8" ht="14.25" customHeight="1" x14ac:dyDescent="0.3">
      <c r="A121" s="59">
        <v>2</v>
      </c>
      <c r="B121" s="48">
        <v>61.645587685800379</v>
      </c>
      <c r="C121" s="60">
        <f t="shared" ref="C121:C139" si="12">100*0.45*8760/1000</f>
        <v>394.2</v>
      </c>
      <c r="D121" s="60">
        <v>0.45</v>
      </c>
      <c r="E121" s="27">
        <f t="shared" ref="E121:E139" si="13">(B121+C121)/(1.04^A121)</f>
        <v>421.45487027163489</v>
      </c>
      <c r="F121" s="27">
        <v>68851.744890318048</v>
      </c>
      <c r="G121" s="12"/>
    </row>
    <row r="122" spans="1:8" ht="14.25" customHeight="1" x14ac:dyDescent="0.3">
      <c r="A122" s="59">
        <v>3</v>
      </c>
      <c r="B122" s="48">
        <v>61.645587685800379</v>
      </c>
      <c r="C122" s="60">
        <f t="shared" si="12"/>
        <v>394.2</v>
      </c>
      <c r="D122" s="60">
        <v>0.45</v>
      </c>
      <c r="E122" s="27">
        <f t="shared" si="13"/>
        <v>405.24506756887973</v>
      </c>
      <c r="F122" s="27">
        <v>66203.600856075049</v>
      </c>
      <c r="G122" s="12"/>
    </row>
    <row r="123" spans="1:8" ht="14.25" customHeight="1" x14ac:dyDescent="0.3">
      <c r="A123" s="59">
        <v>4</v>
      </c>
      <c r="B123" s="48">
        <v>61.645587685800379</v>
      </c>
      <c r="C123" s="60">
        <f t="shared" si="12"/>
        <v>394.2</v>
      </c>
      <c r="D123" s="60">
        <v>0.45</v>
      </c>
      <c r="E123" s="27">
        <f t="shared" si="13"/>
        <v>389.65871881623048</v>
      </c>
      <c r="F123" s="27">
        <v>63657.308515456767</v>
      </c>
      <c r="G123" s="12"/>
    </row>
    <row r="124" spans="1:8" ht="14.25" customHeight="1" x14ac:dyDescent="0.3">
      <c r="A124" s="59">
        <v>5</v>
      </c>
      <c r="B124" s="48">
        <v>61.6455876858004</v>
      </c>
      <c r="C124" s="60">
        <f t="shared" si="12"/>
        <v>394.2</v>
      </c>
      <c r="D124" s="60">
        <v>0.45</v>
      </c>
      <c r="E124" s="27">
        <f t="shared" si="13"/>
        <v>374.67184501560621</v>
      </c>
      <c r="F124" s="27">
        <v>61208.9504956315</v>
      </c>
      <c r="G124" s="12"/>
    </row>
    <row r="125" spans="1:8" ht="14.25" customHeight="1" x14ac:dyDescent="0.3">
      <c r="A125" s="59">
        <v>6</v>
      </c>
      <c r="B125" s="48">
        <v>61.6455876858004</v>
      </c>
      <c r="C125" s="60">
        <f t="shared" si="12"/>
        <v>394.2</v>
      </c>
      <c r="D125" s="60">
        <v>0.45</v>
      </c>
      <c r="E125" s="27">
        <f t="shared" si="13"/>
        <v>360.26138943808292</v>
      </c>
      <c r="F125" s="27">
        <v>58854.760091953365</v>
      </c>
      <c r="G125" s="12"/>
    </row>
    <row r="126" spans="1:8" ht="14.25" customHeight="1" x14ac:dyDescent="0.3">
      <c r="A126" s="59">
        <v>7</v>
      </c>
      <c r="B126" s="48">
        <v>61.6455876858004</v>
      </c>
      <c r="C126" s="60">
        <f t="shared" si="12"/>
        <v>394.2</v>
      </c>
      <c r="D126" s="60">
        <v>0.45</v>
      </c>
      <c r="E126" s="27">
        <f t="shared" si="13"/>
        <v>346.40518215200279</v>
      </c>
      <c r="F126" s="27">
        <v>56591.115473032092</v>
      </c>
      <c r="G126" s="12"/>
    </row>
    <row r="127" spans="1:8" ht="14.25" customHeight="1" x14ac:dyDescent="0.3">
      <c r="A127" s="59">
        <v>8</v>
      </c>
      <c r="B127" s="48">
        <v>61.6455876858004</v>
      </c>
      <c r="C127" s="60">
        <f t="shared" si="12"/>
        <v>394.2</v>
      </c>
      <c r="D127" s="60">
        <v>0.45</v>
      </c>
      <c r="E127" s="27">
        <f t="shared" si="13"/>
        <v>333.08190591538727</v>
      </c>
      <c r="F127" s="27">
        <v>54414.534108684689</v>
      </c>
      <c r="G127" s="12"/>
    </row>
    <row r="128" spans="1:8" ht="14.25" customHeight="1" x14ac:dyDescent="0.3">
      <c r="A128" s="59">
        <v>9</v>
      </c>
      <c r="B128" s="48">
        <v>61.6455876858004</v>
      </c>
      <c r="C128" s="60">
        <f t="shared" si="12"/>
        <v>394.2</v>
      </c>
      <c r="D128" s="60">
        <v>0.45</v>
      </c>
      <c r="E128" s="27">
        <f t="shared" si="13"/>
        <v>320.27106338018007</v>
      </c>
      <c r="F128" s="27">
        <v>52321.667412196817</v>
      </c>
      <c r="G128" s="12"/>
    </row>
    <row r="129" spans="1:8" ht="14.25" customHeight="1" x14ac:dyDescent="0.3">
      <c r="A129" s="59">
        <v>10</v>
      </c>
      <c r="B129" s="48">
        <v>61.6455876858004</v>
      </c>
      <c r="C129" s="60">
        <f t="shared" si="12"/>
        <v>394.2</v>
      </c>
      <c r="D129" s="60">
        <v>0.45</v>
      </c>
      <c r="E129" s="27">
        <f t="shared" si="13"/>
        <v>307.95294555786541</v>
      </c>
      <c r="F129" s="27">
        <v>50309.295588650784</v>
      </c>
      <c r="G129" s="12"/>
    </row>
    <row r="130" spans="1:8" ht="14.25" customHeight="1" x14ac:dyDescent="0.3">
      <c r="A130" s="59">
        <v>11</v>
      </c>
      <c r="B130" s="48">
        <v>61.6455876858004</v>
      </c>
      <c r="C130" s="60">
        <f t="shared" si="12"/>
        <v>394.2</v>
      </c>
      <c r="D130" s="60">
        <v>0.45</v>
      </c>
      <c r="E130" s="27">
        <f t="shared" si="13"/>
        <v>296.10860149794757</v>
      </c>
      <c r="F130" s="27">
        <v>48374.322681394988</v>
      </c>
      <c r="G130" s="12"/>
    </row>
    <row r="131" spans="1:8" ht="14.25" customHeight="1" x14ac:dyDescent="0.3">
      <c r="A131" s="59">
        <v>12</v>
      </c>
      <c r="B131" s="48">
        <v>61.6455876858004</v>
      </c>
      <c r="C131" s="60">
        <f t="shared" si="12"/>
        <v>394.2</v>
      </c>
      <c r="D131" s="60">
        <v>0.45</v>
      </c>
      <c r="E131" s="27">
        <f t="shared" si="13"/>
        <v>284.71980913264179</v>
      </c>
      <c r="F131" s="27">
        <v>46513.771809033635</v>
      </c>
      <c r="G131" s="12"/>
    </row>
    <row r="132" spans="1:8" ht="14.25" customHeight="1" x14ac:dyDescent="0.3">
      <c r="A132" s="59">
        <v>13</v>
      </c>
      <c r="B132" s="48">
        <v>61.6455876858004</v>
      </c>
      <c r="C132" s="60">
        <f t="shared" si="12"/>
        <v>394.2</v>
      </c>
      <c r="D132" s="60">
        <v>0.45</v>
      </c>
      <c r="E132" s="27">
        <f t="shared" si="13"/>
        <v>273.76904724292478</v>
      </c>
      <c r="F132" s="27">
        <v>44724.78058560926</v>
      </c>
      <c r="G132" s="12"/>
    </row>
    <row r="133" spans="1:8" ht="14.25" customHeight="1" x14ac:dyDescent="0.3">
      <c r="A133" s="59">
        <v>14</v>
      </c>
      <c r="B133" s="48">
        <v>61.6455876858004</v>
      </c>
      <c r="C133" s="60">
        <f t="shared" si="12"/>
        <v>394.2</v>
      </c>
      <c r="D133" s="60">
        <v>0.45</v>
      </c>
      <c r="E133" s="27">
        <f t="shared" si="13"/>
        <v>263.23946850281231</v>
      </c>
      <c r="F133" s="27">
        <v>43004.596716931985</v>
      </c>
      <c r="G133" s="12"/>
    </row>
    <row r="134" spans="1:8" ht="14.25" customHeight="1" x14ac:dyDescent="0.3">
      <c r="A134" s="59">
        <v>15</v>
      </c>
      <c r="B134" s="48">
        <v>61.6455876858004</v>
      </c>
      <c r="C134" s="60">
        <f t="shared" si="12"/>
        <v>394.2</v>
      </c>
      <c r="D134" s="60">
        <v>0.45</v>
      </c>
      <c r="E134" s="27">
        <f t="shared" si="13"/>
        <v>253.11487356039646</v>
      </c>
      <c r="F134" s="27">
        <v>41350.573766280751</v>
      </c>
      <c r="G134" s="12"/>
    </row>
    <row r="135" spans="1:8" ht="14.25" customHeight="1" x14ac:dyDescent="0.3">
      <c r="A135" s="59">
        <v>16</v>
      </c>
      <c r="B135" s="48">
        <v>61.6455876858004</v>
      </c>
      <c r="C135" s="60">
        <f t="shared" si="12"/>
        <v>394.2</v>
      </c>
      <c r="D135" s="60">
        <v>0.45</v>
      </c>
      <c r="E135" s="27">
        <f t="shared" si="13"/>
        <v>243.37968611576579</v>
      </c>
      <c r="F135" s="27">
        <v>39760.167082962253</v>
      </c>
      <c r="G135" s="12"/>
    </row>
    <row r="136" spans="1:8" ht="14.25" customHeight="1" x14ac:dyDescent="0.3">
      <c r="A136" s="59">
        <v>17</v>
      </c>
      <c r="B136" s="48">
        <v>61.6455876858004</v>
      </c>
      <c r="C136" s="60">
        <f t="shared" si="12"/>
        <v>394.2</v>
      </c>
      <c r="D136" s="60">
        <v>0.45</v>
      </c>
      <c r="E136" s="27">
        <f t="shared" si="13"/>
        <v>234.0189289574671</v>
      </c>
      <c r="F136" s="27">
        <v>38230.929887463702</v>
      </c>
      <c r="G136" s="12"/>
    </row>
    <row r="137" spans="1:8" ht="14.25" customHeight="1" x14ac:dyDescent="0.3">
      <c r="A137" s="59">
        <v>18</v>
      </c>
      <c r="B137" s="48">
        <v>61.6455876858004</v>
      </c>
      <c r="C137" s="60">
        <f t="shared" si="12"/>
        <v>394.2</v>
      </c>
      <c r="D137" s="60">
        <v>0.45</v>
      </c>
      <c r="E137" s="27">
        <f t="shared" si="13"/>
        <v>225.01820092064142</v>
      </c>
      <c r="F137" s="27">
        <v>36760.509507176634</v>
      </c>
      <c r="G137" s="12"/>
    </row>
    <row r="138" spans="1:8" ht="14.25" customHeight="1" x14ac:dyDescent="0.3">
      <c r="A138" s="59">
        <v>19</v>
      </c>
      <c r="B138" s="48">
        <v>61.6455876858004</v>
      </c>
      <c r="C138" s="60">
        <f t="shared" si="12"/>
        <v>394.2</v>
      </c>
      <c r="D138" s="60">
        <v>0.45</v>
      </c>
      <c r="E138" s="27">
        <f t="shared" si="13"/>
        <v>216.36365473138599</v>
      </c>
      <c r="F138" s="27">
        <v>35346.643756900616</v>
      </c>
      <c r="G138" s="12"/>
    </row>
    <row r="139" spans="1:8" ht="14.25" customHeight="1" x14ac:dyDescent="0.3">
      <c r="A139" s="59">
        <v>20</v>
      </c>
      <c r="B139" s="48">
        <v>61.6455876858004</v>
      </c>
      <c r="C139" s="60">
        <f t="shared" si="12"/>
        <v>394.2</v>
      </c>
      <c r="D139" s="60">
        <v>0.45</v>
      </c>
      <c r="E139" s="52">
        <f t="shared" si="13"/>
        <v>208.04197570325576</v>
      </c>
      <c r="F139" s="52">
        <v>33987.157458558278</v>
      </c>
      <c r="G139" s="55"/>
      <c r="H139" s="55"/>
    </row>
    <row r="140" spans="1:8" ht="14.25" customHeight="1" x14ac:dyDescent="0.3">
      <c r="A140" s="11"/>
      <c r="B140" s="10"/>
      <c r="C140" s="10"/>
      <c r="D140" s="12"/>
      <c r="E140" s="27">
        <f>SUM(E120:E139)</f>
        <v>6195.0902995636097</v>
      </c>
      <c r="F140" s="27">
        <f>SUM(F120:F139)</f>
        <v>1012072.2453702419</v>
      </c>
      <c r="G140" s="57">
        <f>F140/E140</f>
        <v>163.36682702454453</v>
      </c>
      <c r="H140" s="20">
        <f>G140/1000</f>
        <v>0.16336682702454453</v>
      </c>
    </row>
    <row r="141" spans="1:8" ht="14.25" customHeight="1" x14ac:dyDescent="0.3">
      <c r="A141" s="11"/>
      <c r="B141" s="10"/>
      <c r="C141" s="10"/>
    </row>
    <row r="142" spans="1:8" ht="14.25" customHeight="1" x14ac:dyDescent="0.3">
      <c r="A142" s="34" t="s">
        <v>46</v>
      </c>
      <c r="B142" s="58" t="s">
        <v>62</v>
      </c>
      <c r="C142" s="58" t="s">
        <v>63</v>
      </c>
      <c r="D142" s="47" t="s">
        <v>36</v>
      </c>
      <c r="E142" s="47" t="s">
        <v>64</v>
      </c>
      <c r="F142" s="47" t="s">
        <v>65</v>
      </c>
      <c r="G142" s="32"/>
    </row>
    <row r="143" spans="1:8" ht="14.25" customHeight="1" x14ac:dyDescent="0.3">
      <c r="A143" s="59">
        <v>1</v>
      </c>
      <c r="B143" s="48">
        <v>61.645587685800379</v>
      </c>
      <c r="C143" s="60">
        <f>100*0.5*8760/1000</f>
        <v>438</v>
      </c>
      <c r="D143" s="60">
        <v>0.5</v>
      </c>
      <c r="E143" s="27">
        <f>(B143+C143)/(1.04^A143)</f>
        <v>480.42844969788496</v>
      </c>
      <c r="F143" s="27">
        <v>71605.814685930774</v>
      </c>
      <c r="G143" s="12"/>
    </row>
    <row r="144" spans="1:8" ht="14.25" customHeight="1" x14ac:dyDescent="0.3">
      <c r="A144" s="59">
        <v>2</v>
      </c>
      <c r="B144" s="48">
        <v>61.645587685800379</v>
      </c>
      <c r="C144" s="60">
        <f t="shared" ref="C144:C162" si="14">100*0.5*8760/1000</f>
        <v>438</v>
      </c>
      <c r="D144" s="60">
        <v>0.5</v>
      </c>
      <c r="E144" s="27">
        <f t="shared" ref="E144:E162" si="15">(B144+C144)/(1.04^A144)</f>
        <v>461.95043240181241</v>
      </c>
      <c r="F144" s="27">
        <v>68851.744890318048</v>
      </c>
      <c r="G144" s="12"/>
    </row>
    <row r="145" spans="1:7" ht="14.25" customHeight="1" x14ac:dyDescent="0.3">
      <c r="A145" s="59">
        <v>3</v>
      </c>
      <c r="B145" s="48">
        <v>61.645587685800379</v>
      </c>
      <c r="C145" s="60">
        <f t="shared" si="14"/>
        <v>438</v>
      </c>
      <c r="D145" s="60">
        <v>0.5</v>
      </c>
      <c r="E145" s="27">
        <f t="shared" si="15"/>
        <v>444.18310807866578</v>
      </c>
      <c r="F145" s="27">
        <v>66203.600856075049</v>
      </c>
      <c r="G145" s="12"/>
    </row>
    <row r="146" spans="1:7" ht="14.25" customHeight="1" x14ac:dyDescent="0.3">
      <c r="A146" s="59">
        <v>4</v>
      </c>
      <c r="B146" s="48">
        <v>61.645587685800379</v>
      </c>
      <c r="C146" s="60">
        <f t="shared" si="14"/>
        <v>438</v>
      </c>
      <c r="D146" s="60">
        <v>0.5</v>
      </c>
      <c r="E146" s="27">
        <f t="shared" si="15"/>
        <v>427.09914238333243</v>
      </c>
      <c r="F146" s="27">
        <v>63657.308515456767</v>
      </c>
      <c r="G146" s="12"/>
    </row>
    <row r="147" spans="1:7" ht="14.25" customHeight="1" x14ac:dyDescent="0.3">
      <c r="A147" s="59">
        <v>5</v>
      </c>
      <c r="B147" s="48">
        <v>61.6455876858004</v>
      </c>
      <c r="C147" s="60">
        <f t="shared" si="14"/>
        <v>438</v>
      </c>
      <c r="D147" s="60">
        <v>0.5</v>
      </c>
      <c r="E147" s="27">
        <f t="shared" si="15"/>
        <v>410.67225229166581</v>
      </c>
      <c r="F147" s="27">
        <v>61208.9504956315</v>
      </c>
      <c r="G147" s="12"/>
    </row>
    <row r="148" spans="1:7" ht="14.25" customHeight="1" x14ac:dyDescent="0.3">
      <c r="A148" s="59">
        <v>6</v>
      </c>
      <c r="B148" s="48">
        <v>61.6455876858004</v>
      </c>
      <c r="C148" s="60">
        <f t="shared" si="14"/>
        <v>438</v>
      </c>
      <c r="D148" s="60">
        <v>0.5</v>
      </c>
      <c r="E148" s="27">
        <f t="shared" si="15"/>
        <v>394.87716566506327</v>
      </c>
      <c r="F148" s="27">
        <v>58854.760091953365</v>
      </c>
      <c r="G148" s="12"/>
    </row>
    <row r="149" spans="1:7" ht="14.25" customHeight="1" x14ac:dyDescent="0.3">
      <c r="A149" s="59">
        <v>7</v>
      </c>
      <c r="B149" s="48">
        <v>61.6455876858004</v>
      </c>
      <c r="C149" s="60">
        <f t="shared" si="14"/>
        <v>438</v>
      </c>
      <c r="D149" s="60">
        <v>0.5</v>
      </c>
      <c r="E149" s="27">
        <f t="shared" si="15"/>
        <v>379.68958237025322</v>
      </c>
      <c r="F149" s="27">
        <v>56591.115473032092</v>
      </c>
      <c r="G149" s="12"/>
    </row>
    <row r="150" spans="1:7" ht="14.25" customHeight="1" x14ac:dyDescent="0.3">
      <c r="A150" s="59">
        <v>8</v>
      </c>
      <c r="B150" s="48">
        <v>61.6455876858004</v>
      </c>
      <c r="C150" s="60">
        <f t="shared" si="14"/>
        <v>438</v>
      </c>
      <c r="D150" s="60">
        <v>0.5</v>
      </c>
      <c r="E150" s="27">
        <f t="shared" si="15"/>
        <v>365.08613689447418</v>
      </c>
      <c r="F150" s="27">
        <v>54414.534108684689</v>
      </c>
      <c r="G150" s="12"/>
    </row>
    <row r="151" spans="1:7" ht="14.25" customHeight="1" x14ac:dyDescent="0.3">
      <c r="A151" s="59">
        <v>9</v>
      </c>
      <c r="B151" s="48">
        <v>61.6455876858004</v>
      </c>
      <c r="C151" s="60">
        <f t="shared" si="14"/>
        <v>438</v>
      </c>
      <c r="D151" s="60">
        <v>0.5</v>
      </c>
      <c r="E151" s="27">
        <f t="shared" si="15"/>
        <v>351.04436239853283</v>
      </c>
      <c r="F151" s="27">
        <v>52321.667412196817</v>
      </c>
      <c r="G151" s="12"/>
    </row>
    <row r="152" spans="1:7" ht="14.25" customHeight="1" x14ac:dyDescent="0.3">
      <c r="A152" s="59">
        <v>10</v>
      </c>
      <c r="B152" s="48">
        <v>61.6455876858004</v>
      </c>
      <c r="C152" s="60">
        <f t="shared" si="14"/>
        <v>438</v>
      </c>
      <c r="D152" s="60">
        <v>0.5</v>
      </c>
      <c r="E152" s="27">
        <f t="shared" si="15"/>
        <v>337.54265615243543</v>
      </c>
      <c r="F152" s="27">
        <v>50309.295588650784</v>
      </c>
      <c r="G152" s="12"/>
    </row>
    <row r="153" spans="1:7" ht="14.25" customHeight="1" x14ac:dyDescent="0.3">
      <c r="A153" s="59">
        <v>11</v>
      </c>
      <c r="B153" s="48">
        <v>61.6455876858004</v>
      </c>
      <c r="C153" s="60">
        <f t="shared" si="14"/>
        <v>438</v>
      </c>
      <c r="D153" s="60">
        <v>0.5</v>
      </c>
      <c r="E153" s="27">
        <f t="shared" si="15"/>
        <v>324.56024630041867</v>
      </c>
      <c r="F153" s="27">
        <v>48374.322681394988</v>
      </c>
      <c r="G153" s="12"/>
    </row>
    <row r="154" spans="1:7" ht="14.25" customHeight="1" x14ac:dyDescent="0.3">
      <c r="A154" s="59">
        <v>12</v>
      </c>
      <c r="B154" s="48">
        <v>61.6455876858004</v>
      </c>
      <c r="C154" s="60">
        <f t="shared" si="14"/>
        <v>438</v>
      </c>
      <c r="D154" s="60">
        <v>0.5</v>
      </c>
      <c r="E154" s="27">
        <f t="shared" si="15"/>
        <v>312.07715990424867</v>
      </c>
      <c r="F154" s="27">
        <v>46513.771809033635</v>
      </c>
      <c r="G154" s="12"/>
    </row>
    <row r="155" spans="1:7" ht="14.25" customHeight="1" x14ac:dyDescent="0.3">
      <c r="A155" s="59">
        <v>13</v>
      </c>
      <c r="B155" s="48">
        <v>61.6455876858004</v>
      </c>
      <c r="C155" s="60">
        <f t="shared" si="14"/>
        <v>438</v>
      </c>
      <c r="D155" s="60">
        <v>0.5</v>
      </c>
      <c r="E155" s="27">
        <f t="shared" si="15"/>
        <v>300.07419221562373</v>
      </c>
      <c r="F155" s="27">
        <v>44724.78058560926</v>
      </c>
      <c r="G155" s="12"/>
    </row>
    <row r="156" spans="1:7" ht="14.25" customHeight="1" x14ac:dyDescent="0.3">
      <c r="A156" s="59">
        <v>14</v>
      </c>
      <c r="B156" s="48">
        <v>61.6455876858004</v>
      </c>
      <c r="C156" s="60">
        <f t="shared" si="14"/>
        <v>438</v>
      </c>
      <c r="D156" s="60">
        <v>0.5</v>
      </c>
      <c r="E156" s="27">
        <f t="shared" si="15"/>
        <v>288.53287713040743</v>
      </c>
      <c r="F156" s="27">
        <v>43004.596716931985</v>
      </c>
      <c r="G156" s="12"/>
    </row>
    <row r="157" spans="1:7" ht="14.25" customHeight="1" x14ac:dyDescent="0.3">
      <c r="A157" s="59">
        <v>15</v>
      </c>
      <c r="B157" s="48">
        <v>61.6455876858004</v>
      </c>
      <c r="C157" s="60">
        <f t="shared" si="14"/>
        <v>438</v>
      </c>
      <c r="D157" s="60">
        <v>0.5</v>
      </c>
      <c r="E157" s="27">
        <f t="shared" si="15"/>
        <v>277.43545877923793</v>
      </c>
      <c r="F157" s="27">
        <v>41350.573766280751</v>
      </c>
      <c r="G157" s="12"/>
    </row>
    <row r="158" spans="1:7" ht="14.25" customHeight="1" x14ac:dyDescent="0.3">
      <c r="A158" s="59">
        <v>16</v>
      </c>
      <c r="B158" s="48">
        <v>61.6455876858004</v>
      </c>
      <c r="C158" s="60">
        <f t="shared" si="14"/>
        <v>438</v>
      </c>
      <c r="D158" s="60">
        <v>0.5</v>
      </c>
      <c r="E158" s="27">
        <f t="shared" si="15"/>
        <v>266.76486421080563</v>
      </c>
      <c r="F158" s="27">
        <v>39760.167082962253</v>
      </c>
      <c r="G158" s="12"/>
    </row>
    <row r="159" spans="1:7" ht="14.25" customHeight="1" x14ac:dyDescent="0.3">
      <c r="A159" s="59">
        <v>17</v>
      </c>
      <c r="B159" s="48">
        <v>61.6455876858004</v>
      </c>
      <c r="C159" s="60">
        <f t="shared" si="14"/>
        <v>438</v>
      </c>
      <c r="D159" s="60">
        <v>0.5</v>
      </c>
      <c r="E159" s="27">
        <f t="shared" si="15"/>
        <v>256.50467712577466</v>
      </c>
      <c r="F159" s="27">
        <v>38230.929887463702</v>
      </c>
      <c r="G159" s="12"/>
    </row>
    <row r="160" spans="1:7" ht="14.25" customHeight="1" x14ac:dyDescent="0.3">
      <c r="A160" s="59">
        <v>18</v>
      </c>
      <c r="B160" s="48">
        <v>61.6455876858004</v>
      </c>
      <c r="C160" s="60">
        <f t="shared" si="14"/>
        <v>438</v>
      </c>
      <c r="D160" s="60">
        <v>0.5</v>
      </c>
      <c r="E160" s="27">
        <f t="shared" si="15"/>
        <v>246.63911262093714</v>
      </c>
      <c r="F160" s="27">
        <v>36760.509507176634</v>
      </c>
      <c r="G160" s="12"/>
    </row>
    <row r="161" spans="1:8" ht="14.25" customHeight="1" x14ac:dyDescent="0.3">
      <c r="A161" s="59">
        <v>19</v>
      </c>
      <c r="B161" s="48">
        <v>61.6455876858004</v>
      </c>
      <c r="C161" s="60">
        <f t="shared" si="14"/>
        <v>438</v>
      </c>
      <c r="D161" s="60">
        <v>0.5</v>
      </c>
      <c r="E161" s="27">
        <f t="shared" si="15"/>
        <v>237.15299290474724</v>
      </c>
      <c r="F161" s="27">
        <v>35346.643756900616</v>
      </c>
      <c r="G161" s="12"/>
    </row>
    <row r="162" spans="1:8" ht="14.25" customHeight="1" x14ac:dyDescent="0.3">
      <c r="A162" s="59">
        <v>20</v>
      </c>
      <c r="B162" s="48">
        <v>61.6455876858004</v>
      </c>
      <c r="C162" s="60">
        <f t="shared" si="14"/>
        <v>438</v>
      </c>
      <c r="D162" s="60">
        <v>0.5</v>
      </c>
      <c r="E162" s="52">
        <f t="shared" si="15"/>
        <v>228.03172394687235</v>
      </c>
      <c r="F162" s="52">
        <v>33987.157458558278</v>
      </c>
      <c r="G162" s="55"/>
      <c r="H162" s="55"/>
    </row>
    <row r="163" spans="1:8" ht="14.25" customHeight="1" x14ac:dyDescent="0.3">
      <c r="A163" s="11"/>
      <c r="B163" s="10"/>
      <c r="C163" s="10"/>
      <c r="D163" s="12"/>
      <c r="E163" s="27">
        <f>SUM(E143:E162)</f>
        <v>6790.3465934731948</v>
      </c>
      <c r="F163" s="27">
        <f>SUM(F143:F162)</f>
        <v>1012072.2453702419</v>
      </c>
      <c r="G163" s="57">
        <f>F163/E163</f>
        <v>149.0457418393097</v>
      </c>
      <c r="H163" s="20">
        <f>G163/1000</f>
        <v>0.14904574183930969</v>
      </c>
    </row>
    <row r="164" spans="1:8" s="33" customFormat="1" ht="14.25" customHeight="1" x14ac:dyDescent="0.3">
      <c r="A164" s="11"/>
      <c r="B164" s="10"/>
      <c r="C164" s="10"/>
      <c r="E164" s="14"/>
      <c r="F164" s="14"/>
      <c r="G164" s="21"/>
    </row>
    <row r="165" spans="1:8" ht="14.25" customHeight="1" x14ac:dyDescent="0.3">
      <c r="A165" s="76" t="s">
        <v>67</v>
      </c>
      <c r="B165" s="76"/>
      <c r="C165" s="76"/>
      <c r="D165" s="76"/>
      <c r="E165" s="76"/>
      <c r="F165" s="76"/>
    </row>
    <row r="166" spans="1:8" ht="14.25" customHeight="1" x14ac:dyDescent="0.3">
      <c r="A166" s="34" t="s">
        <v>46</v>
      </c>
      <c r="B166" s="58" t="s">
        <v>0</v>
      </c>
      <c r="C166" s="58" t="s">
        <v>53</v>
      </c>
      <c r="D166" s="47" t="s">
        <v>36</v>
      </c>
      <c r="E166" s="47" t="s">
        <v>64</v>
      </c>
      <c r="F166" s="47" t="s">
        <v>65</v>
      </c>
      <c r="G166" s="32"/>
    </row>
    <row r="167" spans="1:8" ht="14.25" customHeight="1" x14ac:dyDescent="0.3">
      <c r="A167" s="59">
        <v>1</v>
      </c>
      <c r="B167" s="48">
        <v>350.4</v>
      </c>
      <c r="C167" s="60">
        <f>5*0.3*8760/1000</f>
        <v>13.14</v>
      </c>
      <c r="D167" s="60">
        <v>0.3</v>
      </c>
      <c r="E167" s="27">
        <f>(B167+C167)/(1.04^A167)</f>
        <v>349.55769230769226</v>
      </c>
      <c r="F167" s="27">
        <v>71605.814685930774</v>
      </c>
      <c r="G167" s="12"/>
    </row>
    <row r="168" spans="1:8" ht="14.25" customHeight="1" x14ac:dyDescent="0.3">
      <c r="A168" s="59">
        <v>2</v>
      </c>
      <c r="B168" s="48">
        <v>350.4</v>
      </c>
      <c r="C168" s="60">
        <f t="shared" ref="C168:C186" si="16">5*0.3*8760/1000</f>
        <v>13.14</v>
      </c>
      <c r="D168" s="60">
        <v>0.3</v>
      </c>
      <c r="E168" s="27">
        <f t="shared" ref="E168:E186" si="17">(B168+C168)/(1.04^A168)</f>
        <v>336.11316568047329</v>
      </c>
      <c r="F168" s="27">
        <v>68851.744890318048</v>
      </c>
      <c r="G168" s="12"/>
    </row>
    <row r="169" spans="1:8" ht="14.25" customHeight="1" x14ac:dyDescent="0.3">
      <c r="A169" s="59">
        <v>3</v>
      </c>
      <c r="B169" s="48">
        <v>350.4</v>
      </c>
      <c r="C169" s="60">
        <f t="shared" si="16"/>
        <v>13.14</v>
      </c>
      <c r="D169" s="60">
        <v>0.3</v>
      </c>
      <c r="E169" s="27">
        <f t="shared" si="17"/>
        <v>323.18573623122433</v>
      </c>
      <c r="F169" s="27">
        <v>66203.600856075049</v>
      </c>
      <c r="G169" s="12"/>
    </row>
    <row r="170" spans="1:8" ht="14.25" customHeight="1" x14ac:dyDescent="0.3">
      <c r="A170" s="59">
        <v>4</v>
      </c>
      <c r="B170" s="48">
        <v>350.4</v>
      </c>
      <c r="C170" s="60">
        <f t="shared" si="16"/>
        <v>13.14</v>
      </c>
      <c r="D170" s="60">
        <v>0.3</v>
      </c>
      <c r="E170" s="27">
        <f t="shared" si="17"/>
        <v>310.75551560694646</v>
      </c>
      <c r="F170" s="27">
        <v>63657.308515456767</v>
      </c>
      <c r="G170" s="12"/>
    </row>
    <row r="171" spans="1:8" ht="14.25" customHeight="1" x14ac:dyDescent="0.3">
      <c r="A171" s="59">
        <v>5</v>
      </c>
      <c r="B171" s="48">
        <v>350.4</v>
      </c>
      <c r="C171" s="60">
        <f t="shared" si="16"/>
        <v>13.14</v>
      </c>
      <c r="D171" s="60">
        <v>0.3</v>
      </c>
      <c r="E171" s="27">
        <f t="shared" si="17"/>
        <v>298.80338039129464</v>
      </c>
      <c r="F171" s="27">
        <v>61208.9504956315</v>
      </c>
      <c r="G171" s="12"/>
    </row>
    <row r="172" spans="1:8" ht="14.25" customHeight="1" x14ac:dyDescent="0.3">
      <c r="A172" s="59">
        <v>6</v>
      </c>
      <c r="B172" s="48">
        <v>350.4</v>
      </c>
      <c r="C172" s="60">
        <f t="shared" si="16"/>
        <v>13.14</v>
      </c>
      <c r="D172" s="60">
        <v>0.3</v>
      </c>
      <c r="E172" s="27">
        <f t="shared" si="17"/>
        <v>287.31094268393713</v>
      </c>
      <c r="F172" s="27">
        <v>58854.760091953365</v>
      </c>
      <c r="G172" s="12"/>
    </row>
    <row r="173" spans="1:8" ht="14.25" customHeight="1" x14ac:dyDescent="0.3">
      <c r="A173" s="59">
        <v>7</v>
      </c>
      <c r="B173" s="48">
        <v>350.4</v>
      </c>
      <c r="C173" s="60">
        <f t="shared" si="16"/>
        <v>13.14</v>
      </c>
      <c r="D173" s="60">
        <v>0.3</v>
      </c>
      <c r="E173" s="27">
        <f t="shared" si="17"/>
        <v>276.26052181147804</v>
      </c>
      <c r="F173" s="27">
        <v>56591.115473032092</v>
      </c>
      <c r="G173" s="12"/>
    </row>
    <row r="174" spans="1:8" ht="14.25" customHeight="1" x14ac:dyDescent="0.3">
      <c r="A174" s="59">
        <v>8</v>
      </c>
      <c r="B174" s="48">
        <v>350.4</v>
      </c>
      <c r="C174" s="60">
        <f t="shared" si="16"/>
        <v>13.14</v>
      </c>
      <c r="D174" s="60">
        <v>0.3</v>
      </c>
      <c r="E174" s="27">
        <f t="shared" si="17"/>
        <v>265.63511712642116</v>
      </c>
      <c r="F174" s="27">
        <v>54414.534108684689</v>
      </c>
      <c r="G174" s="12"/>
    </row>
    <row r="175" spans="1:8" ht="14.25" customHeight="1" x14ac:dyDescent="0.3">
      <c r="A175" s="59">
        <v>9</v>
      </c>
      <c r="B175" s="48">
        <v>350.4</v>
      </c>
      <c r="C175" s="60">
        <f t="shared" si="16"/>
        <v>13.14</v>
      </c>
      <c r="D175" s="60">
        <v>0.3</v>
      </c>
      <c r="E175" s="27">
        <f t="shared" si="17"/>
        <v>255.41838185232803</v>
      </c>
      <c r="F175" s="27">
        <v>52321.667412196817</v>
      </c>
      <c r="G175" s="12"/>
    </row>
    <row r="176" spans="1:8" ht="14.25" customHeight="1" x14ac:dyDescent="0.3">
      <c r="A176" s="59">
        <v>10</v>
      </c>
      <c r="B176" s="48">
        <v>350.4</v>
      </c>
      <c r="C176" s="60">
        <f t="shared" si="16"/>
        <v>13.14</v>
      </c>
      <c r="D176" s="60">
        <v>0.3</v>
      </c>
      <c r="E176" s="27">
        <f t="shared" si="17"/>
        <v>245.59459793493079</v>
      </c>
      <c r="F176" s="27">
        <v>50309.295588650784</v>
      </c>
      <c r="G176" s="12"/>
    </row>
    <row r="177" spans="1:8" ht="14.25" customHeight="1" x14ac:dyDescent="0.3">
      <c r="A177" s="59">
        <v>11</v>
      </c>
      <c r="B177" s="48">
        <v>350.4</v>
      </c>
      <c r="C177" s="60">
        <f t="shared" si="16"/>
        <v>13.14</v>
      </c>
      <c r="D177" s="60">
        <v>0.3</v>
      </c>
      <c r="E177" s="27">
        <f t="shared" si="17"/>
        <v>236.1486518605104</v>
      </c>
      <c r="F177" s="27">
        <v>48374.322681394988</v>
      </c>
      <c r="G177" s="12"/>
    </row>
    <row r="178" spans="1:8" ht="14.25" customHeight="1" x14ac:dyDescent="0.3">
      <c r="A178" s="59">
        <v>12</v>
      </c>
      <c r="B178" s="48">
        <v>350.4</v>
      </c>
      <c r="C178" s="60">
        <f t="shared" si="16"/>
        <v>13.14</v>
      </c>
      <c r="D178" s="60">
        <v>0.3</v>
      </c>
      <c r="E178" s="27">
        <f t="shared" si="17"/>
        <v>227.06601140433685</v>
      </c>
      <c r="F178" s="27">
        <v>46513.771809033635</v>
      </c>
      <c r="G178" s="12"/>
    </row>
    <row r="179" spans="1:8" ht="14.25" customHeight="1" x14ac:dyDescent="0.3">
      <c r="A179" s="59">
        <v>13</v>
      </c>
      <c r="B179" s="48">
        <v>350.4</v>
      </c>
      <c r="C179" s="60">
        <f t="shared" si="16"/>
        <v>13.14</v>
      </c>
      <c r="D179" s="60">
        <v>0.3</v>
      </c>
      <c r="E179" s="27">
        <f t="shared" si="17"/>
        <v>218.33270327340082</v>
      </c>
      <c r="F179" s="27">
        <v>44724.78058560926</v>
      </c>
      <c r="G179" s="12"/>
    </row>
    <row r="180" spans="1:8" ht="14.25" customHeight="1" x14ac:dyDescent="0.3">
      <c r="A180" s="59">
        <v>14</v>
      </c>
      <c r="B180" s="48">
        <v>350.4</v>
      </c>
      <c r="C180" s="60">
        <f t="shared" si="16"/>
        <v>13.14</v>
      </c>
      <c r="D180" s="60">
        <v>0.3</v>
      </c>
      <c r="E180" s="27">
        <f t="shared" si="17"/>
        <v>209.93529160903924</v>
      </c>
      <c r="F180" s="27">
        <v>43004.596716931985</v>
      </c>
      <c r="G180" s="12"/>
    </row>
    <row r="181" spans="1:8" ht="14.25" customHeight="1" x14ac:dyDescent="0.3">
      <c r="A181" s="59">
        <v>15</v>
      </c>
      <c r="B181" s="48">
        <v>350.4</v>
      </c>
      <c r="C181" s="60">
        <f t="shared" si="16"/>
        <v>13.14</v>
      </c>
      <c r="D181" s="60">
        <v>0.3</v>
      </c>
      <c r="E181" s="27">
        <f t="shared" si="17"/>
        <v>201.86085731638391</v>
      </c>
      <c r="F181" s="27">
        <v>41350.573766280751</v>
      </c>
      <c r="G181" s="12"/>
    </row>
    <row r="182" spans="1:8" ht="14.25" customHeight="1" x14ac:dyDescent="0.3">
      <c r="A182" s="59">
        <v>16</v>
      </c>
      <c r="B182" s="48">
        <v>350.4</v>
      </c>
      <c r="C182" s="60">
        <f t="shared" si="16"/>
        <v>13.14</v>
      </c>
      <c r="D182" s="60">
        <v>0.3</v>
      </c>
      <c r="E182" s="27">
        <f t="shared" si="17"/>
        <v>194.09697818883063</v>
      </c>
      <c r="F182" s="27">
        <v>39760.167082962253</v>
      </c>
      <c r="G182" s="12"/>
    </row>
    <row r="183" spans="1:8" ht="14.25" customHeight="1" x14ac:dyDescent="0.3">
      <c r="A183" s="59">
        <v>17</v>
      </c>
      <c r="B183" s="48">
        <v>350.4</v>
      </c>
      <c r="C183" s="60">
        <f t="shared" si="16"/>
        <v>13.14</v>
      </c>
      <c r="D183" s="60">
        <v>0.3</v>
      </c>
      <c r="E183" s="27">
        <f t="shared" si="17"/>
        <v>186.63170979695252</v>
      </c>
      <c r="F183" s="27">
        <v>38230.929887463702</v>
      </c>
      <c r="G183" s="12"/>
    </row>
    <row r="184" spans="1:8" ht="14.25" customHeight="1" x14ac:dyDescent="0.3">
      <c r="A184" s="59">
        <v>18</v>
      </c>
      <c r="B184" s="48">
        <v>350.4</v>
      </c>
      <c r="C184" s="60">
        <f t="shared" si="16"/>
        <v>13.14</v>
      </c>
      <c r="D184" s="60">
        <v>0.3</v>
      </c>
      <c r="E184" s="27">
        <f t="shared" si="17"/>
        <v>179.45356711245435</v>
      </c>
      <c r="F184" s="27">
        <v>36760.509507176634</v>
      </c>
      <c r="G184" s="12"/>
    </row>
    <row r="185" spans="1:8" ht="14.25" customHeight="1" x14ac:dyDescent="0.3">
      <c r="A185" s="59">
        <v>19</v>
      </c>
      <c r="B185" s="48">
        <v>350.4</v>
      </c>
      <c r="C185" s="60">
        <f t="shared" si="16"/>
        <v>13.14</v>
      </c>
      <c r="D185" s="60">
        <v>0.3</v>
      </c>
      <c r="E185" s="27">
        <f t="shared" si="17"/>
        <v>172.5515068388984</v>
      </c>
      <c r="F185" s="27">
        <v>35346.643756900616</v>
      </c>
      <c r="G185" s="12"/>
    </row>
    <row r="186" spans="1:8" ht="14.25" customHeight="1" x14ac:dyDescent="0.3">
      <c r="A186" s="59">
        <v>20</v>
      </c>
      <c r="B186" s="48">
        <v>350.4</v>
      </c>
      <c r="C186" s="60">
        <f t="shared" si="16"/>
        <v>13.14</v>
      </c>
      <c r="D186" s="60">
        <v>0.3</v>
      </c>
      <c r="E186" s="52">
        <f t="shared" si="17"/>
        <v>165.9149104220177</v>
      </c>
      <c r="F186" s="52">
        <v>33987.157458558278</v>
      </c>
      <c r="G186" s="55"/>
      <c r="H186" s="55"/>
    </row>
    <row r="187" spans="1:8" ht="14.25" customHeight="1" x14ac:dyDescent="0.3">
      <c r="A187" s="11"/>
      <c r="B187" s="10"/>
      <c r="C187" s="10"/>
      <c r="D187" s="12"/>
      <c r="E187" s="27">
        <f>SUM(E167:E186)</f>
        <v>4940.6272394495509</v>
      </c>
      <c r="F187" s="27">
        <f>SUM(F167:F186)</f>
        <v>1012072.2453702419</v>
      </c>
      <c r="G187" s="57">
        <f>F187/E187</f>
        <v>204.84691443408707</v>
      </c>
      <c r="H187" s="20">
        <f>G187/1000</f>
        <v>0.20484691443408706</v>
      </c>
    </row>
    <row r="188" spans="1:8" ht="14.25" customHeight="1" x14ac:dyDescent="0.3"/>
    <row r="189" spans="1:8" ht="14.25" customHeight="1" x14ac:dyDescent="0.3">
      <c r="A189" s="34" t="s">
        <v>46</v>
      </c>
      <c r="B189" s="58" t="s">
        <v>0</v>
      </c>
      <c r="C189" s="58" t="s">
        <v>53</v>
      </c>
      <c r="D189" s="47" t="s">
        <v>36</v>
      </c>
      <c r="E189" s="47" t="s">
        <v>64</v>
      </c>
      <c r="F189" s="47" t="s">
        <v>65</v>
      </c>
      <c r="G189" s="32"/>
    </row>
    <row r="190" spans="1:8" ht="14.25" customHeight="1" x14ac:dyDescent="0.3">
      <c r="A190" s="59">
        <v>1</v>
      </c>
      <c r="B190" s="48">
        <v>350.4</v>
      </c>
      <c r="C190" s="60">
        <f>5*0.4*8760/1000</f>
        <v>17.52</v>
      </c>
      <c r="D190" s="60">
        <v>0.4</v>
      </c>
      <c r="E190" s="27">
        <f>(B190+C190)/(1.04^A190)</f>
        <v>353.76923076923072</v>
      </c>
      <c r="F190" s="27">
        <v>71605.814685930774</v>
      </c>
      <c r="G190" s="12"/>
    </row>
    <row r="191" spans="1:8" ht="14.25" customHeight="1" x14ac:dyDescent="0.3">
      <c r="A191" s="59">
        <v>2</v>
      </c>
      <c r="B191" s="48">
        <v>350.4</v>
      </c>
      <c r="C191" s="60">
        <f t="shared" ref="C191:C209" si="18">5*0.4*8760/1000</f>
        <v>17.52</v>
      </c>
      <c r="D191" s="60">
        <v>0.4</v>
      </c>
      <c r="E191" s="27">
        <f t="shared" ref="E191:E209" si="19">(B191+C191)/(1.04^A191)</f>
        <v>340.16272189349104</v>
      </c>
      <c r="F191" s="27">
        <v>68851.744890318048</v>
      </c>
      <c r="G191" s="12"/>
    </row>
    <row r="192" spans="1:8" ht="14.25" customHeight="1" x14ac:dyDescent="0.3">
      <c r="A192" s="59">
        <v>3</v>
      </c>
      <c r="B192" s="48">
        <v>350.4</v>
      </c>
      <c r="C192" s="60">
        <f t="shared" si="18"/>
        <v>17.52</v>
      </c>
      <c r="D192" s="60">
        <v>0.4</v>
      </c>
      <c r="E192" s="27">
        <f t="shared" si="19"/>
        <v>327.07954028220297</v>
      </c>
      <c r="F192" s="27">
        <v>66203.600856075049</v>
      </c>
      <c r="G192" s="12"/>
    </row>
    <row r="193" spans="1:7" ht="14.25" customHeight="1" x14ac:dyDescent="0.3">
      <c r="A193" s="59">
        <v>4</v>
      </c>
      <c r="B193" s="48">
        <v>350.4</v>
      </c>
      <c r="C193" s="60">
        <f t="shared" si="18"/>
        <v>17.52</v>
      </c>
      <c r="D193" s="60">
        <v>0.4</v>
      </c>
      <c r="E193" s="27">
        <f t="shared" si="19"/>
        <v>314.49955796365663</v>
      </c>
      <c r="F193" s="27">
        <v>63657.308515456767</v>
      </c>
      <c r="G193" s="12"/>
    </row>
    <row r="194" spans="1:7" ht="14.25" customHeight="1" x14ac:dyDescent="0.3">
      <c r="A194" s="59">
        <v>5</v>
      </c>
      <c r="B194" s="48">
        <v>350.4</v>
      </c>
      <c r="C194" s="60">
        <f t="shared" si="18"/>
        <v>17.52</v>
      </c>
      <c r="D194" s="60">
        <v>0.4</v>
      </c>
      <c r="E194" s="27">
        <f t="shared" si="19"/>
        <v>302.40342111890061</v>
      </c>
      <c r="F194" s="27">
        <v>61208.9504956315</v>
      </c>
      <c r="G194" s="12"/>
    </row>
    <row r="195" spans="1:7" ht="14.25" customHeight="1" x14ac:dyDescent="0.3">
      <c r="A195" s="59">
        <v>6</v>
      </c>
      <c r="B195" s="48">
        <v>350.4</v>
      </c>
      <c r="C195" s="60">
        <f t="shared" si="18"/>
        <v>17.52</v>
      </c>
      <c r="D195" s="60">
        <v>0.4</v>
      </c>
      <c r="E195" s="27">
        <f t="shared" si="19"/>
        <v>290.77252030663516</v>
      </c>
      <c r="F195" s="27">
        <v>58854.760091953365</v>
      </c>
      <c r="G195" s="12"/>
    </row>
    <row r="196" spans="1:7" ht="14.25" customHeight="1" x14ac:dyDescent="0.3">
      <c r="A196" s="59">
        <v>7</v>
      </c>
      <c r="B196" s="48">
        <v>350.4</v>
      </c>
      <c r="C196" s="60">
        <f t="shared" si="18"/>
        <v>17.52</v>
      </c>
      <c r="D196" s="60">
        <v>0.4</v>
      </c>
      <c r="E196" s="27">
        <f t="shared" si="19"/>
        <v>279.58896183330307</v>
      </c>
      <c r="F196" s="27">
        <v>56591.115473032092</v>
      </c>
      <c r="G196" s="12"/>
    </row>
    <row r="197" spans="1:7" ht="14.25" customHeight="1" x14ac:dyDescent="0.3">
      <c r="A197" s="59">
        <v>8</v>
      </c>
      <c r="B197" s="48">
        <v>350.4</v>
      </c>
      <c r="C197" s="60">
        <f t="shared" si="18"/>
        <v>17.52</v>
      </c>
      <c r="D197" s="60">
        <v>0.4</v>
      </c>
      <c r="E197" s="27">
        <f t="shared" si="19"/>
        <v>268.83554022432986</v>
      </c>
      <c r="F197" s="27">
        <v>54414.534108684689</v>
      </c>
      <c r="G197" s="12"/>
    </row>
    <row r="198" spans="1:7" ht="14.25" customHeight="1" x14ac:dyDescent="0.3">
      <c r="A198" s="59">
        <v>9</v>
      </c>
      <c r="B198" s="48">
        <v>350.4</v>
      </c>
      <c r="C198" s="60">
        <f t="shared" si="18"/>
        <v>17.52</v>
      </c>
      <c r="D198" s="60">
        <v>0.4</v>
      </c>
      <c r="E198" s="27">
        <f t="shared" si="19"/>
        <v>258.49571175416327</v>
      </c>
      <c r="F198" s="27">
        <v>52321.667412196817</v>
      </c>
      <c r="G198" s="12"/>
    </row>
    <row r="199" spans="1:7" ht="14.25" customHeight="1" x14ac:dyDescent="0.3">
      <c r="A199" s="59">
        <v>10</v>
      </c>
      <c r="B199" s="48">
        <v>350.4</v>
      </c>
      <c r="C199" s="60">
        <f t="shared" si="18"/>
        <v>17.52</v>
      </c>
      <c r="D199" s="60">
        <v>0.4</v>
      </c>
      <c r="E199" s="27">
        <f t="shared" si="19"/>
        <v>248.55356899438777</v>
      </c>
      <c r="F199" s="27">
        <v>50309.295588650784</v>
      </c>
      <c r="G199" s="12"/>
    </row>
    <row r="200" spans="1:7" ht="14.25" customHeight="1" x14ac:dyDescent="0.3">
      <c r="A200" s="59">
        <v>11</v>
      </c>
      <c r="B200" s="48">
        <v>350.4</v>
      </c>
      <c r="C200" s="60">
        <f t="shared" si="18"/>
        <v>17.52</v>
      </c>
      <c r="D200" s="60">
        <v>0.4</v>
      </c>
      <c r="E200" s="27">
        <f t="shared" si="19"/>
        <v>238.99381634075749</v>
      </c>
      <c r="F200" s="27">
        <v>48374.322681394988</v>
      </c>
      <c r="G200" s="12"/>
    </row>
    <row r="201" spans="1:7" ht="14.25" customHeight="1" x14ac:dyDescent="0.3">
      <c r="A201" s="59">
        <v>12</v>
      </c>
      <c r="B201" s="48">
        <v>350.4</v>
      </c>
      <c r="C201" s="60">
        <f t="shared" si="18"/>
        <v>17.52</v>
      </c>
      <c r="D201" s="60">
        <v>0.4</v>
      </c>
      <c r="E201" s="27">
        <f t="shared" si="19"/>
        <v>229.80174648149753</v>
      </c>
      <c r="F201" s="27">
        <v>46513.771809033635</v>
      </c>
      <c r="G201" s="12"/>
    </row>
    <row r="202" spans="1:7" ht="14.25" customHeight="1" x14ac:dyDescent="0.3">
      <c r="A202" s="59">
        <v>13</v>
      </c>
      <c r="B202" s="48">
        <v>350.4</v>
      </c>
      <c r="C202" s="60">
        <f t="shared" si="18"/>
        <v>17.52</v>
      </c>
      <c r="D202" s="60">
        <v>0.4</v>
      </c>
      <c r="E202" s="27">
        <f t="shared" si="19"/>
        <v>220.9632177706707</v>
      </c>
      <c r="F202" s="27">
        <v>44724.78058560926</v>
      </c>
      <c r="G202" s="12"/>
    </row>
    <row r="203" spans="1:7" ht="14.25" customHeight="1" x14ac:dyDescent="0.3">
      <c r="A203" s="59">
        <v>14</v>
      </c>
      <c r="B203" s="48">
        <v>350.4</v>
      </c>
      <c r="C203" s="60">
        <f t="shared" si="18"/>
        <v>17.52</v>
      </c>
      <c r="D203" s="60">
        <v>0.4</v>
      </c>
      <c r="E203" s="27">
        <f t="shared" si="19"/>
        <v>212.46463247179875</v>
      </c>
      <c r="F203" s="27">
        <v>43004.596716931985</v>
      </c>
      <c r="G203" s="12"/>
    </row>
    <row r="204" spans="1:7" ht="14.25" customHeight="1" x14ac:dyDescent="0.3">
      <c r="A204" s="59">
        <v>15</v>
      </c>
      <c r="B204" s="48">
        <v>350.4</v>
      </c>
      <c r="C204" s="60">
        <f t="shared" si="18"/>
        <v>17.52</v>
      </c>
      <c r="D204" s="60">
        <v>0.4</v>
      </c>
      <c r="E204" s="27">
        <f t="shared" si="19"/>
        <v>204.29291583826804</v>
      </c>
      <c r="F204" s="27">
        <v>41350.573766280751</v>
      </c>
      <c r="G204" s="12"/>
    </row>
    <row r="205" spans="1:7" ht="14.25" customHeight="1" x14ac:dyDescent="0.3">
      <c r="A205" s="59">
        <v>16</v>
      </c>
      <c r="B205" s="48">
        <v>350.4</v>
      </c>
      <c r="C205" s="60">
        <f t="shared" si="18"/>
        <v>17.52</v>
      </c>
      <c r="D205" s="60">
        <v>0.4</v>
      </c>
      <c r="E205" s="27">
        <f t="shared" si="19"/>
        <v>196.43549599833463</v>
      </c>
      <c r="F205" s="27">
        <v>39760.167082962253</v>
      </c>
      <c r="G205" s="12"/>
    </row>
    <row r="206" spans="1:7" ht="14.25" customHeight="1" x14ac:dyDescent="0.3">
      <c r="A206" s="59">
        <v>17</v>
      </c>
      <c r="B206" s="48">
        <v>350.4</v>
      </c>
      <c r="C206" s="60">
        <f t="shared" si="18"/>
        <v>17.52</v>
      </c>
      <c r="D206" s="60">
        <v>0.4</v>
      </c>
      <c r="E206" s="27">
        <f t="shared" si="19"/>
        <v>188.88028461378329</v>
      </c>
      <c r="F206" s="27">
        <v>38230.929887463702</v>
      </c>
      <c r="G206" s="12"/>
    </row>
    <row r="207" spans="1:7" ht="14.25" customHeight="1" x14ac:dyDescent="0.3">
      <c r="A207" s="59">
        <v>18</v>
      </c>
      <c r="B207" s="48">
        <v>350.4</v>
      </c>
      <c r="C207" s="60">
        <f t="shared" si="18"/>
        <v>17.52</v>
      </c>
      <c r="D207" s="60">
        <v>0.4</v>
      </c>
      <c r="E207" s="27">
        <f t="shared" si="19"/>
        <v>181.61565828248391</v>
      </c>
      <c r="F207" s="27">
        <v>36760.509507176634</v>
      </c>
      <c r="G207" s="12"/>
    </row>
    <row r="208" spans="1:7" ht="14.25" customHeight="1" x14ac:dyDescent="0.3">
      <c r="A208" s="59">
        <v>19</v>
      </c>
      <c r="B208" s="48">
        <v>350.4</v>
      </c>
      <c r="C208" s="60">
        <f t="shared" si="18"/>
        <v>17.52</v>
      </c>
      <c r="D208" s="60">
        <v>0.4</v>
      </c>
      <c r="E208" s="27">
        <f t="shared" si="19"/>
        <v>174.63044065623453</v>
      </c>
      <c r="F208" s="27">
        <v>35346.643756900616</v>
      </c>
      <c r="G208" s="12"/>
    </row>
    <row r="209" spans="1:8" ht="14.25" customHeight="1" x14ac:dyDescent="0.3">
      <c r="A209" s="59">
        <v>20</v>
      </c>
      <c r="B209" s="48">
        <v>350.4</v>
      </c>
      <c r="C209" s="60">
        <f t="shared" si="18"/>
        <v>17.52</v>
      </c>
      <c r="D209" s="60">
        <v>0.4</v>
      </c>
      <c r="E209" s="52">
        <f t="shared" si="19"/>
        <v>167.91388524637935</v>
      </c>
      <c r="F209" s="52">
        <v>33987.157458558278</v>
      </c>
      <c r="G209" s="55"/>
      <c r="H209" s="55"/>
    </row>
    <row r="210" spans="1:8" ht="14.25" customHeight="1" x14ac:dyDescent="0.3">
      <c r="A210" s="11"/>
      <c r="B210" s="10"/>
      <c r="C210" s="10"/>
      <c r="D210" s="12"/>
      <c r="E210" s="27">
        <f>SUM(E190:E209)</f>
        <v>5000.1528688405097</v>
      </c>
      <c r="F210" s="27">
        <f>SUM(F190:F209)</f>
        <v>1012072.2453702419</v>
      </c>
      <c r="G210" s="57">
        <f>F210/E210</f>
        <v>202.40826069082411</v>
      </c>
      <c r="H210" s="20">
        <f>G210/1000</f>
        <v>0.2024082606908241</v>
      </c>
    </row>
    <row r="211" spans="1:8" ht="14.25" customHeight="1" x14ac:dyDescent="0.3"/>
    <row r="212" spans="1:8" ht="14.25" customHeight="1" x14ac:dyDescent="0.3">
      <c r="A212" s="34" t="s">
        <v>46</v>
      </c>
      <c r="B212" s="58" t="s">
        <v>0</v>
      </c>
      <c r="C212" s="58" t="s">
        <v>53</v>
      </c>
      <c r="D212" s="47" t="s">
        <v>36</v>
      </c>
      <c r="E212" s="47" t="s">
        <v>64</v>
      </c>
      <c r="F212" s="47" t="s">
        <v>65</v>
      </c>
      <c r="G212" s="32"/>
    </row>
    <row r="213" spans="1:8" ht="14.25" customHeight="1" x14ac:dyDescent="0.3">
      <c r="A213" s="59">
        <v>1</v>
      </c>
      <c r="B213" s="48">
        <v>350.4</v>
      </c>
      <c r="C213" s="60">
        <f>5*0.45*8760/1000</f>
        <v>19.71</v>
      </c>
      <c r="D213" s="60">
        <v>0.45</v>
      </c>
      <c r="E213" s="27">
        <f>(B213+C213)/(1.04^A213)</f>
        <v>355.87499999999994</v>
      </c>
      <c r="F213" s="27">
        <v>71605.814685930774</v>
      </c>
      <c r="G213" s="12"/>
    </row>
    <row r="214" spans="1:8" ht="14.25" customHeight="1" x14ac:dyDescent="0.3">
      <c r="A214" s="59">
        <v>2</v>
      </c>
      <c r="B214" s="48">
        <v>350.4</v>
      </c>
      <c r="C214" s="60">
        <f t="shared" ref="C214:C232" si="20">5*0.45*8760/1000</f>
        <v>19.71</v>
      </c>
      <c r="D214" s="60">
        <v>0.45</v>
      </c>
      <c r="E214" s="27">
        <f t="shared" ref="E214:E232" si="21">(B214+C214)/(1.04^A214)</f>
        <v>342.18749999999994</v>
      </c>
      <c r="F214" s="27">
        <v>68851.744890318048</v>
      </c>
      <c r="G214" s="12"/>
    </row>
    <row r="215" spans="1:8" ht="14.25" customHeight="1" x14ac:dyDescent="0.3">
      <c r="A215" s="59">
        <v>3</v>
      </c>
      <c r="B215" s="48">
        <v>350.4</v>
      </c>
      <c r="C215" s="60">
        <f t="shared" si="20"/>
        <v>19.71</v>
      </c>
      <c r="D215" s="60">
        <v>0.45</v>
      </c>
      <c r="E215" s="27">
        <f t="shared" si="21"/>
        <v>329.02644230769226</v>
      </c>
      <c r="F215" s="27">
        <v>66203.600856075049</v>
      </c>
      <c r="G215" s="12"/>
    </row>
    <row r="216" spans="1:8" ht="14.25" customHeight="1" x14ac:dyDescent="0.3">
      <c r="A216" s="59">
        <v>4</v>
      </c>
      <c r="B216" s="48">
        <v>350.4</v>
      </c>
      <c r="C216" s="60">
        <f t="shared" si="20"/>
        <v>19.71</v>
      </c>
      <c r="D216" s="60">
        <v>0.45</v>
      </c>
      <c r="E216" s="27">
        <f t="shared" si="21"/>
        <v>316.37157914201174</v>
      </c>
      <c r="F216" s="27">
        <v>63657.308515456767</v>
      </c>
      <c r="G216" s="12"/>
    </row>
    <row r="217" spans="1:8" ht="14.25" customHeight="1" x14ac:dyDescent="0.3">
      <c r="A217" s="59">
        <v>5</v>
      </c>
      <c r="B217" s="48">
        <v>350.4</v>
      </c>
      <c r="C217" s="60">
        <f t="shared" si="20"/>
        <v>19.71</v>
      </c>
      <c r="D217" s="60">
        <v>0.45</v>
      </c>
      <c r="E217" s="27">
        <f t="shared" si="21"/>
        <v>304.20344148270357</v>
      </c>
      <c r="F217" s="27">
        <v>61208.9504956315</v>
      </c>
      <c r="G217" s="12"/>
    </row>
    <row r="218" spans="1:8" ht="14.25" customHeight="1" x14ac:dyDescent="0.3">
      <c r="A218" s="59">
        <v>6</v>
      </c>
      <c r="B218" s="48">
        <v>350.4</v>
      </c>
      <c r="C218" s="60">
        <f t="shared" si="20"/>
        <v>19.71</v>
      </c>
      <c r="D218" s="60">
        <v>0.45</v>
      </c>
      <c r="E218" s="27">
        <f t="shared" si="21"/>
        <v>292.5033091179842</v>
      </c>
      <c r="F218" s="27">
        <v>58854.760091953365</v>
      </c>
      <c r="G218" s="12"/>
    </row>
    <row r="219" spans="1:8" ht="14.25" customHeight="1" x14ac:dyDescent="0.3">
      <c r="A219" s="59">
        <v>7</v>
      </c>
      <c r="B219" s="48">
        <v>350.4</v>
      </c>
      <c r="C219" s="60">
        <f t="shared" si="20"/>
        <v>19.71</v>
      </c>
      <c r="D219" s="60">
        <v>0.45</v>
      </c>
      <c r="E219" s="27">
        <f t="shared" si="21"/>
        <v>281.25318184421559</v>
      </c>
      <c r="F219" s="27">
        <v>56591.115473032092</v>
      </c>
      <c r="G219" s="12"/>
    </row>
    <row r="220" spans="1:8" ht="14.25" customHeight="1" x14ac:dyDescent="0.3">
      <c r="A220" s="59">
        <v>8</v>
      </c>
      <c r="B220" s="48">
        <v>350.4</v>
      </c>
      <c r="C220" s="60">
        <f t="shared" si="20"/>
        <v>19.71</v>
      </c>
      <c r="D220" s="60">
        <v>0.45</v>
      </c>
      <c r="E220" s="27">
        <f t="shared" si="21"/>
        <v>270.43575177328421</v>
      </c>
      <c r="F220" s="27">
        <v>54414.534108684689</v>
      </c>
      <c r="G220" s="12"/>
    </row>
    <row r="221" spans="1:8" ht="14.25" customHeight="1" x14ac:dyDescent="0.3">
      <c r="A221" s="59">
        <v>9</v>
      </c>
      <c r="B221" s="48">
        <v>350.4</v>
      </c>
      <c r="C221" s="60">
        <f t="shared" si="20"/>
        <v>19.71</v>
      </c>
      <c r="D221" s="60">
        <v>0.45</v>
      </c>
      <c r="E221" s="27">
        <f t="shared" si="21"/>
        <v>260.03437670508094</v>
      </c>
      <c r="F221" s="27">
        <v>52321.667412196817</v>
      </c>
      <c r="G221" s="12"/>
    </row>
    <row r="222" spans="1:8" ht="14.25" customHeight="1" x14ac:dyDescent="0.3">
      <c r="A222" s="59">
        <v>10</v>
      </c>
      <c r="B222" s="48">
        <v>350.4</v>
      </c>
      <c r="C222" s="60">
        <f t="shared" si="20"/>
        <v>19.71</v>
      </c>
      <c r="D222" s="60">
        <v>0.45</v>
      </c>
      <c r="E222" s="27">
        <f t="shared" si="21"/>
        <v>250.03305452411627</v>
      </c>
      <c r="F222" s="27">
        <v>50309.295588650784</v>
      </c>
      <c r="G222" s="12"/>
    </row>
    <row r="223" spans="1:8" ht="14.25" customHeight="1" x14ac:dyDescent="0.3">
      <c r="A223" s="59">
        <v>11</v>
      </c>
      <c r="B223" s="48">
        <v>350.4</v>
      </c>
      <c r="C223" s="60">
        <f t="shared" si="20"/>
        <v>19.71</v>
      </c>
      <c r="D223" s="60">
        <v>0.45</v>
      </c>
      <c r="E223" s="27">
        <f t="shared" si="21"/>
        <v>240.41639858088104</v>
      </c>
      <c r="F223" s="27">
        <v>48374.322681394988</v>
      </c>
      <c r="G223" s="12"/>
    </row>
    <row r="224" spans="1:8" ht="14.25" customHeight="1" x14ac:dyDescent="0.3">
      <c r="A224" s="59">
        <v>12</v>
      </c>
      <c r="B224" s="48">
        <v>350.4</v>
      </c>
      <c r="C224" s="60">
        <f t="shared" si="20"/>
        <v>19.71</v>
      </c>
      <c r="D224" s="60">
        <v>0.45</v>
      </c>
      <c r="E224" s="27">
        <f t="shared" si="21"/>
        <v>231.16961402007789</v>
      </c>
      <c r="F224" s="27">
        <v>46513.771809033635</v>
      </c>
      <c r="G224" s="12"/>
    </row>
    <row r="225" spans="1:8" ht="14.25" customHeight="1" x14ac:dyDescent="0.3">
      <c r="A225" s="59">
        <v>13</v>
      </c>
      <c r="B225" s="48">
        <v>350.4</v>
      </c>
      <c r="C225" s="60">
        <f t="shared" si="20"/>
        <v>19.71</v>
      </c>
      <c r="D225" s="60">
        <v>0.45</v>
      </c>
      <c r="E225" s="27">
        <f t="shared" si="21"/>
        <v>222.27847501930566</v>
      </c>
      <c r="F225" s="27">
        <v>44724.78058560926</v>
      </c>
      <c r="G225" s="12"/>
    </row>
    <row r="226" spans="1:8" ht="14.25" customHeight="1" x14ac:dyDescent="0.3">
      <c r="A226" s="59">
        <v>14</v>
      </c>
      <c r="B226" s="48">
        <v>350.4</v>
      </c>
      <c r="C226" s="60">
        <f t="shared" si="20"/>
        <v>19.71</v>
      </c>
      <c r="D226" s="60">
        <v>0.45</v>
      </c>
      <c r="E226" s="27">
        <f t="shared" si="21"/>
        <v>213.72930290317851</v>
      </c>
      <c r="F226" s="27">
        <v>43004.596716931985</v>
      </c>
      <c r="G226" s="12"/>
    </row>
    <row r="227" spans="1:8" ht="14.25" customHeight="1" x14ac:dyDescent="0.3">
      <c r="A227" s="59">
        <v>15</v>
      </c>
      <c r="B227" s="48">
        <v>350.4</v>
      </c>
      <c r="C227" s="60">
        <f t="shared" si="20"/>
        <v>19.71</v>
      </c>
      <c r="D227" s="60">
        <v>0.45</v>
      </c>
      <c r="E227" s="27">
        <f t="shared" si="21"/>
        <v>205.50894509921011</v>
      </c>
      <c r="F227" s="27">
        <v>41350.573766280751</v>
      </c>
      <c r="G227" s="12"/>
    </row>
    <row r="228" spans="1:8" ht="14.25" customHeight="1" x14ac:dyDescent="0.3">
      <c r="A228" s="59">
        <v>16</v>
      </c>
      <c r="B228" s="48">
        <v>350.4</v>
      </c>
      <c r="C228" s="60">
        <f t="shared" si="20"/>
        <v>19.71</v>
      </c>
      <c r="D228" s="60">
        <v>0.45</v>
      </c>
      <c r="E228" s="27">
        <f t="shared" si="21"/>
        <v>197.60475490308662</v>
      </c>
      <c r="F228" s="27">
        <v>39760.167082962253</v>
      </c>
      <c r="G228" s="12"/>
    </row>
    <row r="229" spans="1:8" ht="14.25" customHeight="1" x14ac:dyDescent="0.3">
      <c r="A229" s="59">
        <v>17</v>
      </c>
      <c r="B229" s="48">
        <v>350.4</v>
      </c>
      <c r="C229" s="60">
        <f t="shared" si="20"/>
        <v>19.71</v>
      </c>
      <c r="D229" s="60">
        <v>0.45</v>
      </c>
      <c r="E229" s="27">
        <f t="shared" si="21"/>
        <v>190.00457202219866</v>
      </c>
      <c r="F229" s="27">
        <v>38230.929887463702</v>
      </c>
      <c r="G229" s="12"/>
    </row>
    <row r="230" spans="1:8" ht="14.25" customHeight="1" x14ac:dyDescent="0.3">
      <c r="A230" s="59">
        <v>18</v>
      </c>
      <c r="B230" s="48">
        <v>350.4</v>
      </c>
      <c r="C230" s="60">
        <f t="shared" si="20"/>
        <v>19.71</v>
      </c>
      <c r="D230" s="60">
        <v>0.45</v>
      </c>
      <c r="E230" s="27">
        <f t="shared" si="21"/>
        <v>182.69670386749868</v>
      </c>
      <c r="F230" s="27">
        <v>36760.509507176634</v>
      </c>
      <c r="G230" s="12"/>
    </row>
    <row r="231" spans="1:8" ht="14.25" customHeight="1" x14ac:dyDescent="0.3">
      <c r="A231" s="59">
        <v>19</v>
      </c>
      <c r="B231" s="48">
        <v>350.4</v>
      </c>
      <c r="C231" s="60">
        <f t="shared" si="20"/>
        <v>19.71</v>
      </c>
      <c r="D231" s="60">
        <v>0.45</v>
      </c>
      <c r="E231" s="27">
        <f t="shared" si="21"/>
        <v>175.66990756490259</v>
      </c>
      <c r="F231" s="27">
        <v>35346.643756900616</v>
      </c>
      <c r="G231" s="12"/>
    </row>
    <row r="232" spans="1:8" ht="14.25" customHeight="1" x14ac:dyDescent="0.3">
      <c r="A232" s="59">
        <v>20</v>
      </c>
      <c r="B232" s="48">
        <v>350.4</v>
      </c>
      <c r="C232" s="60">
        <f t="shared" si="20"/>
        <v>19.71</v>
      </c>
      <c r="D232" s="60">
        <v>0.45</v>
      </c>
      <c r="E232" s="52">
        <f t="shared" si="21"/>
        <v>168.91337265856018</v>
      </c>
      <c r="F232" s="52">
        <v>33987.157458558278</v>
      </c>
      <c r="G232" s="55"/>
      <c r="H232" s="55"/>
    </row>
    <row r="233" spans="1:8" ht="14.25" customHeight="1" x14ac:dyDescent="0.3">
      <c r="A233" s="11"/>
      <c r="B233" s="10"/>
      <c r="C233" s="10"/>
      <c r="D233" s="12"/>
      <c r="E233" s="27">
        <f>SUM(E213:E232)</f>
        <v>5029.9156835359881</v>
      </c>
      <c r="F233" s="27">
        <f>SUM(F213:F232)</f>
        <v>1012072.2453702419</v>
      </c>
      <c r="G233" s="57">
        <f>F233/E233</f>
        <v>201.21057867490211</v>
      </c>
      <c r="H233" s="20">
        <f>G233/1000</f>
        <v>0.20121057867490211</v>
      </c>
    </row>
    <row r="234" spans="1:8" ht="14.25" customHeight="1" x14ac:dyDescent="0.3"/>
    <row r="235" spans="1:8" ht="14.25" customHeight="1" x14ac:dyDescent="0.3">
      <c r="A235" s="34" t="s">
        <v>46</v>
      </c>
      <c r="B235" s="58" t="s">
        <v>0</v>
      </c>
      <c r="C235" s="58" t="s">
        <v>53</v>
      </c>
      <c r="D235" s="47" t="s">
        <v>36</v>
      </c>
      <c r="E235" s="47" t="s">
        <v>64</v>
      </c>
      <c r="F235" s="47" t="s">
        <v>65</v>
      </c>
      <c r="G235" s="32"/>
    </row>
    <row r="236" spans="1:8" ht="14.25" customHeight="1" x14ac:dyDescent="0.3">
      <c r="A236" s="59">
        <v>1</v>
      </c>
      <c r="B236" s="48">
        <v>350.4</v>
      </c>
      <c r="C236" s="60">
        <f>5*0.5*8760/1000</f>
        <v>21.9</v>
      </c>
      <c r="D236" s="60">
        <v>0.5</v>
      </c>
      <c r="E236" s="27">
        <f>(B236+C236)/(1.04^A236)</f>
        <v>357.98076923076917</v>
      </c>
      <c r="F236" s="27">
        <v>71605.814685930774</v>
      </c>
      <c r="G236" s="12"/>
    </row>
    <row r="237" spans="1:8" ht="14.25" customHeight="1" x14ac:dyDescent="0.3">
      <c r="A237" s="59">
        <v>2</v>
      </c>
      <c r="B237" s="48">
        <v>350.4</v>
      </c>
      <c r="C237" s="60">
        <f t="shared" ref="C237:C255" si="22">5*0.5*8760/1000</f>
        <v>21.9</v>
      </c>
      <c r="D237" s="60">
        <v>0.5</v>
      </c>
      <c r="E237" s="27">
        <f t="shared" ref="E237:E255" si="23">(B237+C237)/(1.04^A237)</f>
        <v>344.21227810650879</v>
      </c>
      <c r="F237" s="27">
        <v>68851.744890318048</v>
      </c>
      <c r="G237" s="12"/>
    </row>
    <row r="238" spans="1:8" ht="14.25" customHeight="1" x14ac:dyDescent="0.3">
      <c r="A238" s="59">
        <v>3</v>
      </c>
      <c r="B238" s="48">
        <v>350.4</v>
      </c>
      <c r="C238" s="60">
        <f t="shared" si="22"/>
        <v>21.9</v>
      </c>
      <c r="D238" s="60">
        <v>0.5</v>
      </c>
      <c r="E238" s="27">
        <f t="shared" si="23"/>
        <v>330.97334433318156</v>
      </c>
      <c r="F238" s="27">
        <v>66203.600856075049</v>
      </c>
      <c r="G238" s="12"/>
    </row>
    <row r="239" spans="1:8" ht="14.25" customHeight="1" x14ac:dyDescent="0.3">
      <c r="A239" s="59">
        <v>4</v>
      </c>
      <c r="B239" s="48">
        <v>350.4</v>
      </c>
      <c r="C239" s="60">
        <f t="shared" si="22"/>
        <v>21.9</v>
      </c>
      <c r="D239" s="60">
        <v>0.5</v>
      </c>
      <c r="E239" s="27">
        <f t="shared" si="23"/>
        <v>318.24360032036685</v>
      </c>
      <c r="F239" s="27">
        <v>63657.308515456767</v>
      </c>
      <c r="G239" s="12"/>
    </row>
    <row r="240" spans="1:8" ht="14.25" customHeight="1" x14ac:dyDescent="0.3">
      <c r="A240" s="59">
        <v>5</v>
      </c>
      <c r="B240" s="48">
        <v>350.4</v>
      </c>
      <c r="C240" s="60">
        <f t="shared" si="22"/>
        <v>21.9</v>
      </c>
      <c r="D240" s="60">
        <v>0.5</v>
      </c>
      <c r="E240" s="27">
        <f t="shared" si="23"/>
        <v>306.00346184650653</v>
      </c>
      <c r="F240" s="27">
        <v>61208.9504956315</v>
      </c>
      <c r="G240" s="12"/>
    </row>
    <row r="241" spans="1:8" ht="14.25" customHeight="1" x14ac:dyDescent="0.3">
      <c r="A241" s="59">
        <v>6</v>
      </c>
      <c r="B241" s="48">
        <v>350.4</v>
      </c>
      <c r="C241" s="60">
        <f t="shared" si="22"/>
        <v>21.9</v>
      </c>
      <c r="D241" s="60">
        <v>0.5</v>
      </c>
      <c r="E241" s="27">
        <f t="shared" si="23"/>
        <v>294.23409792933319</v>
      </c>
      <c r="F241" s="27">
        <v>58854.760091953365</v>
      </c>
      <c r="G241" s="12"/>
    </row>
    <row r="242" spans="1:8" ht="14.25" customHeight="1" x14ac:dyDescent="0.3">
      <c r="A242" s="59">
        <v>7</v>
      </c>
      <c r="B242" s="48">
        <v>350.4</v>
      </c>
      <c r="C242" s="60">
        <f t="shared" si="22"/>
        <v>21.9</v>
      </c>
      <c r="D242" s="60">
        <v>0.5</v>
      </c>
      <c r="E242" s="27">
        <f t="shared" si="23"/>
        <v>282.91740185512811</v>
      </c>
      <c r="F242" s="27">
        <v>56591.115473032092</v>
      </c>
      <c r="G242" s="12"/>
    </row>
    <row r="243" spans="1:8" ht="14.25" customHeight="1" x14ac:dyDescent="0.3">
      <c r="A243" s="59">
        <v>8</v>
      </c>
      <c r="B243" s="48">
        <v>350.4</v>
      </c>
      <c r="C243" s="60">
        <f t="shared" si="22"/>
        <v>21.9</v>
      </c>
      <c r="D243" s="60">
        <v>0.5</v>
      </c>
      <c r="E243" s="27">
        <f t="shared" si="23"/>
        <v>272.0359633222385</v>
      </c>
      <c r="F243" s="27">
        <v>54414.534108684689</v>
      </c>
      <c r="G243" s="12"/>
    </row>
    <row r="244" spans="1:8" ht="14.25" customHeight="1" x14ac:dyDescent="0.3">
      <c r="A244" s="59">
        <v>9</v>
      </c>
      <c r="B244" s="48">
        <v>350.4</v>
      </c>
      <c r="C244" s="60">
        <f t="shared" si="22"/>
        <v>21.9</v>
      </c>
      <c r="D244" s="60">
        <v>0.5</v>
      </c>
      <c r="E244" s="27">
        <f t="shared" si="23"/>
        <v>261.57304165599857</v>
      </c>
      <c r="F244" s="27">
        <v>52321.667412196817</v>
      </c>
      <c r="G244" s="12"/>
    </row>
    <row r="245" spans="1:8" ht="14.25" customHeight="1" x14ac:dyDescent="0.3">
      <c r="A245" s="59">
        <v>10</v>
      </c>
      <c r="B245" s="48">
        <v>350.4</v>
      </c>
      <c r="C245" s="60">
        <f t="shared" si="22"/>
        <v>21.9</v>
      </c>
      <c r="D245" s="60">
        <v>0.5</v>
      </c>
      <c r="E245" s="27">
        <f t="shared" si="23"/>
        <v>251.51254005384476</v>
      </c>
      <c r="F245" s="27">
        <v>50309.295588650784</v>
      </c>
      <c r="G245" s="12"/>
    </row>
    <row r="246" spans="1:8" ht="14.25" customHeight="1" x14ac:dyDescent="0.3">
      <c r="A246" s="59">
        <v>11</v>
      </c>
      <c r="B246" s="48">
        <v>350.4</v>
      </c>
      <c r="C246" s="60">
        <f t="shared" si="22"/>
        <v>21.9</v>
      </c>
      <c r="D246" s="60">
        <v>0.5</v>
      </c>
      <c r="E246" s="27">
        <f t="shared" si="23"/>
        <v>241.83898082100461</v>
      </c>
      <c r="F246" s="27">
        <v>48374.322681394988</v>
      </c>
      <c r="G246" s="12"/>
    </row>
    <row r="247" spans="1:8" ht="14.25" customHeight="1" x14ac:dyDescent="0.3">
      <c r="A247" s="59">
        <v>12</v>
      </c>
      <c r="B247" s="48">
        <v>350.4</v>
      </c>
      <c r="C247" s="60">
        <f t="shared" si="22"/>
        <v>21.9</v>
      </c>
      <c r="D247" s="60">
        <v>0.5</v>
      </c>
      <c r="E247" s="27">
        <f t="shared" si="23"/>
        <v>232.53748155865821</v>
      </c>
      <c r="F247" s="27">
        <v>46513.771809033635</v>
      </c>
      <c r="G247" s="12"/>
    </row>
    <row r="248" spans="1:8" ht="14.25" customHeight="1" x14ac:dyDescent="0.3">
      <c r="A248" s="59">
        <v>13</v>
      </c>
      <c r="B248" s="48">
        <v>350.4</v>
      </c>
      <c r="C248" s="60">
        <f t="shared" si="22"/>
        <v>21.9</v>
      </c>
      <c r="D248" s="60">
        <v>0.5</v>
      </c>
      <c r="E248" s="27">
        <f t="shared" si="23"/>
        <v>223.5937322679406</v>
      </c>
      <c r="F248" s="27">
        <v>44724.78058560926</v>
      </c>
      <c r="G248" s="12"/>
    </row>
    <row r="249" spans="1:8" ht="14.25" customHeight="1" x14ac:dyDescent="0.3">
      <c r="A249" s="59">
        <v>14</v>
      </c>
      <c r="B249" s="48">
        <v>350.4</v>
      </c>
      <c r="C249" s="60">
        <f t="shared" si="22"/>
        <v>21.9</v>
      </c>
      <c r="D249" s="60">
        <v>0.5</v>
      </c>
      <c r="E249" s="27">
        <f t="shared" si="23"/>
        <v>214.99397333455826</v>
      </c>
      <c r="F249" s="27">
        <v>43004.596716931985</v>
      </c>
      <c r="G249" s="12"/>
    </row>
    <row r="250" spans="1:8" ht="14.25" customHeight="1" x14ac:dyDescent="0.3">
      <c r="A250" s="59">
        <v>15</v>
      </c>
      <c r="B250" s="48">
        <v>350.4</v>
      </c>
      <c r="C250" s="60">
        <f t="shared" si="22"/>
        <v>21.9</v>
      </c>
      <c r="D250" s="60">
        <v>0.5</v>
      </c>
      <c r="E250" s="27">
        <f t="shared" si="23"/>
        <v>206.72497436015217</v>
      </c>
      <c r="F250" s="27">
        <v>41350.573766280751</v>
      </c>
      <c r="G250" s="12"/>
    </row>
    <row r="251" spans="1:8" ht="14.25" customHeight="1" x14ac:dyDescent="0.3">
      <c r="A251" s="59">
        <v>16</v>
      </c>
      <c r="B251" s="48">
        <v>350.4</v>
      </c>
      <c r="C251" s="60">
        <f t="shared" si="22"/>
        <v>21.9</v>
      </c>
      <c r="D251" s="60">
        <v>0.5</v>
      </c>
      <c r="E251" s="27">
        <f t="shared" si="23"/>
        <v>198.7740138078386</v>
      </c>
      <c r="F251" s="27">
        <v>39760.167082962253</v>
      </c>
      <c r="G251" s="12"/>
    </row>
    <row r="252" spans="1:8" ht="14.25" customHeight="1" x14ac:dyDescent="0.3">
      <c r="A252" s="59">
        <v>17</v>
      </c>
      <c r="B252" s="48">
        <v>350.4</v>
      </c>
      <c r="C252" s="60">
        <f t="shared" si="22"/>
        <v>21.9</v>
      </c>
      <c r="D252" s="60">
        <v>0.5</v>
      </c>
      <c r="E252" s="27">
        <f t="shared" si="23"/>
        <v>191.12885943061403</v>
      </c>
      <c r="F252" s="27">
        <v>38230.929887463702</v>
      </c>
      <c r="G252" s="12"/>
    </row>
    <row r="253" spans="1:8" ht="14.25" customHeight="1" x14ac:dyDescent="0.3">
      <c r="A253" s="59">
        <v>18</v>
      </c>
      <c r="B253" s="48">
        <v>350.4</v>
      </c>
      <c r="C253" s="60">
        <f t="shared" si="22"/>
        <v>21.9</v>
      </c>
      <c r="D253" s="60">
        <v>0.5</v>
      </c>
      <c r="E253" s="27">
        <f t="shared" si="23"/>
        <v>183.77774945251349</v>
      </c>
      <c r="F253" s="27">
        <v>36760.509507176634</v>
      </c>
      <c r="G253" s="12"/>
    </row>
    <row r="254" spans="1:8" ht="14.25" customHeight="1" x14ac:dyDescent="0.3">
      <c r="A254" s="59">
        <v>19</v>
      </c>
      <c r="B254" s="48">
        <v>350.4</v>
      </c>
      <c r="C254" s="60">
        <f t="shared" si="22"/>
        <v>21.9</v>
      </c>
      <c r="D254" s="60">
        <v>0.5</v>
      </c>
      <c r="E254" s="27">
        <f t="shared" si="23"/>
        <v>176.70937447357065</v>
      </c>
      <c r="F254" s="27">
        <v>35346.643756900616</v>
      </c>
      <c r="G254" s="12"/>
    </row>
    <row r="255" spans="1:8" ht="14.25" customHeight="1" x14ac:dyDescent="0.3">
      <c r="A255" s="59">
        <v>20</v>
      </c>
      <c r="B255" s="48">
        <v>350.4</v>
      </c>
      <c r="C255" s="60">
        <f t="shared" si="22"/>
        <v>21.9</v>
      </c>
      <c r="D255" s="60">
        <v>0.5</v>
      </c>
      <c r="E255" s="52">
        <f t="shared" si="23"/>
        <v>169.912860070741</v>
      </c>
      <c r="F255" s="52">
        <v>33987.157458558278</v>
      </c>
      <c r="G255" s="55"/>
      <c r="H255" s="55"/>
    </row>
    <row r="256" spans="1:8" ht="14.25" customHeight="1" x14ac:dyDescent="0.3">
      <c r="A256" s="11"/>
      <c r="B256" s="10"/>
      <c r="C256" s="10"/>
      <c r="D256" s="12"/>
      <c r="E256" s="27">
        <f>SUM(E236:E255)</f>
        <v>5059.6784982314675</v>
      </c>
      <c r="F256" s="27">
        <f>SUM(F236:F255)</f>
        <v>1012072.2453702419</v>
      </c>
      <c r="G256" s="57">
        <f>F256/E256</f>
        <v>200.02698703563797</v>
      </c>
      <c r="H256" s="20">
        <f>G256/1000</f>
        <v>0.20002698703563798</v>
      </c>
    </row>
    <row r="257" spans="1:7" ht="14.25" customHeight="1" x14ac:dyDescent="0.3"/>
    <row r="258" spans="1:7" ht="14.25" customHeight="1" x14ac:dyDescent="0.3">
      <c r="A258" s="34" t="s">
        <v>46</v>
      </c>
      <c r="B258" s="58" t="s">
        <v>0</v>
      </c>
      <c r="C258" s="58" t="s">
        <v>53</v>
      </c>
      <c r="D258" s="47" t="s">
        <v>36</v>
      </c>
      <c r="E258" s="47" t="s">
        <v>64</v>
      </c>
      <c r="F258" s="47" t="s">
        <v>65</v>
      </c>
      <c r="G258" s="32"/>
    </row>
    <row r="259" spans="1:7" ht="14.25" customHeight="1" x14ac:dyDescent="0.3">
      <c r="A259" s="59">
        <v>1</v>
      </c>
      <c r="B259" s="48">
        <v>350.4</v>
      </c>
      <c r="C259" s="60">
        <f>5*0.35*8760/1000</f>
        <v>15.33</v>
      </c>
      <c r="D259" s="60">
        <v>0.35</v>
      </c>
      <c r="E259" s="27">
        <f>(B259+C259)/(1.04^A259)</f>
        <v>351.66346153846149</v>
      </c>
      <c r="F259" s="27">
        <v>71605.814685930774</v>
      </c>
      <c r="G259" s="12"/>
    </row>
    <row r="260" spans="1:7" ht="14.25" customHeight="1" x14ac:dyDescent="0.3">
      <c r="A260" s="59">
        <v>2</v>
      </c>
      <c r="B260" s="48">
        <v>350.4</v>
      </c>
      <c r="C260" s="60">
        <f t="shared" ref="C260:C278" si="24">5*0.35*8760/1000</f>
        <v>15.33</v>
      </c>
      <c r="D260" s="60">
        <v>0.35</v>
      </c>
      <c r="E260" s="27">
        <f t="shared" ref="E260:E278" si="25">(B260+C260)/(1.04^A260)</f>
        <v>338.13794378698219</v>
      </c>
      <c r="F260" s="27">
        <v>68851.744890318048</v>
      </c>
      <c r="G260" s="12"/>
    </row>
    <row r="261" spans="1:7" ht="14.25" customHeight="1" x14ac:dyDescent="0.3">
      <c r="A261" s="59">
        <v>3</v>
      </c>
      <c r="B261" s="48">
        <v>350.4</v>
      </c>
      <c r="C261" s="60">
        <f t="shared" si="24"/>
        <v>15.33</v>
      </c>
      <c r="D261" s="60">
        <v>0.35</v>
      </c>
      <c r="E261" s="27">
        <f t="shared" si="25"/>
        <v>325.13263825671362</v>
      </c>
      <c r="F261" s="27">
        <v>66203.600856075049</v>
      </c>
      <c r="G261" s="12"/>
    </row>
    <row r="262" spans="1:7" ht="14.25" customHeight="1" x14ac:dyDescent="0.3">
      <c r="A262" s="59">
        <v>4</v>
      </c>
      <c r="B262" s="48">
        <v>350.4</v>
      </c>
      <c r="C262" s="60">
        <f t="shared" si="24"/>
        <v>15.33</v>
      </c>
      <c r="D262" s="60">
        <v>0.35</v>
      </c>
      <c r="E262" s="27">
        <f t="shared" si="25"/>
        <v>312.62753678530157</v>
      </c>
      <c r="F262" s="27">
        <v>63657.308515456767</v>
      </c>
      <c r="G262" s="12"/>
    </row>
    <row r="263" spans="1:7" ht="14.25" customHeight="1" x14ac:dyDescent="0.3">
      <c r="A263" s="59">
        <v>5</v>
      </c>
      <c r="B263" s="48">
        <v>350.4</v>
      </c>
      <c r="C263" s="60">
        <f t="shared" si="24"/>
        <v>15.33</v>
      </c>
      <c r="D263" s="60">
        <v>0.35</v>
      </c>
      <c r="E263" s="27">
        <f t="shared" si="25"/>
        <v>300.6034007550976</v>
      </c>
      <c r="F263" s="27">
        <v>61208.9504956315</v>
      </c>
      <c r="G263" s="12"/>
    </row>
    <row r="264" spans="1:7" ht="14.25" customHeight="1" x14ac:dyDescent="0.3">
      <c r="A264" s="59">
        <v>6</v>
      </c>
      <c r="B264" s="48">
        <v>350.4</v>
      </c>
      <c r="C264" s="60">
        <f t="shared" si="24"/>
        <v>15.33</v>
      </c>
      <c r="D264" s="60">
        <v>0.35</v>
      </c>
      <c r="E264" s="27">
        <f t="shared" si="25"/>
        <v>289.04173149528617</v>
      </c>
      <c r="F264" s="27">
        <v>58854.760091953365</v>
      </c>
      <c r="G264" s="12"/>
    </row>
    <row r="265" spans="1:7" ht="14.25" customHeight="1" x14ac:dyDescent="0.3">
      <c r="A265" s="59">
        <v>7</v>
      </c>
      <c r="B265" s="48">
        <v>350.4</v>
      </c>
      <c r="C265" s="60">
        <f t="shared" si="24"/>
        <v>15.33</v>
      </c>
      <c r="D265" s="60">
        <v>0.35</v>
      </c>
      <c r="E265" s="27">
        <f t="shared" si="25"/>
        <v>277.92474182239056</v>
      </c>
      <c r="F265" s="27">
        <v>56591.115473032092</v>
      </c>
      <c r="G265" s="12"/>
    </row>
    <row r="266" spans="1:7" ht="14.25" customHeight="1" x14ac:dyDescent="0.3">
      <c r="A266" s="59">
        <v>8</v>
      </c>
      <c r="B266" s="48">
        <v>350.4</v>
      </c>
      <c r="C266" s="60">
        <f t="shared" si="24"/>
        <v>15.33</v>
      </c>
      <c r="D266" s="60">
        <v>0.35</v>
      </c>
      <c r="E266" s="27">
        <f t="shared" si="25"/>
        <v>267.23532867537551</v>
      </c>
      <c r="F266" s="27">
        <v>54414.534108684689</v>
      </c>
      <c r="G266" s="12"/>
    </row>
    <row r="267" spans="1:7" ht="14.25" customHeight="1" x14ac:dyDescent="0.3">
      <c r="A267" s="59">
        <v>9</v>
      </c>
      <c r="B267" s="48">
        <v>350.4</v>
      </c>
      <c r="C267" s="60">
        <f t="shared" si="24"/>
        <v>15.33</v>
      </c>
      <c r="D267" s="60">
        <v>0.35</v>
      </c>
      <c r="E267" s="27">
        <f t="shared" si="25"/>
        <v>256.95704680324565</v>
      </c>
      <c r="F267" s="27">
        <v>52321.667412196817</v>
      </c>
      <c r="G267" s="12"/>
    </row>
    <row r="268" spans="1:7" ht="14.25" customHeight="1" x14ac:dyDescent="0.3">
      <c r="A268" s="59">
        <v>10</v>
      </c>
      <c r="B268" s="48">
        <v>350.4</v>
      </c>
      <c r="C268" s="60">
        <f t="shared" si="24"/>
        <v>15.33</v>
      </c>
      <c r="D268" s="60">
        <v>0.35</v>
      </c>
      <c r="E268" s="27">
        <f t="shared" si="25"/>
        <v>247.07408346465928</v>
      </c>
      <c r="F268" s="27">
        <v>50309.295588650784</v>
      </c>
      <c r="G268" s="12"/>
    </row>
    <row r="269" spans="1:7" ht="14.25" customHeight="1" x14ac:dyDescent="0.3">
      <c r="A269" s="59">
        <v>11</v>
      </c>
      <c r="B269" s="48">
        <v>350.4</v>
      </c>
      <c r="C269" s="60">
        <f t="shared" si="24"/>
        <v>15.33</v>
      </c>
      <c r="D269" s="60">
        <v>0.35</v>
      </c>
      <c r="E269" s="27">
        <f t="shared" si="25"/>
        <v>237.57123410063394</v>
      </c>
      <c r="F269" s="27">
        <v>48374.322681394988</v>
      </c>
      <c r="G269" s="12"/>
    </row>
    <row r="270" spans="1:7" ht="14.25" customHeight="1" x14ac:dyDescent="0.3">
      <c r="A270" s="59">
        <v>12</v>
      </c>
      <c r="B270" s="48">
        <v>350.4</v>
      </c>
      <c r="C270" s="60">
        <f t="shared" si="24"/>
        <v>15.33</v>
      </c>
      <c r="D270" s="60">
        <v>0.35</v>
      </c>
      <c r="E270" s="27">
        <f t="shared" si="25"/>
        <v>228.4338789429172</v>
      </c>
      <c r="F270" s="27">
        <v>46513.771809033635</v>
      </c>
      <c r="G270" s="12"/>
    </row>
    <row r="271" spans="1:7" ht="14.25" customHeight="1" x14ac:dyDescent="0.3">
      <c r="A271" s="59">
        <v>13</v>
      </c>
      <c r="B271" s="48">
        <v>350.4</v>
      </c>
      <c r="C271" s="60">
        <f t="shared" si="24"/>
        <v>15.33</v>
      </c>
      <c r="D271" s="60">
        <v>0.35</v>
      </c>
      <c r="E271" s="27">
        <f t="shared" si="25"/>
        <v>219.64796052203576</v>
      </c>
      <c r="F271" s="27">
        <v>44724.78058560926</v>
      </c>
      <c r="G271" s="12"/>
    </row>
    <row r="272" spans="1:7" ht="14.25" customHeight="1" x14ac:dyDescent="0.3">
      <c r="A272" s="59">
        <v>14</v>
      </c>
      <c r="B272" s="48">
        <v>350.4</v>
      </c>
      <c r="C272" s="60">
        <f t="shared" si="24"/>
        <v>15.33</v>
      </c>
      <c r="D272" s="60">
        <v>0.35</v>
      </c>
      <c r="E272" s="27">
        <f t="shared" si="25"/>
        <v>211.199962040419</v>
      </c>
      <c r="F272" s="27">
        <v>43004.596716931985</v>
      </c>
      <c r="G272" s="12"/>
    </row>
    <row r="273" spans="1:8" ht="14.25" customHeight="1" x14ac:dyDescent="0.3">
      <c r="A273" s="59">
        <v>15</v>
      </c>
      <c r="B273" s="48">
        <v>350.4</v>
      </c>
      <c r="C273" s="60">
        <f t="shared" si="24"/>
        <v>15.33</v>
      </c>
      <c r="D273" s="60">
        <v>0.35</v>
      </c>
      <c r="E273" s="27">
        <f t="shared" si="25"/>
        <v>203.07688657732598</v>
      </c>
      <c r="F273" s="27">
        <v>41350.573766280751</v>
      </c>
      <c r="G273" s="12"/>
    </row>
    <row r="274" spans="1:8" ht="14.25" customHeight="1" x14ac:dyDescent="0.3">
      <c r="A274" s="59">
        <v>16</v>
      </c>
      <c r="B274" s="48">
        <v>350.4</v>
      </c>
      <c r="C274" s="60">
        <f t="shared" si="24"/>
        <v>15.33</v>
      </c>
      <c r="D274" s="60">
        <v>0.35</v>
      </c>
      <c r="E274" s="27">
        <f t="shared" si="25"/>
        <v>195.26623709358265</v>
      </c>
      <c r="F274" s="27">
        <v>39760.167082962253</v>
      </c>
      <c r="G274" s="12"/>
    </row>
    <row r="275" spans="1:8" ht="14.25" customHeight="1" x14ac:dyDescent="0.3">
      <c r="A275" s="59">
        <v>17</v>
      </c>
      <c r="B275" s="48">
        <v>350.4</v>
      </c>
      <c r="C275" s="60">
        <f t="shared" si="24"/>
        <v>15.33</v>
      </c>
      <c r="D275" s="60">
        <v>0.35</v>
      </c>
      <c r="E275" s="27">
        <f t="shared" si="25"/>
        <v>187.75599720536792</v>
      </c>
      <c r="F275" s="27">
        <v>38230.929887463702</v>
      </c>
      <c r="G275" s="12"/>
    </row>
    <row r="276" spans="1:8" ht="14.25" customHeight="1" x14ac:dyDescent="0.3">
      <c r="A276" s="59">
        <v>18</v>
      </c>
      <c r="B276" s="48">
        <v>350.4</v>
      </c>
      <c r="C276" s="60">
        <f t="shared" si="24"/>
        <v>15.33</v>
      </c>
      <c r="D276" s="60">
        <v>0.35</v>
      </c>
      <c r="E276" s="27">
        <f t="shared" si="25"/>
        <v>180.53461269746913</v>
      </c>
      <c r="F276" s="27">
        <v>36760.509507176634</v>
      </c>
      <c r="G276" s="12"/>
    </row>
    <row r="277" spans="1:8" ht="14.25" customHeight="1" x14ac:dyDescent="0.3">
      <c r="A277" s="59">
        <v>19</v>
      </c>
      <c r="B277" s="48">
        <v>350.4</v>
      </c>
      <c r="C277" s="60">
        <f t="shared" si="24"/>
        <v>15.33</v>
      </c>
      <c r="D277" s="60">
        <v>0.35</v>
      </c>
      <c r="E277" s="27">
        <f t="shared" si="25"/>
        <v>173.59097374756647</v>
      </c>
      <c r="F277" s="27">
        <v>35346.643756900616</v>
      </c>
      <c r="G277" s="12"/>
    </row>
    <row r="278" spans="1:8" ht="14.25" customHeight="1" x14ac:dyDescent="0.3">
      <c r="A278" s="59">
        <v>20</v>
      </c>
      <c r="B278" s="48">
        <v>350.4</v>
      </c>
      <c r="C278" s="60">
        <f t="shared" si="24"/>
        <v>15.33</v>
      </c>
      <c r="D278" s="60">
        <v>0.35</v>
      </c>
      <c r="E278" s="52">
        <f t="shared" si="25"/>
        <v>166.91439783419852</v>
      </c>
      <c r="F278" s="52">
        <v>33987.157458558278</v>
      </c>
      <c r="G278" s="55"/>
      <c r="H278" s="55"/>
    </row>
    <row r="279" spans="1:8" ht="14.25" customHeight="1" x14ac:dyDescent="0.3">
      <c r="A279" s="11"/>
      <c r="B279" s="10"/>
      <c r="C279" s="10"/>
      <c r="D279" s="12"/>
      <c r="E279" s="27">
        <f>SUM(E259:E278)</f>
        <v>4970.3900541450294</v>
      </c>
      <c r="F279" s="27">
        <f>SUM(F259:F278)</f>
        <v>1012072.2453702419</v>
      </c>
      <c r="G279" s="57">
        <f>F279/E279</f>
        <v>203.62028620394287</v>
      </c>
      <c r="H279" s="20">
        <f>G279/1000</f>
        <v>0.20362028620394287</v>
      </c>
    </row>
    <row r="280" spans="1:8" ht="14.25" customHeight="1" x14ac:dyDescent="0.3"/>
    <row r="281" spans="1:8" ht="14.25" customHeight="1" x14ac:dyDescent="0.3"/>
    <row r="282" spans="1:8" ht="14.25" customHeight="1" x14ac:dyDescent="0.3"/>
    <row r="283" spans="1:8" ht="14.25" customHeight="1" x14ac:dyDescent="0.3"/>
    <row r="284" spans="1:8" ht="14.25" customHeight="1" x14ac:dyDescent="0.3"/>
    <row r="285" spans="1:8" ht="14.25" customHeight="1" x14ac:dyDescent="0.3"/>
    <row r="286" spans="1:8" ht="14.25" customHeight="1" x14ac:dyDescent="0.3"/>
    <row r="287" spans="1:8" ht="14.25" customHeight="1" x14ac:dyDescent="0.3"/>
    <row r="288" spans="1: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13">
    <mergeCell ref="J92:O92"/>
    <mergeCell ref="A72:F72"/>
    <mergeCell ref="A165:F165"/>
    <mergeCell ref="A64:V64"/>
    <mergeCell ref="A19:B19"/>
    <mergeCell ref="B26:D26"/>
    <mergeCell ref="A28:D28"/>
    <mergeCell ref="A30:D30"/>
    <mergeCell ref="D1:E1"/>
    <mergeCell ref="D2:E2"/>
    <mergeCell ref="D3:E3"/>
    <mergeCell ref="J2:K2"/>
    <mergeCell ref="J89:O89"/>
  </mergeCells>
  <pageMargins left="0.7" right="0.7" top="0.75" bottom="0.75" header="0" footer="0"/>
  <pageSetup orientation="landscape" r:id="rId1"/>
  <ignoredErrors>
    <ignoredError sqref="G6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8C980-6A0A-4AC1-BF5A-68BC2056DFB9}">
  <dimension ref="A1:B24"/>
  <sheetViews>
    <sheetView topLeftCell="A17" workbookViewId="0">
      <selection activeCell="C21" sqref="C21"/>
    </sheetView>
  </sheetViews>
  <sheetFormatPr defaultRowHeight="14.4" x14ac:dyDescent="0.3"/>
  <cols>
    <col min="1" max="1" width="23.21875" bestFit="1" customWidth="1"/>
  </cols>
  <sheetData>
    <row r="1" spans="1:2" x14ac:dyDescent="0.3">
      <c r="A1" t="s">
        <v>68</v>
      </c>
      <c r="B1">
        <v>768752</v>
      </c>
    </row>
    <row r="2" spans="1:2" x14ac:dyDescent="0.3">
      <c r="A2" t="s">
        <v>69</v>
      </c>
      <c r="B2">
        <v>124651</v>
      </c>
    </row>
    <row r="3" spans="1:2" x14ac:dyDescent="0.3">
      <c r="A3" t="s">
        <v>70</v>
      </c>
      <c r="B3">
        <v>67065</v>
      </c>
    </row>
    <row r="4" spans="1:2" x14ac:dyDescent="0.3">
      <c r="A4" t="s">
        <v>71</v>
      </c>
      <c r="B4">
        <v>14806</v>
      </c>
    </row>
    <row r="5" spans="1:2" x14ac:dyDescent="0.3">
      <c r="A5" t="s">
        <v>72</v>
      </c>
      <c r="B5">
        <v>13798</v>
      </c>
    </row>
    <row r="6" spans="1:2" x14ac:dyDescent="0.3">
      <c r="A6" t="s">
        <v>73</v>
      </c>
      <c r="B6">
        <v>8319</v>
      </c>
    </row>
    <row r="7" spans="1:2" x14ac:dyDescent="0.3">
      <c r="A7" t="s">
        <v>74</v>
      </c>
      <c r="B7">
        <v>1109</v>
      </c>
    </row>
    <row r="8" spans="1:2" x14ac:dyDescent="0.3">
      <c r="A8" t="s">
        <v>75</v>
      </c>
      <c r="B8">
        <v>14236</v>
      </c>
    </row>
    <row r="20" spans="1:2" x14ac:dyDescent="0.3">
      <c r="A20" t="s">
        <v>84</v>
      </c>
      <c r="B20">
        <v>32640.000000000004</v>
      </c>
    </row>
    <row r="21" spans="1:2" x14ac:dyDescent="0.3">
      <c r="A21" t="s">
        <v>87</v>
      </c>
      <c r="B21">
        <v>20400</v>
      </c>
    </row>
    <row r="22" spans="1:2" x14ac:dyDescent="0.3">
      <c r="A22" t="s">
        <v>85</v>
      </c>
      <c r="B22">
        <v>12148.847273368003</v>
      </c>
    </row>
    <row r="23" spans="1:2" x14ac:dyDescent="0.3">
      <c r="A23" t="s">
        <v>86</v>
      </c>
      <c r="B23">
        <v>1200</v>
      </c>
    </row>
    <row r="24" spans="1:2" x14ac:dyDescent="0.3">
      <c r="A24" t="s">
        <v>83</v>
      </c>
      <c r="B24">
        <v>7000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Ntav</dc:creator>
  <cp:lastModifiedBy>nikolas</cp:lastModifiedBy>
  <dcterms:created xsi:type="dcterms:W3CDTF">2018-04-24T13:43:57Z</dcterms:created>
  <dcterms:modified xsi:type="dcterms:W3CDTF">2018-05-08T00:27:56Z</dcterms:modified>
</cp:coreProperties>
</file>