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C:\Users\User\Downloads\170428-20170508T220314Z-001\170428\"/>
    </mc:Choice>
  </mc:AlternateContent>
  <bookViews>
    <workbookView xWindow="0" yWindow="0" windowWidth="15345" windowHeight="5145" firstSheet="5" activeTab="9"/>
  </bookViews>
  <sheets>
    <sheet name="Transmission Costs" sheetId="1" r:id="rId1"/>
    <sheet name="Tidal Turbine Costs" sheetId="3" r:id="rId2"/>
    <sheet name="Foundation costing" sheetId="4" r:id="rId3"/>
    <sheet name="Wind Turbine Costs" sheetId="5" r:id="rId4"/>
    <sheet name="1 turbine Payback" sheetId="12" r:id="rId5"/>
    <sheet name="10 turbine payback" sheetId="13" r:id="rId6"/>
    <sheet name="Total System Cost" sheetId="8" r:id="rId7"/>
    <sheet name="LCOE" sheetId="10" r:id="rId8"/>
    <sheet name="Graphs" sheetId="11" r:id="rId9"/>
    <sheet name="Array Analysis" sheetId="9" r:id="rId10"/>
  </sheets>
  <externalReferences>
    <externalReference r:id="rId11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3" l="1"/>
  <c r="D5" i="13" s="1"/>
  <c r="D9" i="13"/>
  <c r="D10" i="13" s="1"/>
  <c r="D12" i="13"/>
  <c r="D13" i="13"/>
  <c r="D20" i="13" s="1"/>
  <c r="D22" i="13" s="1"/>
  <c r="D23" i="13" s="1"/>
  <c r="G20" i="13"/>
  <c r="K20" i="13"/>
  <c r="S20" i="13"/>
  <c r="W20" i="13"/>
  <c r="E3" i="12"/>
  <c r="H3" i="12"/>
  <c r="H4" i="12" s="1"/>
  <c r="E4" i="12"/>
  <c r="E5" i="12" s="1"/>
  <c r="E8" i="12"/>
  <c r="E9" i="12" s="1"/>
  <c r="H8" i="12"/>
  <c r="H9" i="12" s="1"/>
  <c r="E10" i="12"/>
  <c r="E11" i="12"/>
  <c r="H11" i="12"/>
  <c r="H12" i="12" s="1"/>
  <c r="E12" i="12"/>
  <c r="H19" i="12" s="1"/>
  <c r="J19" i="12"/>
  <c r="K19" i="12"/>
  <c r="N19" i="12"/>
  <c r="O19" i="12"/>
  <c r="R19" i="12"/>
  <c r="S19" i="12"/>
  <c r="V19" i="12"/>
  <c r="W19" i="12"/>
  <c r="Z19" i="12"/>
  <c r="AA19" i="12"/>
  <c r="J20" i="12"/>
  <c r="J21" i="12" s="1"/>
  <c r="J25" i="12" s="1"/>
  <c r="R20" i="12"/>
  <c r="Z20" i="12"/>
  <c r="Z21" i="12" s="1"/>
  <c r="Z25" i="12" s="1"/>
  <c r="R21" i="12"/>
  <c r="H23" i="12"/>
  <c r="D24" i="13" s="1"/>
  <c r="I23" i="12"/>
  <c r="E24" i="13" s="1"/>
  <c r="J23" i="12"/>
  <c r="F24" i="13" s="1"/>
  <c r="K23" i="12"/>
  <c r="G24" i="13" s="1"/>
  <c r="L23" i="12"/>
  <c r="H24" i="13" s="1"/>
  <c r="M23" i="12"/>
  <c r="I24" i="13" s="1"/>
  <c r="N23" i="12"/>
  <c r="J24" i="13" s="1"/>
  <c r="O23" i="12"/>
  <c r="K24" i="13" s="1"/>
  <c r="P23" i="12"/>
  <c r="L24" i="13" s="1"/>
  <c r="Q23" i="12"/>
  <c r="M24" i="13" s="1"/>
  <c r="R23" i="12"/>
  <c r="N24" i="13" s="1"/>
  <c r="S23" i="12"/>
  <c r="O24" i="13" s="1"/>
  <c r="T23" i="12"/>
  <c r="P24" i="13" s="1"/>
  <c r="U23" i="12"/>
  <c r="Q24" i="13" s="1"/>
  <c r="V23" i="12"/>
  <c r="R24" i="13" s="1"/>
  <c r="W23" i="12"/>
  <c r="S24" i="13" s="1"/>
  <c r="X23" i="12"/>
  <c r="T24" i="13" s="1"/>
  <c r="Y23" i="12"/>
  <c r="U24" i="13" s="1"/>
  <c r="Z23" i="12"/>
  <c r="V24" i="13" s="1"/>
  <c r="AA23" i="12"/>
  <c r="W24" i="13" s="1"/>
  <c r="AB23" i="12"/>
  <c r="X24" i="13" s="1"/>
  <c r="E6" i="10"/>
  <c r="E11" i="10"/>
  <c r="E15" i="10" s="1"/>
  <c r="E20" i="10" s="1"/>
  <c r="H15" i="10"/>
  <c r="H20" i="10" s="1"/>
  <c r="P18" i="10"/>
  <c r="Q18" i="10"/>
  <c r="R18" i="10"/>
  <c r="S18" i="10"/>
  <c r="S35" i="10" s="1"/>
  <c r="T18" i="10"/>
  <c r="U18" i="10"/>
  <c r="V18" i="10"/>
  <c r="W18" i="10"/>
  <c r="X18" i="10"/>
  <c r="Y18" i="10"/>
  <c r="P19" i="10"/>
  <c r="Q19" i="10"/>
  <c r="R19" i="10"/>
  <c r="S19" i="10"/>
  <c r="T19" i="10"/>
  <c r="U19" i="10"/>
  <c r="V19" i="10"/>
  <c r="W19" i="10"/>
  <c r="X19" i="10"/>
  <c r="Y19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P25" i="10"/>
  <c r="P29" i="10" s="1"/>
  <c r="Q25" i="10"/>
  <c r="Q29" i="10" s="1"/>
  <c r="R25" i="10"/>
  <c r="S25" i="10"/>
  <c r="T25" i="10"/>
  <c r="T29" i="10" s="1"/>
  <c r="U25" i="10"/>
  <c r="U29" i="10" s="1"/>
  <c r="V25" i="10"/>
  <c r="W25" i="10"/>
  <c r="W29" i="10" s="1"/>
  <c r="X25" i="10"/>
  <c r="X29" i="10" s="1"/>
  <c r="Y25" i="10"/>
  <c r="Y29" i="10" s="1"/>
  <c r="Z25" i="10"/>
  <c r="AA25" i="10"/>
  <c r="AB25" i="10"/>
  <c r="AB29" i="10" s="1"/>
  <c r="AB34" i="10" s="1"/>
  <c r="AC25" i="10"/>
  <c r="AC29" i="10" s="1"/>
  <c r="R29" i="10"/>
  <c r="R34" i="10" s="1"/>
  <c r="S29" i="10"/>
  <c r="S34" i="10" s="1"/>
  <c r="V29" i="10"/>
  <c r="V34" i="10" s="1"/>
  <c r="Z29" i="10"/>
  <c r="Z34" i="10" s="1"/>
  <c r="AA29" i="10"/>
  <c r="AA34" i="10" s="1"/>
  <c r="R35" i="10"/>
  <c r="Q43" i="10"/>
  <c r="H5" i="12" l="1"/>
  <c r="H10" i="12"/>
  <c r="W34" i="10"/>
  <c r="W35" i="10"/>
  <c r="AC34" i="10"/>
  <c r="W20" i="12"/>
  <c r="O20" i="12"/>
  <c r="V20" i="12"/>
  <c r="V21" i="12" s="1"/>
  <c r="V25" i="12" s="1"/>
  <c r="N20" i="12"/>
  <c r="N21" i="12" s="1"/>
  <c r="N25" i="12" s="1"/>
  <c r="O20" i="13"/>
  <c r="AA20" i="12"/>
  <c r="AA21" i="12" s="1"/>
  <c r="AA25" i="12" s="1"/>
  <c r="S20" i="12"/>
  <c r="S21" i="12" s="1"/>
  <c r="S25" i="12" s="1"/>
  <c r="K20" i="12"/>
  <c r="K21" i="12" s="1"/>
  <c r="K25" i="12" s="1"/>
  <c r="V35" i="10"/>
  <c r="R25" i="12"/>
  <c r="D26" i="13"/>
  <c r="D27" i="13" s="1"/>
  <c r="H21" i="13"/>
  <c r="L21" i="13"/>
  <c r="P21" i="13"/>
  <c r="T21" i="13"/>
  <c r="X21" i="13"/>
  <c r="D6" i="13"/>
  <c r="F21" i="13"/>
  <c r="J21" i="13"/>
  <c r="N21" i="13"/>
  <c r="V21" i="13"/>
  <c r="K21" i="13"/>
  <c r="K22" i="13" s="1"/>
  <c r="O21" i="13"/>
  <c r="O22" i="13" s="1"/>
  <c r="W21" i="13"/>
  <c r="W22" i="13" s="1"/>
  <c r="D11" i="13"/>
  <c r="E21" i="13"/>
  <c r="I21" i="13"/>
  <c r="M21" i="13"/>
  <c r="Q21" i="13"/>
  <c r="U21" i="13"/>
  <c r="R21" i="13"/>
  <c r="G21" i="13"/>
  <c r="G22" i="13" s="1"/>
  <c r="S21" i="13"/>
  <c r="S22" i="13" s="1"/>
  <c r="V20" i="13"/>
  <c r="V22" i="13" s="1"/>
  <c r="U20" i="13"/>
  <c r="U22" i="13" s="1"/>
  <c r="Q20" i="13"/>
  <c r="Q22" i="13" s="1"/>
  <c r="M20" i="13"/>
  <c r="I20" i="13"/>
  <c r="E20" i="13"/>
  <c r="E22" i="13" s="1"/>
  <c r="R20" i="13"/>
  <c r="N20" i="13"/>
  <c r="J20" i="13"/>
  <c r="F20" i="13"/>
  <c r="F22" i="13" s="1"/>
  <c r="X20" i="13"/>
  <c r="X22" i="13" s="1"/>
  <c r="T20" i="13"/>
  <c r="P20" i="13"/>
  <c r="P22" i="13" s="1"/>
  <c r="L20" i="13"/>
  <c r="L22" i="13" s="1"/>
  <c r="H20" i="13"/>
  <c r="H22" i="13" s="1"/>
  <c r="H21" i="12"/>
  <c r="H25" i="12" s="1"/>
  <c r="H22" i="12"/>
  <c r="W21" i="12"/>
  <c r="W25" i="12" s="1"/>
  <c r="O21" i="12"/>
  <c r="O25" i="12" s="1"/>
  <c r="Y20" i="12"/>
  <c r="U20" i="12"/>
  <c r="Q20" i="12"/>
  <c r="M20" i="12"/>
  <c r="I20" i="12"/>
  <c r="Y19" i="12"/>
  <c r="U19" i="12"/>
  <c r="Q19" i="12"/>
  <c r="M19" i="12"/>
  <c r="I19" i="12"/>
  <c r="AB20" i="12"/>
  <c r="X20" i="12"/>
  <c r="T20" i="12"/>
  <c r="P20" i="12"/>
  <c r="L20" i="12"/>
  <c r="AB19" i="12"/>
  <c r="X19" i="12"/>
  <c r="T19" i="12"/>
  <c r="P19" i="12"/>
  <c r="L19" i="12"/>
  <c r="H24" i="10"/>
  <c r="H21" i="10"/>
  <c r="E24" i="10"/>
  <c r="E21" i="10"/>
  <c r="Y34" i="10"/>
  <c r="Y36" i="10"/>
  <c r="Y35" i="10"/>
  <c r="U34" i="10"/>
  <c r="U35" i="10"/>
  <c r="U36" i="10"/>
  <c r="Q36" i="10"/>
  <c r="Q35" i="10"/>
  <c r="Q34" i="10"/>
  <c r="X35" i="10"/>
  <c r="X34" i="10"/>
  <c r="X36" i="10"/>
  <c r="T35" i="10"/>
  <c r="T34" i="10"/>
  <c r="T36" i="10"/>
  <c r="P35" i="10"/>
  <c r="P34" i="10"/>
  <c r="P36" i="10"/>
  <c r="W36" i="10"/>
  <c r="S36" i="10"/>
  <c r="V36" i="10"/>
  <c r="R36" i="10"/>
  <c r="P21" i="12" l="1"/>
  <c r="P25" i="12" s="1"/>
  <c r="U21" i="12"/>
  <c r="U25" i="12" s="1"/>
  <c r="R22" i="13"/>
  <c r="R26" i="13" s="1"/>
  <c r="K26" i="13"/>
  <c r="S26" i="13"/>
  <c r="G26" i="13"/>
  <c r="W26" i="13"/>
  <c r="O26" i="13"/>
  <c r="Q26" i="13"/>
  <c r="F26" i="13"/>
  <c r="F27" i="13" s="1"/>
  <c r="E23" i="13"/>
  <c r="F23" i="13" s="1"/>
  <c r="G23" i="13" s="1"/>
  <c r="H23" i="13" s="1"/>
  <c r="E26" i="13"/>
  <c r="E27" i="13" s="1"/>
  <c r="U26" i="13"/>
  <c r="H26" i="13"/>
  <c r="X26" i="13"/>
  <c r="J22" i="13"/>
  <c r="I22" i="13"/>
  <c r="V26" i="13"/>
  <c r="L26" i="13"/>
  <c r="T22" i="13"/>
  <c r="N22" i="13"/>
  <c r="M22" i="13"/>
  <c r="P26" i="13"/>
  <c r="T21" i="12"/>
  <c r="T25" i="12" s="1"/>
  <c r="I21" i="12"/>
  <c r="I25" i="12" s="1"/>
  <c r="I22" i="12"/>
  <c r="J22" i="12" s="1"/>
  <c r="K22" i="12" s="1"/>
  <c r="L22" i="12" s="1"/>
  <c r="M22" i="12" s="1"/>
  <c r="N22" i="12" s="1"/>
  <c r="O22" i="12" s="1"/>
  <c r="P22" i="12" s="1"/>
  <c r="Q22" i="12" s="1"/>
  <c r="R22" i="12" s="1"/>
  <c r="S22" i="12" s="1"/>
  <c r="T22" i="12" s="1"/>
  <c r="U22" i="12" s="1"/>
  <c r="V22" i="12" s="1"/>
  <c r="W22" i="12" s="1"/>
  <c r="X22" i="12" s="1"/>
  <c r="Y22" i="12" s="1"/>
  <c r="Z22" i="12" s="1"/>
  <c r="AA22" i="12" s="1"/>
  <c r="AB22" i="12" s="1"/>
  <c r="Y21" i="12"/>
  <c r="Y25" i="12" s="1"/>
  <c r="H26" i="12"/>
  <c r="I26" i="12"/>
  <c r="J26" i="12" s="1"/>
  <c r="K26" i="12" s="1"/>
  <c r="L26" i="12" s="1"/>
  <c r="X21" i="12"/>
  <c r="X25" i="12" s="1"/>
  <c r="M21" i="12"/>
  <c r="M25" i="12" s="1"/>
  <c r="L21" i="12"/>
  <c r="L25" i="12" s="1"/>
  <c r="AB21" i="12"/>
  <c r="AB25" i="12" s="1"/>
  <c r="Q21" i="12"/>
  <c r="Q25" i="12" s="1"/>
  <c r="M26" i="12" l="1"/>
  <c r="N26" i="12" s="1"/>
  <c r="O26" i="12" s="1"/>
  <c r="P26" i="12" s="1"/>
  <c r="T26" i="13"/>
  <c r="I26" i="13"/>
  <c r="I23" i="13"/>
  <c r="J23" i="13" s="1"/>
  <c r="K23" i="13" s="1"/>
  <c r="L23" i="13" s="1"/>
  <c r="M23" i="13" s="1"/>
  <c r="N23" i="13" s="1"/>
  <c r="O23" i="13" s="1"/>
  <c r="P23" i="13" s="1"/>
  <c r="Q23" i="13" s="1"/>
  <c r="R23" i="13" s="1"/>
  <c r="S23" i="13" s="1"/>
  <c r="T23" i="13" s="1"/>
  <c r="U23" i="13" s="1"/>
  <c r="V23" i="13" s="1"/>
  <c r="W23" i="13" s="1"/>
  <c r="X23" i="13" s="1"/>
  <c r="J26" i="13"/>
  <c r="M26" i="13"/>
  <c r="G27" i="13"/>
  <c r="H27" i="13" s="1"/>
  <c r="N26" i="13"/>
  <c r="Q26" i="12"/>
  <c r="R26" i="12" s="1"/>
  <c r="S26" i="12" s="1"/>
  <c r="T26" i="12" s="1"/>
  <c r="U26" i="12" s="1"/>
  <c r="V26" i="12" s="1"/>
  <c r="W26" i="12" s="1"/>
  <c r="X26" i="12" s="1"/>
  <c r="Y26" i="12" s="1"/>
  <c r="Z26" i="12" s="1"/>
  <c r="AA26" i="12" s="1"/>
  <c r="AB26" i="12" s="1"/>
  <c r="C7" i="1"/>
  <c r="B7" i="1"/>
  <c r="F5" i="1"/>
  <c r="G5" i="1"/>
  <c r="H5" i="1"/>
  <c r="I5" i="1"/>
  <c r="J5" i="1"/>
  <c r="K5" i="1"/>
  <c r="F6" i="1"/>
  <c r="G6" i="1"/>
  <c r="H6" i="1"/>
  <c r="I6" i="1"/>
  <c r="J6" i="1"/>
  <c r="K6" i="1"/>
  <c r="F7" i="1"/>
  <c r="F5" i="9" s="1"/>
  <c r="G7" i="1"/>
  <c r="G5" i="9" s="1"/>
  <c r="H7" i="1"/>
  <c r="H5" i="9" s="1"/>
  <c r="I7" i="1"/>
  <c r="I5" i="9" s="1"/>
  <c r="J7" i="1"/>
  <c r="J5" i="9" s="1"/>
  <c r="K7" i="1"/>
  <c r="K5" i="9" s="1"/>
  <c r="F8" i="1"/>
  <c r="F11" i="9" s="1"/>
  <c r="G8" i="1"/>
  <c r="G11" i="9" s="1"/>
  <c r="H8" i="1"/>
  <c r="H11" i="9" s="1"/>
  <c r="I8" i="1"/>
  <c r="I11" i="9" s="1"/>
  <c r="J8" i="1"/>
  <c r="J11" i="9" s="1"/>
  <c r="K8" i="1"/>
  <c r="K11" i="9" s="1"/>
  <c r="C5" i="1"/>
  <c r="E8" i="1"/>
  <c r="E11" i="9" s="1"/>
  <c r="E7" i="1"/>
  <c r="E5" i="9" s="1"/>
  <c r="E6" i="1"/>
  <c r="E5" i="1"/>
  <c r="D8" i="1"/>
  <c r="D11" i="9" s="1"/>
  <c r="D7" i="1"/>
  <c r="D5" i="9" s="1"/>
  <c r="D6" i="1"/>
  <c r="D5" i="1"/>
  <c r="C8" i="1"/>
  <c r="C11" i="9" s="1"/>
  <c r="C6" i="1"/>
  <c r="B3" i="9"/>
  <c r="E3" i="9" s="1"/>
  <c r="F5" i="5"/>
  <c r="B10" i="9" s="1"/>
  <c r="B2" i="8"/>
  <c r="G10" i="9" l="1"/>
  <c r="K10" i="9"/>
  <c r="D10" i="9"/>
  <c r="H10" i="9"/>
  <c r="C10" i="9"/>
  <c r="E10" i="9"/>
  <c r="I10" i="9"/>
  <c r="F10" i="9"/>
  <c r="J10" i="9"/>
  <c r="B9" i="8"/>
  <c r="H3" i="9"/>
  <c r="D3" i="9"/>
  <c r="C5" i="9"/>
  <c r="K3" i="9"/>
  <c r="G3" i="9"/>
  <c r="J3" i="9"/>
  <c r="F3" i="9"/>
  <c r="C3" i="9"/>
  <c r="I3" i="9"/>
  <c r="I27" i="13"/>
  <c r="J27" i="13"/>
  <c r="K27" i="13" s="1"/>
  <c r="L27" i="13" s="1"/>
  <c r="M27" i="13" s="1"/>
  <c r="N27" i="13" s="1"/>
  <c r="O27" i="13" s="1"/>
  <c r="P27" i="13" s="1"/>
  <c r="Q27" i="13" s="1"/>
  <c r="R27" i="13" s="1"/>
  <c r="S27" i="13" s="1"/>
  <c r="T27" i="13" s="1"/>
  <c r="U27" i="13" s="1"/>
  <c r="V27" i="13" s="1"/>
  <c r="W27" i="13" s="1"/>
  <c r="X27" i="13" s="1"/>
  <c r="J2" i="4"/>
  <c r="J3" i="4"/>
  <c r="H10" i="4"/>
  <c r="J7" i="4" s="1"/>
  <c r="B6" i="4"/>
  <c r="B7" i="4"/>
  <c r="C7" i="4" s="1"/>
  <c r="C8" i="4" s="1"/>
  <c r="B8" i="4"/>
  <c r="D8" i="4"/>
  <c r="E8" i="4"/>
  <c r="B12" i="4"/>
  <c r="C12" i="4"/>
  <c r="C14" i="4" s="1"/>
  <c r="C15" i="4" s="1"/>
  <c r="C16" i="4" s="1"/>
  <c r="B13" i="4"/>
  <c r="C13" i="4"/>
  <c r="B4" i="9" l="1"/>
  <c r="B3" i="8"/>
  <c r="B14" i="4"/>
  <c r="B15" i="4" s="1"/>
  <c r="B16" i="4" s="1"/>
  <c r="K45" i="4"/>
  <c r="B9" i="4"/>
  <c r="E4" i="9" l="1"/>
  <c r="I4" i="9"/>
  <c r="F4" i="9"/>
  <c r="J4" i="9"/>
  <c r="G4" i="9"/>
  <c r="K4" i="9"/>
  <c r="D4" i="9"/>
  <c r="H4" i="9"/>
  <c r="C4" i="9"/>
  <c r="B6" i="3"/>
  <c r="B7" i="3" s="1"/>
  <c r="B2" i="3"/>
  <c r="B3" i="3" s="1"/>
  <c r="B4" i="3" s="1"/>
  <c r="B9" i="9" l="1"/>
  <c r="B8" i="8"/>
  <c r="B8" i="3"/>
  <c r="B1" i="8"/>
  <c r="B2" i="9"/>
  <c r="B5" i="1"/>
  <c r="B9" i="1"/>
  <c r="B6" i="1" s="1"/>
  <c r="B8" i="1"/>
  <c r="B5" i="9" l="1"/>
  <c r="B4" i="8"/>
  <c r="B6" i="8" s="1"/>
  <c r="G2" i="9"/>
  <c r="K2" i="9"/>
  <c r="D2" i="9"/>
  <c r="H2" i="9"/>
  <c r="C2" i="9"/>
  <c r="E2" i="9"/>
  <c r="I2" i="9"/>
  <c r="F2" i="9"/>
  <c r="J2" i="9"/>
  <c r="B22" i="9"/>
  <c r="B23" i="9" s="1"/>
  <c r="B7" i="9"/>
  <c r="B8" i="9" s="1"/>
  <c r="B24" i="9" s="1"/>
  <c r="F9" i="9"/>
  <c r="F12" i="9" s="1"/>
  <c r="J9" i="9"/>
  <c r="J12" i="9" s="1"/>
  <c r="G9" i="9"/>
  <c r="G12" i="9" s="1"/>
  <c r="K9" i="9"/>
  <c r="K12" i="9" s="1"/>
  <c r="D9" i="9"/>
  <c r="D12" i="9" s="1"/>
  <c r="H9" i="9"/>
  <c r="H12" i="9" s="1"/>
  <c r="C9" i="9"/>
  <c r="C12" i="9" s="1"/>
  <c r="E9" i="9"/>
  <c r="E12" i="9" s="1"/>
  <c r="I9" i="9"/>
  <c r="I12" i="9" s="1"/>
  <c r="B11" i="9"/>
  <c r="B12" i="9" s="1"/>
  <c r="B10" i="8"/>
  <c r="B11" i="8" s="1"/>
  <c r="B13" i="8" s="1"/>
  <c r="J10" i="4"/>
  <c r="E22" i="9" l="1"/>
  <c r="E23" i="9" s="1"/>
  <c r="E7" i="9"/>
  <c r="E8" i="9" s="1"/>
  <c r="E24" i="9" s="1"/>
  <c r="K7" i="9"/>
  <c r="K8" i="9" s="1"/>
  <c r="K24" i="9" s="1"/>
  <c r="K22" i="9"/>
  <c r="K23" i="9" s="1"/>
  <c r="H14" i="9"/>
  <c r="H13" i="9"/>
  <c r="J14" i="9"/>
  <c r="J13" i="9"/>
  <c r="J22" i="9"/>
  <c r="J23" i="9" s="1"/>
  <c r="J7" i="9"/>
  <c r="J8" i="9" s="1"/>
  <c r="J24" i="9" s="1"/>
  <c r="C22" i="9"/>
  <c r="C23" i="9" s="1"/>
  <c r="C7" i="9"/>
  <c r="C8" i="9" s="1"/>
  <c r="C24" i="9" s="1"/>
  <c r="G22" i="9"/>
  <c r="G23" i="9" s="1"/>
  <c r="G7" i="9"/>
  <c r="G8" i="9" s="1"/>
  <c r="G24" i="9" s="1"/>
  <c r="G13" i="9"/>
  <c r="G14" i="9"/>
  <c r="I14" i="9"/>
  <c r="I13" i="9"/>
  <c r="D14" i="9"/>
  <c r="D13" i="9"/>
  <c r="F13" i="9"/>
  <c r="F14" i="9"/>
  <c r="F7" i="9"/>
  <c r="F8" i="9" s="1"/>
  <c r="F24" i="9" s="1"/>
  <c r="F22" i="9"/>
  <c r="F23" i="9" s="1"/>
  <c r="H7" i="9"/>
  <c r="H8" i="9" s="1"/>
  <c r="H24" i="9" s="1"/>
  <c r="H22" i="9"/>
  <c r="H23" i="9" s="1"/>
  <c r="C14" i="9"/>
  <c r="C13" i="9"/>
  <c r="E13" i="9"/>
  <c r="E14" i="9"/>
  <c r="K14" i="9"/>
  <c r="K13" i="9"/>
  <c r="I7" i="9"/>
  <c r="I8" i="9" s="1"/>
  <c r="I24" i="9" s="1"/>
  <c r="I22" i="9"/>
  <c r="I23" i="9" s="1"/>
  <c r="D22" i="9"/>
  <c r="D23" i="9" s="1"/>
  <c r="D7" i="9"/>
  <c r="D8" i="9" s="1"/>
  <c r="D24" i="9" s="1"/>
  <c r="B14" i="9"/>
  <c r="B13" i="9"/>
</calcChain>
</file>

<file path=xl/sharedStrings.xml><?xml version="1.0" encoding="utf-8"?>
<sst xmlns="http://schemas.openxmlformats.org/spreadsheetml/2006/main" count="267" uniqueCount="189">
  <si>
    <t>Inter-array cables - 33kV 3 Core</t>
  </si>
  <si>
    <t>https://www.wecc.biz/Reliability/2014_TEPPC_Transmission_CapCost_Report_B+V.pdf</t>
  </si>
  <si>
    <t>Transmission capital cost reference:</t>
  </si>
  <si>
    <t xml:space="preserve">Transmission Operating cost reference: </t>
  </si>
  <si>
    <t>https://ore.catapult.org.uk/wp-content/uploads/2016/05/Transmission-Costs-for-Offshore-Wind.pdf</t>
  </si>
  <si>
    <t>Substation Capital Cost(33:132)</t>
  </si>
  <si>
    <t>Distance to shore (m)</t>
  </si>
  <si>
    <t>Inter-array cables length (m)</t>
  </si>
  <si>
    <t>Trasmission Line Capital Cost</t>
  </si>
  <si>
    <t>2014 GBP:USD</t>
  </si>
  <si>
    <t>2011 GBP:USD</t>
  </si>
  <si>
    <t>mile:km</t>
  </si>
  <si>
    <t>Estimated Terrain Multiplier</t>
  </si>
  <si>
    <t>Substation Operating Cost/year</t>
  </si>
  <si>
    <t>Tranmsission Line Operating Cost/year</t>
  </si>
  <si>
    <t>Number of Extra Systems</t>
  </si>
  <si>
    <t>Total rated power capacity (MW)</t>
  </si>
  <si>
    <t>Substation Multiplier as offshore</t>
  </si>
  <si>
    <t>https://www.bv.com/docs/reports-studies/nrel-cost-report.pdf</t>
  </si>
  <si>
    <t>References:</t>
  </si>
  <si>
    <t>https://www.carbontrust.com/media/173551/capital-operating-and-maintenance-costs.pdf</t>
  </si>
  <si>
    <t>Reduction in structural cost (-15%)</t>
  </si>
  <si>
    <t>Cost Reduction Assumptions (Applied to pie chart):</t>
  </si>
  <si>
    <t>Shared installation costs (-8%)</t>
  </si>
  <si>
    <t>Applying these reductions to results in a total Tidal cost of 61%</t>
  </si>
  <si>
    <t>Capital cost of normal Tidal turbine ($/kW)</t>
  </si>
  <si>
    <t>Cost reduction factor</t>
  </si>
  <si>
    <t>Capital Cost for 2MW System</t>
  </si>
  <si>
    <t>Applying exchange rate (£/MW)</t>
  </si>
  <si>
    <t>Applying Cost Reductions (£/MW)</t>
  </si>
  <si>
    <t>Annual Operating Cost ($/kW)</t>
  </si>
  <si>
    <t xml:space="preserve">Lifetime Operational Cost </t>
  </si>
  <si>
    <t>Assumed operational lifetime (years)</t>
  </si>
  <si>
    <t>Annual Operating Cost for 2MW system</t>
  </si>
  <si>
    <t xml:space="preserve">Monopile </t>
  </si>
  <si>
    <t>Diameter (m)</t>
  </si>
  <si>
    <t>thickness (m)</t>
  </si>
  <si>
    <t>Height (m)</t>
  </si>
  <si>
    <t>Approximate mass (t)</t>
  </si>
  <si>
    <t>Reinforced Mass monopile (t)</t>
  </si>
  <si>
    <t>Transition Piece Mass (t)</t>
  </si>
  <si>
    <t>Volume</t>
  </si>
  <si>
    <t>Density of steel (kg/m^3)</t>
  </si>
  <si>
    <t>Increased foundation cost</t>
  </si>
  <si>
    <t>Monopile Cost</t>
  </si>
  <si>
    <t>Mass (tonnes)</t>
  </si>
  <si>
    <t>Tubular volume</t>
  </si>
  <si>
    <t>Cylindrical volume</t>
  </si>
  <si>
    <t>Wall Thickness</t>
  </si>
  <si>
    <t>Increase in Cost (%)</t>
  </si>
  <si>
    <t>Total Capital Cost</t>
  </si>
  <si>
    <t>Transition Piece Capital Cost</t>
  </si>
  <si>
    <t>Monopile Capital Cost</t>
  </si>
  <si>
    <t>Capital Cost/tonne Transition piece</t>
  </si>
  <si>
    <t>Capital Cost/tonne (Monopile)</t>
  </si>
  <si>
    <t>Installation</t>
  </si>
  <si>
    <t>85mm</t>
  </si>
  <si>
    <t>80mm</t>
  </si>
  <si>
    <t>70mm</t>
  </si>
  <si>
    <t>Inner Radius (m)</t>
  </si>
  <si>
    <t>Monopile Radius (m)</t>
  </si>
  <si>
    <t>Nacelle</t>
  </si>
  <si>
    <t>Nacelle Bedplate</t>
  </si>
  <si>
    <t>£100,000 - £120,000</t>
  </si>
  <si>
    <t>Main Bearing</t>
  </si>
  <si>
    <t>£60,000 - £80,000</t>
  </si>
  <si>
    <t>Main Shaft</t>
  </si>
  <si>
    <t>Gearbox</t>
  </si>
  <si>
    <t>£700,000 - £1,000,000</t>
  </si>
  <si>
    <t>Generator</t>
  </si>
  <si>
    <t>£200,000 - £250,000</t>
  </si>
  <si>
    <t>Power take-off</t>
  </si>
  <si>
    <t>Control System</t>
  </si>
  <si>
    <t>Yaw System</t>
  </si>
  <si>
    <t>Yaw Bearing</t>
  </si>
  <si>
    <t>£40,000 - £50,000</t>
  </si>
  <si>
    <t>Nacelle Auxiliary Systems</t>
  </si>
  <si>
    <t>A few% of larger costs</t>
  </si>
  <si>
    <t>Nacelle Cover</t>
  </si>
  <si>
    <t>£60,000 - £90,000</t>
  </si>
  <si>
    <t>Small Engineering components</t>
  </si>
  <si>
    <t>Small</t>
  </si>
  <si>
    <t xml:space="preserve">Fasteners </t>
  </si>
  <si>
    <t>£10,000 - £15,000</t>
  </si>
  <si>
    <t>Condition Monitoring System</t>
  </si>
  <si>
    <t>£10,000 - £20,000</t>
  </si>
  <si>
    <t>Rotor</t>
  </si>
  <si>
    <t>£1,200,000 - £1,500,000</t>
  </si>
  <si>
    <t>Blades</t>
  </si>
  <si>
    <t>£250,000 - £350,000</t>
  </si>
  <si>
    <t>Structural Composite Materials</t>
  </si>
  <si>
    <t>Half the cost of blade</t>
  </si>
  <si>
    <t>Blade Root</t>
  </si>
  <si>
    <t>20% Blade cost</t>
  </si>
  <si>
    <t>Lightning Protection</t>
  </si>
  <si>
    <t>Low Cost (approximated)</t>
  </si>
  <si>
    <t>Hub Casting</t>
  </si>
  <si>
    <t>Blade Bearings</t>
  </si>
  <si>
    <t>Pitch System (electric or hydraulic)</t>
  </si>
  <si>
    <t>£100,000 - £150,000</t>
  </si>
  <si>
    <t>Spinner</t>
  </si>
  <si>
    <t>£20,000 - £30,000</t>
  </si>
  <si>
    <t>Rotor Auxiliary Systems</t>
  </si>
  <si>
    <t>£3,000 - £10,000</t>
  </si>
  <si>
    <t>Fabricated Steel Components</t>
  </si>
  <si>
    <t>£100's to £20-000</t>
  </si>
  <si>
    <t xml:space="preserve">Tower </t>
  </si>
  <si>
    <t>CAPEX (£/MW)</t>
  </si>
  <si>
    <t>Availability</t>
  </si>
  <si>
    <t>Profit (strike price-LCOE) (£/MWh)</t>
  </si>
  <si>
    <t>Strike Price (p/kWh)</t>
  </si>
  <si>
    <t>30p/kWh</t>
  </si>
  <si>
    <t>Strike Price (£/MWh)</t>
  </si>
  <si>
    <t>p/kWh</t>
  </si>
  <si>
    <t>LCOE £/MWh</t>
  </si>
  <si>
    <t>AEPnet (MWh/MW/yr)</t>
  </si>
  <si>
    <t>FCR (%)</t>
  </si>
  <si>
    <t>Discount Rate (%)</t>
  </si>
  <si>
    <t xml:space="preserve">Discount Rate </t>
  </si>
  <si>
    <t xml:space="preserve">Capacity Factor </t>
  </si>
  <si>
    <t>Yearly Energy Generation (MWh)</t>
  </si>
  <si>
    <t>OPEX £/kW-yr</t>
  </si>
  <si>
    <t>OPEX £/MW-yr</t>
  </si>
  <si>
    <t>CAPEX (£/kW)</t>
  </si>
  <si>
    <t>Hybrid</t>
  </si>
  <si>
    <t>Tidal</t>
  </si>
  <si>
    <t>Wind</t>
  </si>
  <si>
    <t>Wind Turbine Capital Cost</t>
  </si>
  <si>
    <t>Foundation Capital Cost</t>
  </si>
  <si>
    <t>Transmission Capital Cost</t>
  </si>
  <si>
    <t>No need to account for electrical as separate analysis (-13%)</t>
  </si>
  <si>
    <t>Tidal Capital Cost</t>
  </si>
  <si>
    <t>Annual Tidal Operating Cost</t>
  </si>
  <si>
    <t>Annual Wind Operating Cost</t>
  </si>
  <si>
    <t>Annual Transmission Operation Costs</t>
  </si>
  <si>
    <t>Operating Costs</t>
  </si>
  <si>
    <t>Total Operating Costs</t>
  </si>
  <si>
    <t>Lifetime Operating Costs (20 years)</t>
  </si>
  <si>
    <t>Misc. Costs factor</t>
  </si>
  <si>
    <t>£82,000/MW</t>
  </si>
  <si>
    <t>annual</t>
  </si>
  <si>
    <t>Capital Cost Ref:</t>
  </si>
  <si>
    <t>Operating Cost Ref:</t>
  </si>
  <si>
    <t>http://www.nrel.gov/docs/fy16osti/64281.pdf</t>
  </si>
  <si>
    <t>https://www.thecrownestate.co.uk/media/5408/ei-a-guide-to-an-offshore-wind-farm.pdf</t>
  </si>
  <si>
    <t>No. of Systems</t>
  </si>
  <si>
    <t>Cost Per Turbine</t>
  </si>
  <si>
    <t>Operating Cost Per Turbine</t>
  </si>
  <si>
    <t>Contingency (9%)</t>
  </si>
  <si>
    <t>Misc (decomissioning, engineering &amp; management, development) (8%)</t>
  </si>
  <si>
    <t>Installation (estimated 8%)</t>
  </si>
  <si>
    <t>Total Capital cost (£)</t>
  </si>
  <si>
    <t>LCOE</t>
  </si>
  <si>
    <t>Strike Price</t>
  </si>
  <si>
    <t>No. of turbines</t>
  </si>
  <si>
    <t>20km to shore</t>
  </si>
  <si>
    <t>10km to shore</t>
  </si>
  <si>
    <t>6km to shore</t>
  </si>
  <si>
    <t>Fixed Charge Rate</t>
  </si>
  <si>
    <t>Capacity Factor</t>
  </si>
  <si>
    <t>CAPEX from Iains array</t>
  </si>
  <si>
    <t>20km</t>
  </si>
  <si>
    <t>10km</t>
  </si>
  <si>
    <t>(Assumed 20 year project lifetime)</t>
  </si>
  <si>
    <t>Total CAPEX increased by 5% to account for miscellaneous extra costs</t>
  </si>
  <si>
    <t>Strike Price (£.MWh)</t>
  </si>
  <si>
    <t>Annual Energy Output (MWh)</t>
  </si>
  <si>
    <t>Hybrid System has reductions of 36% of tidal capital costs</t>
  </si>
  <si>
    <t>LCO</t>
  </si>
  <si>
    <t>Using this data the wind turbine was estimated to cost: £5,000,000</t>
  </si>
  <si>
    <t>Cumulative Discounted cash flow</t>
  </si>
  <si>
    <t>Discounted cash flow</t>
  </si>
  <si>
    <t>Net Present Value</t>
  </si>
  <si>
    <t>Present Value Factor</t>
  </si>
  <si>
    <t>Net</t>
  </si>
  <si>
    <t>Cashflow</t>
  </si>
  <si>
    <t>Income</t>
  </si>
  <si>
    <t>Expenses</t>
  </si>
  <si>
    <t>Year</t>
  </si>
  <si>
    <t>discount rate</t>
  </si>
  <si>
    <t>Total CAPEX</t>
  </si>
  <si>
    <t>CAPEX/MW</t>
  </si>
  <si>
    <t>NET income per year</t>
  </si>
  <si>
    <t>Lifetime OPEX</t>
  </si>
  <si>
    <t>Yearly OPEX</t>
  </si>
  <si>
    <t>Total Income £</t>
  </si>
  <si>
    <t>Yearly Income £</t>
  </si>
  <si>
    <t>Yearly Generation</t>
  </si>
  <si>
    <t>Additional Costs Added: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</si>
</sst>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£&quot;#,##0;[Red]\-&quot;£&quot;#,##0"/>
    <numFmt numFmtId="165" formatCode="&quot;£&quot;#,##0.00;[Red]\-&quot;£&quot;#,##0.00"/>
    <numFmt numFmtId="166" formatCode="_-&quot;£&quot;* #,##0.00_-;\-&quot;£&quot;* #,##0.00_-;_-&quot;£&quot;* &quot;-&quot;??_-;_-@_-"/>
    <numFmt numFmtId="167" formatCode="&quot;£&quot;#,##0.00"/>
    <numFmt numFmtId="168" formatCode="0.0000"/>
    <numFmt numFmtId="169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167" fontId="0" fillId="0" borderId="0" xfId="0" applyNumberFormat="1"/>
    <xf numFmtId="0" fontId="2" fillId="0" borderId="0" xfId="1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wrapText="1"/>
    </xf>
    <xf numFmtId="165" fontId="0" fillId="0" borderId="0" xfId="0" applyNumberFormat="1"/>
    <xf numFmtId="168" fontId="0" fillId="0" borderId="0" xfId="0" applyNumberFormat="1"/>
    <xf numFmtId="165" fontId="0" fillId="3" borderId="0" xfId="0" applyNumberFormat="1" applyFill="1"/>
    <xf numFmtId="164" fontId="0" fillId="3" borderId="0" xfId="0" applyNumberFormat="1" applyFill="1"/>
    <xf numFmtId="164" fontId="0" fillId="0" borderId="0" xfId="0" applyNumberFormat="1"/>
    <xf numFmtId="0" fontId="1" fillId="4" borderId="0" xfId="0" applyFont="1" applyFill="1"/>
    <xf numFmtId="164" fontId="1" fillId="4" borderId="0" xfId="0" applyNumberFormat="1" applyFont="1" applyFill="1"/>
    <xf numFmtId="0" fontId="0" fillId="4" borderId="0" xfId="0" applyFill="1"/>
    <xf numFmtId="164" fontId="0" fillId="4" borderId="0" xfId="0" applyNumberFormat="1" applyFill="1" applyAlignment="1">
      <alignment horizontal="left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164" fontId="0" fillId="4" borderId="6" xfId="0" applyNumberFormat="1" applyFill="1" applyBorder="1" applyAlignment="1">
      <alignment horizontal="left"/>
    </xf>
    <xf numFmtId="0" fontId="3" fillId="2" borderId="0" xfId="0" applyFont="1" applyFill="1"/>
    <xf numFmtId="0" fontId="1" fillId="2" borderId="0" xfId="0" applyFont="1" applyFill="1"/>
    <xf numFmtId="164" fontId="0" fillId="2" borderId="0" xfId="0" applyNumberFormat="1" applyFill="1" applyAlignment="1">
      <alignment horizontal="left"/>
    </xf>
    <xf numFmtId="0" fontId="1" fillId="0" borderId="0" xfId="0" applyFont="1"/>
    <xf numFmtId="164" fontId="1" fillId="0" borderId="0" xfId="0" applyNumberFormat="1" applyFont="1"/>
    <xf numFmtId="9" fontId="0" fillId="0" borderId="0" xfId="0" applyNumberFormat="1"/>
    <xf numFmtId="0" fontId="0" fillId="5" borderId="0" xfId="0" applyFill="1"/>
    <xf numFmtId="167" fontId="0" fillId="5" borderId="0" xfId="0" applyNumberFormat="1" applyFill="1"/>
    <xf numFmtId="167" fontId="1" fillId="0" borderId="0" xfId="0" applyNumberFormat="1" applyFont="1"/>
    <xf numFmtId="0" fontId="1" fillId="0" borderId="0" xfId="0" applyFont="1" applyAlignment="1"/>
    <xf numFmtId="0" fontId="0" fillId="0" borderId="0" xfId="0" applyFont="1" applyAlignment="1"/>
    <xf numFmtId="0" fontId="1" fillId="5" borderId="0" xfId="0" applyFont="1" applyFill="1"/>
    <xf numFmtId="167" fontId="1" fillId="5" borderId="0" xfId="0" applyNumberFormat="1" applyFont="1" applyFill="1"/>
    <xf numFmtId="3" fontId="0" fillId="5" borderId="0" xfId="0" applyNumberFormat="1" applyFill="1"/>
    <xf numFmtId="169" fontId="0" fillId="0" borderId="0" xfId="0" applyNumberFormat="1"/>
    <xf numFmtId="10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4" xfId="0" applyBorder="1"/>
    <xf numFmtId="0" fontId="0" fillId="0" borderId="0" xfId="0" applyBorder="1"/>
    <xf numFmtId="0" fontId="0" fillId="0" borderId="3" xfId="0" applyBorder="1"/>
    <xf numFmtId="0" fontId="0" fillId="0" borderId="0" xfId="0" applyFill="1" applyBorder="1"/>
    <xf numFmtId="0" fontId="0" fillId="0" borderId="2" xfId="0" applyBorder="1"/>
    <xf numFmtId="0" fontId="0" fillId="0" borderId="8" xfId="0" applyBorder="1"/>
    <xf numFmtId="0" fontId="0" fillId="0" borderId="1" xfId="0" applyBorder="1"/>
    <xf numFmtId="166" fontId="4" fillId="0" borderId="0" xfId="0" applyNumberFormat="1" applyFont="1"/>
    <xf numFmtId="166" fontId="0" fillId="0" borderId="0" xfId="0" applyNumberFormat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Cumulative Discounted Cash Flow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turbine payback'!$C$27</c:f>
              <c:strCache>
                <c:ptCount val="1"/>
                <c:pt idx="0">
                  <c:v>Cumulative Discounted cash flow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'10 turbine payback'!$D$27:$X$27</c:f>
              <c:numCache>
                <c:formatCode>General</c:formatCode>
                <c:ptCount val="21"/>
                <c:pt idx="0">
                  <c:v>-188160000</c:v>
                </c:pt>
                <c:pt idx="1">
                  <c:v>-165858809.45454544</c:v>
                </c:pt>
                <c:pt idx="2">
                  <c:v>-145584999.86776859</c:v>
                </c:pt>
                <c:pt idx="3">
                  <c:v>-127154263.87978962</c:v>
                </c:pt>
                <c:pt idx="4">
                  <c:v>-110399049.34526329</c:v>
                </c:pt>
                <c:pt idx="5">
                  <c:v>-95167036.132057533</c:v>
                </c:pt>
                <c:pt idx="6">
                  <c:v>-81319751.392779574</c:v>
                </c:pt>
                <c:pt idx="7">
                  <c:v>-68731310.720708713</c:v>
                </c:pt>
                <c:pt idx="8">
                  <c:v>-57287273.746098831</c:v>
                </c:pt>
                <c:pt idx="9">
                  <c:v>-46883603.76918076</c:v>
                </c:pt>
                <c:pt idx="10">
                  <c:v>-37425721.971982516</c:v>
                </c:pt>
                <c:pt idx="11">
                  <c:v>-28827647.610893205</c:v>
                </c:pt>
                <c:pt idx="12">
                  <c:v>-21011216.373539284</c:v>
                </c:pt>
                <c:pt idx="13">
                  <c:v>-13905369.794126628</c:v>
                </c:pt>
                <c:pt idx="14">
                  <c:v>-7445509.2673878511</c:v>
                </c:pt>
                <c:pt idx="15">
                  <c:v>-1572908.7885344177</c:v>
                </c:pt>
                <c:pt idx="16">
                  <c:v>3765818.9195141578</c:v>
                </c:pt>
                <c:pt idx="17">
                  <c:v>8619207.7450128626</c:v>
                </c:pt>
                <c:pt idx="18">
                  <c:v>13031379.404557139</c:v>
                </c:pt>
                <c:pt idx="19">
                  <c:v>17042444.54959739</c:v>
                </c:pt>
                <c:pt idx="20">
                  <c:v>20688867.408724889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7-4A4C-82A6-961A79402714}"/>
            </c:ext>
          </c:extLst>
        </c:ser>
        <c:ser>
          <c:idx val="1"/>
          <c:order val="1"/>
          <c:tx>
            <c:strRef>
              <c:f>'10 turbine payback'!$C$28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'10 turbine payback'!$D$28:$X$28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37-4A4C-82A6-961A79402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8118216"/>
        <c:axId val="158115472"/>
      </c:barChart>
      <c:catAx>
        <c:axId val="158118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Year of Project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15472"/>
        <c:crosses val="autoZero"/>
        <c:auto val="1"/>
        <c:lblAlgn val="ctr"/>
        <c:lblOffset val="100"/>
        <c:noMultiLvlLbl val="0"/>
      </c:catAx>
      <c:valAx>
        <c:axId val="15811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Discounted Cash Flow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18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LCOE with increasing</a:t>
            </a:r>
            <a:r>
              <a:rPr lang="en-GB" baseline="0"/>
              <a:t> number of turbines</a:t>
            </a:r>
            <a:r>
              <a:rPr lang="en-GB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LCOE!$O$34</c:f>
              <c:strCache>
                <c:ptCount val="1"/>
                <c:pt idx="0">
                  <c:v>6km to shore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LCOE!$P$34:$Y$34</c:f>
              <c:numCache>
                <c:formatCode>General</c:formatCode>
                <c:ptCount val="10"/>
                <c:pt idx="0">
                  <c:v>141.37728930911254</c:v>
                </c:pt>
                <c:pt idx="1">
                  <c:v>128.94966348674862</c:v>
                </c:pt>
                <c:pt idx="2">
                  <c:v>124.80711570476983</c:v>
                </c:pt>
                <c:pt idx="3">
                  <c:v>122.73584181378045</c:v>
                </c:pt>
                <c:pt idx="4">
                  <c:v>121.49307747918668</c:v>
                </c:pt>
                <c:pt idx="5">
                  <c:v>120.66456792279075</c:v>
                </c:pt>
                <c:pt idx="6">
                  <c:v>120.07277538250828</c:v>
                </c:pt>
                <c:pt idx="7">
                  <c:v>119.62893097729606</c:v>
                </c:pt>
                <c:pt idx="8">
                  <c:v>119.28371866213115</c:v>
                </c:pt>
                <c:pt idx="9">
                  <c:v>119.00754880999918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9-4DA6-856D-F6A9E055E87A}"/>
            </c:ext>
          </c:extLst>
        </c:ser>
        <c:ser>
          <c:idx val="1"/>
          <c:order val="1"/>
          <c:tx>
            <c:strRef>
              <c:f>LCOE!$O$40</c:f>
              <c:strCache>
                <c:ptCount val="1"/>
                <c:pt idx="0">
                  <c:v>No. of turbines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LCOE!$P$35:$Y$35</c:f>
              <c:numCache>
                <c:formatCode>General</c:formatCode>
                <c:ptCount val="10"/>
                <c:pt idx="0">
                  <c:v>153.29490988890089</c:v>
                </c:pt>
                <c:pt idx="1">
                  <c:v>134.90846501485643</c:v>
                </c:pt>
                <c:pt idx="2">
                  <c:v>128.77965005684172</c:v>
                </c:pt>
                <c:pt idx="3">
                  <c:v>125.71524257783422</c:v>
                </c:pt>
                <c:pt idx="4">
                  <c:v>123.87659809042964</c:v>
                </c:pt>
                <c:pt idx="5">
                  <c:v>122.6508350988267</c:v>
                </c:pt>
                <c:pt idx="6">
                  <c:v>121.77529010482462</c:v>
                </c:pt>
                <c:pt idx="7">
                  <c:v>121.11863135932309</c:v>
                </c:pt>
                <c:pt idx="8">
                  <c:v>120.60789677948844</c:v>
                </c:pt>
                <c:pt idx="9">
                  <c:v>120.19930911562079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9-4DA6-856D-F6A9E055E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366904"/>
        <c:axId val="335361416"/>
      </c:lineChart>
      <c:catAx>
        <c:axId val="335366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5361416"/>
        <c:crosses val="autoZero"/>
        <c:auto val="1"/>
        <c:lblAlgn val="ctr"/>
        <c:lblOffset val="100"/>
        <c:noMultiLvlLbl val="0"/>
      </c:catAx>
      <c:valAx>
        <c:axId val="33536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LCOE (£/MWh)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5366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LCOE with increasing no.</a:t>
            </a:r>
            <a:r>
              <a:rPr lang="en-US" b="1" baseline="0"/>
              <a:t> of systems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066794220815857"/>
          <c:y val="0.14193899782135078"/>
          <c:w val="0.80700005957199272"/>
          <c:h val="0.691430646332607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LCOE!$O$34</c:f>
              <c:strCache>
                <c:ptCount val="1"/>
                <c:pt idx="0">
                  <c:v>6km to shore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LCOE!$P$34:$Y$34</c:f>
              <c:numCache>
                <c:formatCode>General</c:formatCode>
                <c:ptCount val="10"/>
                <c:pt idx="0">
                  <c:v>141.37728930911254</c:v>
                </c:pt>
                <c:pt idx="1">
                  <c:v>128.94966348674862</c:v>
                </c:pt>
                <c:pt idx="2">
                  <c:v>124.80711570476983</c:v>
                </c:pt>
                <c:pt idx="3">
                  <c:v>122.73584181378045</c:v>
                </c:pt>
                <c:pt idx="4">
                  <c:v>121.49307747918668</c:v>
                </c:pt>
                <c:pt idx="5">
                  <c:v>120.66456792279075</c:v>
                </c:pt>
                <c:pt idx="6">
                  <c:v>120.07277538250828</c:v>
                </c:pt>
                <c:pt idx="7">
                  <c:v>119.62893097729606</c:v>
                </c:pt>
                <c:pt idx="8">
                  <c:v>119.28371866213115</c:v>
                </c:pt>
                <c:pt idx="9">
                  <c:v>119.00754880999918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1-4DEF-B65F-7E96FEE3924B}"/>
            </c:ext>
          </c:extLst>
        </c:ser>
        <c:ser>
          <c:idx val="1"/>
          <c:order val="1"/>
          <c:tx>
            <c:strRef>
              <c:f>LCOE!$O$40</c:f>
              <c:strCache>
                <c:ptCount val="1"/>
                <c:pt idx="0">
                  <c:v>No. of turbines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LCOE!$P$35:$Y$35</c:f>
              <c:numCache>
                <c:formatCode>General</c:formatCode>
                <c:ptCount val="10"/>
                <c:pt idx="0">
                  <c:v>153.29490988890089</c:v>
                </c:pt>
                <c:pt idx="1">
                  <c:v>134.90846501485643</c:v>
                </c:pt>
                <c:pt idx="2">
                  <c:v>128.77965005684172</c:v>
                </c:pt>
                <c:pt idx="3">
                  <c:v>125.71524257783422</c:v>
                </c:pt>
                <c:pt idx="4">
                  <c:v>123.87659809042964</c:v>
                </c:pt>
                <c:pt idx="5">
                  <c:v>122.6508350988267</c:v>
                </c:pt>
                <c:pt idx="6">
                  <c:v>121.77529010482462</c:v>
                </c:pt>
                <c:pt idx="7">
                  <c:v>121.11863135932309</c:v>
                </c:pt>
                <c:pt idx="8">
                  <c:v>120.60789677948844</c:v>
                </c:pt>
                <c:pt idx="9">
                  <c:v>120.19930911562079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1-4DEF-B65F-7E96FEE39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5362984"/>
        <c:axId val="335362592"/>
      </c:barChart>
      <c:catAx>
        <c:axId val="335362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5362592"/>
        <c:crosses val="autoZero"/>
        <c:auto val="1"/>
        <c:lblAlgn val="ctr"/>
        <c:lblOffset val="100"/>
        <c:noMultiLvlLbl val="0"/>
      </c:catAx>
      <c:valAx>
        <c:axId val="33536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LCOE (£/MWh)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5362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23652621693316378"/>
          <c:y val="0.91693856895339065"/>
          <c:w val="0.54919945754444233"/>
          <c:h val="6.12749386718817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Wind vs Hybrid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LCOE!$O$43</c:f>
              <c:strCache>
                <c:ptCount val="1"/>
                <c:pt idx="0">
                  <c:v>Strike Price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LCOE!$P$42:$Q$42</c:f>
              <c:strCache>
                <c:ptCount val="2"/>
                <c:pt idx="0">
                  <c:v>Wind</c:v>
                </c:pt>
                <c:pt idx="1">
                  <c:v>Hybrid</c:v>
                </c:pt>
              </c:strCache>
            </c:strRef>
          </c:cat>
          <c:val>
            <c:numRef>
              <c:f>LCOE!$P$43:$Q$43</c:f>
              <c:numCache>
                <c:formatCode>General</c:formatCode>
                <c:ptCount val="2"/>
                <c:pt idx="0">
                  <c:v>105</c:v>
                </c:pt>
                <c:pt idx="1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5-4980-8582-A5A80DBD7576}"/>
            </c:ext>
          </c:extLst>
        </c:ser>
        <c:ser>
          <c:idx val="1"/>
          <c:order val="1"/>
          <c:tx>
            <c:strRef>
              <c:f>LCOE!$O$44</c:f>
              <c:strCache>
                <c:ptCount val="1"/>
                <c:pt idx="0">
                  <c:v>LCOE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LCOE!$P$42:$Q$42</c:f>
              <c:strCache>
                <c:ptCount val="2"/>
                <c:pt idx="0">
                  <c:v>Wind</c:v>
                </c:pt>
                <c:pt idx="1">
                  <c:v>Hybrid</c:v>
                </c:pt>
              </c:strCache>
            </c:strRef>
          </c:cat>
          <c:val>
            <c:numRef>
              <c:f>LCOE!$P$44:$Q$44</c:f>
              <c:numCache>
                <c:formatCode>General</c:formatCode>
                <c:ptCount val="2"/>
                <c:pt idx="0">
                  <c:v>86.4</c:v>
                </c:pt>
                <c:pt idx="1">
                  <c:v>141.4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D5-4980-8582-A5A80DBD7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363376"/>
        <c:axId val="335363768"/>
      </c:barChart>
      <c:catAx>
        <c:axId val="33536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5363768"/>
        <c:crosses val="autoZero"/>
        <c:auto val="1"/>
        <c:lblAlgn val="ctr"/>
        <c:lblOffset val="100"/>
        <c:noMultiLvlLbl val="0"/>
      </c:catAx>
      <c:valAx>
        <c:axId val="335363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£/MWh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536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LCOE with changing</a:t>
            </a:r>
            <a:r>
              <a:rPr lang="en-US" baseline="0"/>
              <a:t> capacity factor</a:t>
            </a:r>
          </a:p>
        </c:rich>
      </c:tx>
      <c:layout>
        <c:manualLayout>
          <c:xMode val="edge"/>
          <c:yMode val="edge"/>
          <c:x val="0.216159667541557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LCOE!$AE$28</c:f>
              <c:strCache>
                <c:ptCount val="1"/>
                <c:pt idx="0">
                  <c:v>LCOE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LCOE!$AF$26:$AI$26</c:f>
              <c:numCache>
                <c:formatCode>General</c:formatCode>
                <c:ptCount val="4"/>
                <c:pt idx="0">
                  <c:v>0.3</c:v>
                </c:pt>
                <c:pt idx="1">
                  <c:v>0.35</c:v>
                </c:pt>
                <c:pt idx="2">
                  <c:v>0.4</c:v>
                </c:pt>
                <c:pt idx="3">
                  <c:v>0.45</c:v>
                </c:pt>
              </c:numCache>
            </c:numRef>
          </c:cat>
          <c:val>
            <c:numRef>
              <c:f>LCOE!$AF$28:$AI$28</c:f>
              <c:numCache>
                <c:formatCode>General</c:formatCode>
                <c:ptCount val="4"/>
                <c:pt idx="0">
                  <c:v>188.5</c:v>
                </c:pt>
                <c:pt idx="1">
                  <c:v>161.57</c:v>
                </c:pt>
                <c:pt idx="2">
                  <c:v>141.38</c:v>
                </c:pt>
                <c:pt idx="3">
                  <c:v>125.67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4-41E4-94B5-E02CBC66C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365336"/>
        <c:axId val="335366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LCOE!$AE$27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LCOE!$AF$26:$AI$26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0.3</c:v>
                      </c:pt>
                      <c:pt idx="1">
                        <c:v>0.35</c:v>
                      </c:pt>
                      <c:pt idx="2">
                        <c:v>0.4</c:v>
                      </c:pt>
                      <c:pt idx="3">
                        <c:v>0.45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LCOE!$AF$27:$AI$27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294-41E4-94B5-E02CBC66C703}"/>
                  </c:ext>
                </c:extLst>
              </c15:ser>
            </c15:filteredBarSeries>
          </c:ext>
        </c:extLst>
      </c:barChart>
      <c:catAx>
        <c:axId val="335365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Capacity Factor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5366120"/>
        <c:crosses val="autoZero"/>
        <c:auto val="1"/>
        <c:lblAlgn val="ctr"/>
        <c:lblOffset val="100"/>
        <c:noMultiLvlLbl val="0"/>
      </c:catAx>
      <c:valAx>
        <c:axId val="33536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LCOE (£/MWh)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5365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LCOE vs distance to shore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LCOE!$O$34</c:f>
              <c:strCache>
                <c:ptCount val="1"/>
                <c:pt idx="0">
                  <c:v>6km to shore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LCOE!$P$34:$Y$34</c:f>
              <c:numCache>
                <c:formatCode>General</c:formatCode>
                <c:ptCount val="10"/>
                <c:pt idx="0">
                  <c:v>141.37728930911254</c:v>
                </c:pt>
                <c:pt idx="1">
                  <c:v>128.94966348674862</c:v>
                </c:pt>
                <c:pt idx="2">
                  <c:v>124.80711570476983</c:v>
                </c:pt>
                <c:pt idx="3">
                  <c:v>122.73584181378045</c:v>
                </c:pt>
                <c:pt idx="4">
                  <c:v>121.49307747918668</c:v>
                </c:pt>
                <c:pt idx="5">
                  <c:v>120.66456792279075</c:v>
                </c:pt>
                <c:pt idx="6">
                  <c:v>120.07277538250828</c:v>
                </c:pt>
                <c:pt idx="7">
                  <c:v>119.62893097729606</c:v>
                </c:pt>
                <c:pt idx="8">
                  <c:v>119.28371866213115</c:v>
                </c:pt>
                <c:pt idx="9">
                  <c:v>119.00754880999918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2-4000-B2E5-923BC2CF4E50}"/>
            </c:ext>
          </c:extLst>
        </c:ser>
        <c:ser>
          <c:idx val="1"/>
          <c:order val="1"/>
          <c:tx>
            <c:strRef>
              <c:f>LCOE!$O$35</c:f>
              <c:strCache>
                <c:ptCount val="1"/>
                <c:pt idx="0">
                  <c:v>10km to shore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LCOE!$P$35:$Y$35</c:f>
              <c:numCache>
                <c:formatCode>General</c:formatCode>
                <c:ptCount val="10"/>
                <c:pt idx="0">
                  <c:v>153.29490988890089</c:v>
                </c:pt>
                <c:pt idx="1">
                  <c:v>134.90846501485643</c:v>
                </c:pt>
                <c:pt idx="2">
                  <c:v>128.77965005684172</c:v>
                </c:pt>
                <c:pt idx="3">
                  <c:v>125.71524257783422</c:v>
                </c:pt>
                <c:pt idx="4">
                  <c:v>123.87659809042964</c:v>
                </c:pt>
                <c:pt idx="5">
                  <c:v>122.6508350988267</c:v>
                </c:pt>
                <c:pt idx="6">
                  <c:v>121.77529010482462</c:v>
                </c:pt>
                <c:pt idx="7">
                  <c:v>121.11863135932309</c:v>
                </c:pt>
                <c:pt idx="8">
                  <c:v>120.60789677948844</c:v>
                </c:pt>
                <c:pt idx="9">
                  <c:v>120.19930911562079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2-4000-B2E5-923BC2CF4E50}"/>
            </c:ext>
          </c:extLst>
        </c:ser>
        <c:ser>
          <c:idx val="2"/>
          <c:order val="2"/>
          <c:tx>
            <c:strRef>
              <c:f>LCOE!$O$36</c:f>
              <c:strCache>
                <c:ptCount val="1"/>
                <c:pt idx="0">
                  <c:v>20km to shore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LCOE!$P$36:$Y$36</c:f>
              <c:numCache>
                <c:formatCode>General</c:formatCode>
                <c:ptCount val="10"/>
                <c:pt idx="0">
                  <c:v>183.08891752943998</c:v>
                </c:pt>
                <c:pt idx="1">
                  <c:v>149.80546883512582</c:v>
                </c:pt>
                <c:pt idx="2">
                  <c:v>138.71098593702141</c:v>
                </c:pt>
                <c:pt idx="3">
                  <c:v>133.16374448796904</c:v>
                </c:pt>
                <c:pt idx="4">
                  <c:v>129.83539961853745</c:v>
                </c:pt>
                <c:pt idx="5">
                  <c:v>127.61650303891669</c:v>
                </c:pt>
                <c:pt idx="6">
                  <c:v>126.0315769106158</c:v>
                </c:pt>
                <c:pt idx="7">
                  <c:v>124.84288231439049</c:v>
                </c:pt>
                <c:pt idx="8">
                  <c:v>123.91834207288169</c:v>
                </c:pt>
                <c:pt idx="9">
                  <c:v>123.17870987967486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82-4000-B2E5-923BC2CF4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360632"/>
        <c:axId val="335361024"/>
      </c:lineChart>
      <c:catAx>
        <c:axId val="33536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5361024"/>
        <c:crosses val="autoZero"/>
        <c:auto val="1"/>
        <c:lblAlgn val="ctr"/>
        <c:lblOffset val="100"/>
        <c:noMultiLvlLbl val="0"/>
      </c:catAx>
      <c:valAx>
        <c:axId val="33536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LCOE (£/MWh)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5360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Wind vs Hybrid (modified)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LCOE!$O$43</c:f>
              <c:strCache>
                <c:ptCount val="1"/>
                <c:pt idx="0">
                  <c:v>Strike Price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LCOE!$P$42:$Q$42</c:f>
              <c:strCache>
                <c:ptCount val="2"/>
                <c:pt idx="0">
                  <c:v>Wind</c:v>
                </c:pt>
                <c:pt idx="1">
                  <c:v>Hybrid</c:v>
                </c:pt>
              </c:strCache>
            </c:strRef>
          </c:cat>
          <c:val>
            <c:numRef>
              <c:f>LCOE!$P$43:$Q$43</c:f>
              <c:numCache>
                <c:formatCode>General</c:formatCode>
                <c:ptCount val="2"/>
                <c:pt idx="0">
                  <c:v>105</c:v>
                </c:pt>
                <c:pt idx="1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7-4CFA-94B1-ED84ECD3D6DC}"/>
            </c:ext>
          </c:extLst>
        </c:ser>
        <c:ser>
          <c:idx val="1"/>
          <c:order val="1"/>
          <c:tx>
            <c:strRef>
              <c:f>LCOE!$O$44</c:f>
              <c:strCache>
                <c:ptCount val="1"/>
                <c:pt idx="0">
                  <c:v>LCOE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LCOE!$P$42:$Q$42</c:f>
              <c:strCache>
                <c:ptCount val="2"/>
                <c:pt idx="0">
                  <c:v>Wind</c:v>
                </c:pt>
                <c:pt idx="1">
                  <c:v>Hybrid</c:v>
                </c:pt>
              </c:strCache>
            </c:strRef>
          </c:cat>
          <c:val>
            <c:numRef>
              <c:f>LCOE!$P$44:$Q$44</c:f>
              <c:numCache>
                <c:formatCode>General</c:formatCode>
                <c:ptCount val="2"/>
                <c:pt idx="0">
                  <c:v>86.4</c:v>
                </c:pt>
                <c:pt idx="1">
                  <c:v>141.4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F7-4CFA-94B1-ED84ECD3D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049336"/>
        <c:axId val="336050120"/>
      </c:barChart>
      <c:catAx>
        <c:axId val="33604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6050120"/>
        <c:crosses val="autoZero"/>
        <c:auto val="1"/>
        <c:lblAlgn val="ctr"/>
        <c:lblOffset val="100"/>
        <c:noMultiLvlLbl val="0"/>
      </c:catAx>
      <c:valAx>
        <c:axId val="3360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LCOE (£/MWh)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604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LCOE!$AE$33</c:f>
              <c:strCache>
                <c:ptCount val="1"/>
                <c:pt idx="0">
                  <c:v>LCOE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LCOE!$AF$31:$AI$31</c:f>
              <c:numCache>
                <c:formatCode>0.00%</c:formatCode>
                <c:ptCount val="4"/>
                <c:pt idx="0" formatCode="0.0%">
                  <c:v>9.5000000000000001E-2</c:v>
                </c:pt>
                <c:pt idx="1">
                  <c:v>9.8500000000000004E-2</c:v>
                </c:pt>
                <c:pt idx="2" formatCode="0.0%">
                  <c:v>0.1</c:v>
                </c:pt>
                <c:pt idx="3" formatCode="0.0%">
                  <c:v>0.105</c:v>
                </c:pt>
              </c:numCache>
            </c:numRef>
          </c:cat>
          <c:val>
            <c:numRef>
              <c:f>LCOE!$AF$33:$AI$33</c:f>
              <c:numCache>
                <c:formatCode>General</c:formatCode>
                <c:ptCount val="4"/>
                <c:pt idx="0">
                  <c:v>138.19</c:v>
                </c:pt>
                <c:pt idx="1">
                  <c:v>141.38</c:v>
                </c:pt>
                <c:pt idx="2">
                  <c:v>143.5</c:v>
                </c:pt>
                <c:pt idx="3">
                  <c:v>148.82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F-4CDE-8F37-17C46B61C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048160"/>
        <c:axId val="3360540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LCOE!$AE$32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LCOE!$AF$31:$AI$31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 formatCode="0.0%">
                        <c:v>9.5000000000000001E-2</c:v>
                      </c:pt>
                      <c:pt idx="1">
                        <c:v>9.8500000000000004E-2</c:v>
                      </c:pt>
                      <c:pt idx="2" formatCode="0.0%">
                        <c:v>0.1</c:v>
                      </c:pt>
                      <c:pt idx="3" formatCode="0.0%">
                        <c:v>0.105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LCOE!$AF$32:$AI$32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88F-4CDE-8F37-17C46B61C6AD}"/>
                  </c:ext>
                </c:extLst>
              </c15:ser>
            </c15:filteredBarSeries>
          </c:ext>
        </c:extLst>
      </c:barChart>
      <c:catAx>
        <c:axId val="336048160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6054040"/>
        <c:crosses val="autoZero"/>
        <c:auto val="1"/>
        <c:lblAlgn val="ctr"/>
        <c:lblOffset val="100"/>
        <c:noMultiLvlLbl val="0"/>
      </c:catAx>
      <c:valAx>
        <c:axId val="3360540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604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1</xdr:row>
      <xdr:rowOff>85725</xdr:rowOff>
    </xdr:from>
    <xdr:to>
      <xdr:col>20</xdr:col>
      <xdr:colOff>47625</xdr:colOff>
      <xdr:row>18</xdr:row>
      <xdr:rowOff>11885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8A2F42-39CD-449E-8FF5-743B8DBD9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7025" y="276225"/>
          <a:ext cx="5724525" cy="335516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113752</xdr:colOff>
      <xdr:row>36</xdr:row>
      <xdr:rowOff>18690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439C5E-142D-460E-9E65-407EA15BB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7525" y="4000500"/>
          <a:ext cx="4380952" cy="28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243840</xdr:colOff>
      <xdr:row>29</xdr:row>
      <xdr:rowOff>76200</xdr:rowOff>
    </xdr:from>
    <xdr:to>
      <xdr:col>23</xdr:col>
      <xdr:colOff>495300</xdr:colOff>
      <xdr:row>51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</xdr:colOff>
      <xdr:row>2</xdr:row>
      <xdr:rowOff>91440</xdr:rowOff>
    </xdr:from>
    <xdr:to>
      <xdr:col>9</xdr:col>
      <xdr:colOff>358140</xdr:colOff>
      <xdr:row>17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19</xdr:row>
      <xdr:rowOff>129540</xdr:rowOff>
    </xdr:from>
    <xdr:to>
      <xdr:col>11</xdr:col>
      <xdr:colOff>289560</xdr:colOff>
      <xdr:row>38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586740</xdr:colOff>
      <xdr:row>1</xdr:row>
      <xdr:rowOff>7620</xdr:rowOff>
    </xdr:from>
    <xdr:to>
      <xdr:col>18</xdr:col>
      <xdr:colOff>281940</xdr:colOff>
      <xdr:row>16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510540</xdr:colOff>
      <xdr:row>16</xdr:row>
      <xdr:rowOff>99060</xdr:rowOff>
    </xdr:from>
    <xdr:to>
      <xdr:col>19</xdr:col>
      <xdr:colOff>205740</xdr:colOff>
      <xdr:row>31</xdr:row>
      <xdr:rowOff>99060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601980</xdr:colOff>
      <xdr:row>32</xdr:row>
      <xdr:rowOff>7620</xdr:rowOff>
    </xdr:from>
    <xdr:to>
      <xdr:col>19</xdr:col>
      <xdr:colOff>297180</xdr:colOff>
      <xdr:row>47</xdr:row>
      <xdr:rowOff>7620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28</xdr:col>
      <xdr:colOff>304800</xdr:colOff>
      <xdr:row>21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40</xdr:row>
      <xdr:rowOff>0</xdr:rowOff>
    </xdr:from>
    <xdr:to>
      <xdr:col>10</xdr:col>
      <xdr:colOff>304800</xdr:colOff>
      <xdr:row>55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ESRU/Cost-Analysis-Wind-Turbine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bine cost breakdown"/>
      <sheetName val="Sheet4"/>
      <sheetName val="WInd Capex breakdown"/>
      <sheetName val="Sheet6"/>
      <sheetName val="LCOE sensitivity Analysis"/>
      <sheetName val="Array"/>
    </sheetNames>
    <sheetDataSet>
      <sheetData sheetId="0"/>
      <sheetData sheetId="1"/>
      <sheetData sheetId="2"/>
      <sheetData sheetId="3">
        <row r="28">
          <cell r="J28">
            <v>73.990397478265322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ecc.biz/Reliability/2014_TEPPC_Transmission_CapCost_Report_B+V.pdf" TargetMode="External"/><Relationship Id="rId1" Type="http://schemas.openxmlformats.org/officeDocument/2006/relationships/hyperlink" Target="https://ore.catapult.org.uk/wp-content/uploads/2016/05/Transmission-Costs-for-Offshore-Wind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B1" workbookViewId="0">
      <selection activeCell="E24" sqref="E24"/>
    </sheetView>
  </sheetViews>
  <sheetFormatPr baseColWidth="10" defaultColWidth="9.140625" defaultRowHeight="15" x14ac:dyDescent="0.25"/>
  <cols>
    <col min="1" max="1" width="36.85546875" bestFit="1" customWidth="1"/>
    <col min="2" max="2" width="16.42578125" bestFit="1" customWidth="1"/>
    <col min="3" max="11" width="12.7109375" bestFit="1" customWidth="1"/>
  </cols>
  <sheetData>
    <row r="1" spans="1:11" x14ac:dyDescent="0.25">
      <c r="A1" t="s">
        <v>15</v>
      </c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</row>
    <row r="2" spans="1:11" x14ac:dyDescent="0.25">
      <c r="A2" t="s">
        <v>7</v>
      </c>
      <c r="B2">
        <v>500</v>
      </c>
      <c r="C2">
        <v>500</v>
      </c>
      <c r="D2">
        <v>500</v>
      </c>
      <c r="E2">
        <v>500</v>
      </c>
      <c r="F2">
        <v>500</v>
      </c>
      <c r="G2">
        <v>500</v>
      </c>
      <c r="H2">
        <v>500</v>
      </c>
      <c r="I2">
        <v>500</v>
      </c>
      <c r="J2">
        <v>500</v>
      </c>
      <c r="K2">
        <v>500</v>
      </c>
    </row>
    <row r="3" spans="1:11" x14ac:dyDescent="0.25">
      <c r="A3" t="s">
        <v>0</v>
      </c>
    </row>
    <row r="4" spans="1:11" x14ac:dyDescent="0.25">
      <c r="A4" t="s">
        <v>6</v>
      </c>
      <c r="B4">
        <v>6000</v>
      </c>
      <c r="C4">
        <v>6000</v>
      </c>
      <c r="D4">
        <v>6000</v>
      </c>
      <c r="E4">
        <v>6000</v>
      </c>
      <c r="F4">
        <v>6000</v>
      </c>
      <c r="G4">
        <v>6000</v>
      </c>
      <c r="H4">
        <v>6000</v>
      </c>
      <c r="I4">
        <v>6000</v>
      </c>
      <c r="J4">
        <v>6000</v>
      </c>
      <c r="K4">
        <v>6000</v>
      </c>
    </row>
    <row r="5" spans="1:11" x14ac:dyDescent="0.25">
      <c r="A5" t="s">
        <v>5</v>
      </c>
      <c r="B5" s="1">
        <f>1300000*B14</f>
        <v>1625000</v>
      </c>
      <c r="C5" s="1">
        <f>1300000*B14</f>
        <v>1625000</v>
      </c>
      <c r="D5" s="1">
        <f>1300000*D14</f>
        <v>1625000</v>
      </c>
      <c r="E5" s="1">
        <f>1300000*E14</f>
        <v>1625000</v>
      </c>
      <c r="F5" s="1">
        <f t="shared" ref="F5:K5" si="0">1300000*F14</f>
        <v>1625000</v>
      </c>
      <c r="G5" s="1">
        <f t="shared" si="0"/>
        <v>1625000</v>
      </c>
      <c r="H5" s="1">
        <f t="shared" si="0"/>
        <v>1625000</v>
      </c>
      <c r="I5" s="1">
        <f t="shared" si="0"/>
        <v>1625000</v>
      </c>
      <c r="J5" s="1">
        <f t="shared" si="0"/>
        <v>1625000</v>
      </c>
      <c r="K5" s="1">
        <f t="shared" si="0"/>
        <v>1625000</v>
      </c>
    </row>
    <row r="6" spans="1:11" x14ac:dyDescent="0.25">
      <c r="A6" t="s">
        <v>13</v>
      </c>
      <c r="B6" s="1">
        <f>24000*B9</f>
        <v>168000</v>
      </c>
      <c r="C6" s="1">
        <f>24000*C9</f>
        <v>336000</v>
      </c>
      <c r="D6" s="1">
        <f>24000*D9</f>
        <v>504000</v>
      </c>
      <c r="E6" s="1">
        <f>24000*E9</f>
        <v>672000</v>
      </c>
      <c r="F6" s="1">
        <f t="shared" ref="F6:K6" si="1">24000*F9</f>
        <v>840000</v>
      </c>
      <c r="G6" s="1">
        <f t="shared" si="1"/>
        <v>1008000</v>
      </c>
      <c r="H6" s="1">
        <f t="shared" si="1"/>
        <v>1176000</v>
      </c>
      <c r="I6" s="1">
        <f t="shared" si="1"/>
        <v>1344000</v>
      </c>
      <c r="J6" s="1">
        <f t="shared" si="1"/>
        <v>1512000</v>
      </c>
      <c r="K6" s="1">
        <f t="shared" si="1"/>
        <v>1680000</v>
      </c>
    </row>
    <row r="7" spans="1:11" x14ac:dyDescent="0.25">
      <c r="A7" t="s">
        <v>8</v>
      </c>
      <c r="B7" s="1">
        <f>(((959700*B10)/B11)*(B4+(B2*B1))*B13)/1000</f>
        <v>3430226.6625233069</v>
      </c>
      <c r="C7" s="1">
        <f>(((959700*C10)/C11)*(C4+(C2*C1))*C13)/1000</f>
        <v>3716078.8844002485</v>
      </c>
      <c r="D7" s="1">
        <f>(((959700*D10)/D11)*(D4+(D2*D1))*D13)/1000</f>
        <v>4001931.1062771906</v>
      </c>
      <c r="E7" s="1">
        <f>(((959700*E10)/E11)*(E4+(E2*E1))*E13)/1000</f>
        <v>4287783.3281541327</v>
      </c>
      <c r="F7" s="1">
        <f t="shared" ref="F7:K7" si="2">(((959700*F10)/F11)*(F4+(F2*F1))*F13)/1000</f>
        <v>4573635.5500310753</v>
      </c>
      <c r="G7" s="1">
        <f t="shared" si="2"/>
        <v>4859487.7719080169</v>
      </c>
      <c r="H7" s="1">
        <f t="shared" si="2"/>
        <v>5145339.9937849594</v>
      </c>
      <c r="I7" s="1">
        <f t="shared" si="2"/>
        <v>5431192.215661901</v>
      </c>
      <c r="J7" s="1">
        <f t="shared" si="2"/>
        <v>5717044.4375388445</v>
      </c>
      <c r="K7" s="1">
        <f t="shared" si="2"/>
        <v>6002896.6594157862</v>
      </c>
    </row>
    <row r="8" spans="1:11" x14ac:dyDescent="0.25">
      <c r="A8" t="s">
        <v>14</v>
      </c>
      <c r="B8" s="1">
        <f>(2500000+(90000*(B4+(B2*B1)))/1000)</f>
        <v>3040000</v>
      </c>
      <c r="C8" s="1">
        <f>(2500000+(90000*(C4+(C2*C1)))/1000)</f>
        <v>3085000</v>
      </c>
      <c r="D8" s="1">
        <f>(2500000+(90000*(D4+(D2*D1)))/1000)</f>
        <v>3130000</v>
      </c>
      <c r="E8" s="1">
        <f>(2500000+(90000*(E4+(E2*E1)))/1000)</f>
        <v>3175000</v>
      </c>
      <c r="F8" s="1">
        <f t="shared" ref="F8:K8" si="3">(2500000+(90000*(F4+(F2*F1)))/1000)</f>
        <v>3220000</v>
      </c>
      <c r="G8" s="1">
        <f t="shared" si="3"/>
        <v>3265000</v>
      </c>
      <c r="H8" s="1">
        <f t="shared" si="3"/>
        <v>3310000</v>
      </c>
      <c r="I8" s="1">
        <f t="shared" si="3"/>
        <v>3355000</v>
      </c>
      <c r="J8" s="1">
        <f t="shared" si="3"/>
        <v>3400000</v>
      </c>
      <c r="K8" s="1">
        <f t="shared" si="3"/>
        <v>3445000</v>
      </c>
    </row>
    <row r="9" spans="1:11" x14ac:dyDescent="0.25">
      <c r="A9" t="s">
        <v>16</v>
      </c>
      <c r="B9">
        <f>7+(7*B1)</f>
        <v>7</v>
      </c>
      <c r="C9">
        <v>14</v>
      </c>
      <c r="D9">
        <v>21</v>
      </c>
      <c r="E9">
        <v>28</v>
      </c>
      <c r="F9">
        <v>35</v>
      </c>
      <c r="G9">
        <v>42</v>
      </c>
      <c r="H9">
        <v>49</v>
      </c>
      <c r="I9">
        <v>56</v>
      </c>
      <c r="J9">
        <v>63</v>
      </c>
      <c r="K9">
        <v>70</v>
      </c>
    </row>
    <row r="10" spans="1:11" x14ac:dyDescent="0.25">
      <c r="A10" t="s">
        <v>9</v>
      </c>
      <c r="B10">
        <v>0.63900000000000001</v>
      </c>
      <c r="C10">
        <v>0.63900000000000001</v>
      </c>
      <c r="D10">
        <v>0.63900000000000001</v>
      </c>
      <c r="E10">
        <v>0.63900000000000001</v>
      </c>
      <c r="F10">
        <v>0.63900000000000001</v>
      </c>
      <c r="G10">
        <v>0.63900000000000001</v>
      </c>
      <c r="H10">
        <v>0.63900000000000001</v>
      </c>
      <c r="I10">
        <v>0.63900000000000001</v>
      </c>
      <c r="J10">
        <v>0.63900000000000001</v>
      </c>
      <c r="K10">
        <v>0.63900000000000001</v>
      </c>
    </row>
    <row r="11" spans="1:11" x14ac:dyDescent="0.25">
      <c r="A11" t="s">
        <v>11</v>
      </c>
      <c r="B11">
        <v>1.609</v>
      </c>
      <c r="C11">
        <v>1.609</v>
      </c>
      <c r="D11">
        <v>1.609</v>
      </c>
      <c r="E11">
        <v>1.609</v>
      </c>
      <c r="F11">
        <v>1.609</v>
      </c>
      <c r="G11">
        <v>1.609</v>
      </c>
      <c r="H11">
        <v>1.609</v>
      </c>
      <c r="I11">
        <v>1.609</v>
      </c>
      <c r="J11">
        <v>1.609</v>
      </c>
      <c r="K11">
        <v>1.609</v>
      </c>
    </row>
    <row r="13" spans="1:11" x14ac:dyDescent="0.25">
      <c r="A13" t="s">
        <v>12</v>
      </c>
      <c r="B13">
        <v>1.5</v>
      </c>
      <c r="C13">
        <v>1.5</v>
      </c>
      <c r="D13">
        <v>1.5</v>
      </c>
      <c r="E13">
        <v>1.5</v>
      </c>
      <c r="F13">
        <v>1.5</v>
      </c>
      <c r="G13">
        <v>1.5</v>
      </c>
      <c r="H13">
        <v>1.5</v>
      </c>
      <c r="I13">
        <v>1.5</v>
      </c>
      <c r="J13">
        <v>1.5</v>
      </c>
      <c r="K13">
        <v>1.5</v>
      </c>
    </row>
    <row r="14" spans="1:11" x14ac:dyDescent="0.25">
      <c r="A14" t="s">
        <v>17</v>
      </c>
      <c r="B14">
        <v>1.25</v>
      </c>
      <c r="C14">
        <v>1.25</v>
      </c>
      <c r="D14">
        <v>1.25</v>
      </c>
      <c r="E14">
        <v>1.25</v>
      </c>
      <c r="F14">
        <v>1.25</v>
      </c>
      <c r="G14">
        <v>1.25</v>
      </c>
      <c r="H14">
        <v>1.25</v>
      </c>
      <c r="I14">
        <v>1.25</v>
      </c>
      <c r="J14">
        <v>1.25</v>
      </c>
      <c r="K14">
        <v>1.25</v>
      </c>
    </row>
    <row r="17" spans="1:2" x14ac:dyDescent="0.25">
      <c r="A17" t="s">
        <v>2</v>
      </c>
      <c r="B17" s="2" t="s">
        <v>1</v>
      </c>
    </row>
    <row r="18" spans="1:2" x14ac:dyDescent="0.25">
      <c r="A18" t="s">
        <v>3</v>
      </c>
      <c r="B18" s="2" t="s">
        <v>4</v>
      </c>
    </row>
  </sheetData>
  <hyperlinks>
    <hyperlink ref="B18" r:id="rId1"/>
    <hyperlink ref="B17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3" workbookViewId="0">
      <selection activeCell="A20" sqref="A20"/>
    </sheetView>
  </sheetViews>
  <sheetFormatPr baseColWidth="10" defaultColWidth="9.140625" defaultRowHeight="15" x14ac:dyDescent="0.25"/>
  <cols>
    <col min="1" max="1" width="57.28515625" customWidth="1"/>
    <col min="2" max="9" width="14.85546875" bestFit="1" customWidth="1"/>
    <col min="10" max="11" width="16.42578125" bestFit="1" customWidth="1"/>
  </cols>
  <sheetData>
    <row r="1" spans="1:11" x14ac:dyDescent="0.25">
      <c r="A1" t="s">
        <v>145</v>
      </c>
      <c r="B1" s="31">
        <v>1</v>
      </c>
      <c r="C1">
        <v>2</v>
      </c>
      <c r="D1" s="30">
        <v>3</v>
      </c>
      <c r="E1">
        <v>4</v>
      </c>
      <c r="F1" s="30">
        <v>5</v>
      </c>
      <c r="G1">
        <v>6</v>
      </c>
      <c r="H1" s="30">
        <v>7</v>
      </c>
      <c r="I1">
        <v>8</v>
      </c>
      <c r="J1" s="30">
        <v>9</v>
      </c>
      <c r="K1">
        <v>10</v>
      </c>
    </row>
    <row r="2" spans="1:11" x14ac:dyDescent="0.25">
      <c r="A2" t="s">
        <v>131</v>
      </c>
      <c r="B2" s="1">
        <f>'Tidal Turbine Costs'!B4</f>
        <v>4741632</v>
      </c>
      <c r="C2" s="1">
        <f>VALUE($B$2)</f>
        <v>4741632</v>
      </c>
      <c r="D2" s="1">
        <f t="shared" ref="D2:K2" si="0">VALUE($B$2)</f>
        <v>4741632</v>
      </c>
      <c r="E2" s="1">
        <f t="shared" si="0"/>
        <v>4741632</v>
      </c>
      <c r="F2" s="1">
        <f t="shared" si="0"/>
        <v>4741632</v>
      </c>
      <c r="G2" s="1">
        <f t="shared" si="0"/>
        <v>4741632</v>
      </c>
      <c r="H2" s="1">
        <f t="shared" si="0"/>
        <v>4741632</v>
      </c>
      <c r="I2" s="1">
        <f t="shared" si="0"/>
        <v>4741632</v>
      </c>
      <c r="J2" s="1">
        <f t="shared" si="0"/>
        <v>4741632</v>
      </c>
      <c r="K2" s="1">
        <f t="shared" si="0"/>
        <v>4741632</v>
      </c>
    </row>
    <row r="3" spans="1:11" x14ac:dyDescent="0.25">
      <c r="A3" t="s">
        <v>127</v>
      </c>
      <c r="B3" s="1">
        <f>'Wind Turbine Costs'!J3</f>
        <v>5000000</v>
      </c>
      <c r="C3" s="1">
        <f>VALUE($B$3)</f>
        <v>5000000</v>
      </c>
      <c r="D3" s="1">
        <f t="shared" ref="D3:K3" si="1">VALUE($B$3)</f>
        <v>5000000</v>
      </c>
      <c r="E3" s="1">
        <f t="shared" si="1"/>
        <v>5000000</v>
      </c>
      <c r="F3" s="1">
        <f t="shared" si="1"/>
        <v>5000000</v>
      </c>
      <c r="G3" s="1">
        <f t="shared" si="1"/>
        <v>5000000</v>
      </c>
      <c r="H3" s="1">
        <f t="shared" si="1"/>
        <v>5000000</v>
      </c>
      <c r="I3" s="1">
        <f t="shared" si="1"/>
        <v>5000000</v>
      </c>
      <c r="J3" s="1">
        <f t="shared" si="1"/>
        <v>5000000</v>
      </c>
      <c r="K3" s="1">
        <f t="shared" si="1"/>
        <v>5000000</v>
      </c>
    </row>
    <row r="4" spans="1:11" x14ac:dyDescent="0.25">
      <c r="A4" t="s">
        <v>128</v>
      </c>
      <c r="B4" s="6">
        <f>'Foundation costing'!E8</f>
        <v>1326069.7</v>
      </c>
      <c r="C4" s="1">
        <f>VALUE($B$4)</f>
        <v>1326069.7</v>
      </c>
      <c r="D4" s="1">
        <f t="shared" ref="D4:K4" si="2">VALUE($B$4)</f>
        <v>1326069.7</v>
      </c>
      <c r="E4" s="1">
        <f t="shared" si="2"/>
        <v>1326069.7</v>
      </c>
      <c r="F4" s="1">
        <f t="shared" si="2"/>
        <v>1326069.7</v>
      </c>
      <c r="G4" s="1">
        <f t="shared" si="2"/>
        <v>1326069.7</v>
      </c>
      <c r="H4" s="1">
        <f t="shared" si="2"/>
        <v>1326069.7</v>
      </c>
      <c r="I4" s="1">
        <f t="shared" si="2"/>
        <v>1326069.7</v>
      </c>
      <c r="J4" s="1">
        <f t="shared" si="2"/>
        <v>1326069.7</v>
      </c>
      <c r="K4" s="1">
        <f t="shared" si="2"/>
        <v>1326069.7</v>
      </c>
    </row>
    <row r="5" spans="1:11" x14ac:dyDescent="0.25">
      <c r="A5" t="s">
        <v>129</v>
      </c>
      <c r="B5" s="1">
        <f>'Transmission Costs'!B5+'Transmission Costs'!B7</f>
        <v>5055226.6625233069</v>
      </c>
      <c r="C5" s="1">
        <f>'Transmission Costs'!C5+'Transmission Costs'!C7</f>
        <v>5341078.8844002485</v>
      </c>
      <c r="D5" s="1">
        <f>'Transmission Costs'!D5+'Transmission Costs'!D7</f>
        <v>5626931.1062771901</v>
      </c>
      <c r="E5" s="1">
        <f>'Transmission Costs'!E5+'Transmission Costs'!E7</f>
        <v>5912783.3281541327</v>
      </c>
      <c r="F5" s="1">
        <f>'Transmission Costs'!F5+'Transmission Costs'!F7</f>
        <v>6198635.5500310753</v>
      </c>
      <c r="G5" s="1">
        <f>'Transmission Costs'!G5+'Transmission Costs'!G7</f>
        <v>6484487.7719080169</v>
      </c>
      <c r="H5" s="1">
        <f>'Transmission Costs'!H5+'Transmission Costs'!H7</f>
        <v>6770339.9937849594</v>
      </c>
      <c r="I5" s="1">
        <f>'Transmission Costs'!I5+'Transmission Costs'!I7</f>
        <v>7056192.215661901</v>
      </c>
      <c r="J5" s="1">
        <f>'Transmission Costs'!J5+'Transmission Costs'!J7</f>
        <v>7342044.4375388445</v>
      </c>
      <c r="K5" s="1">
        <f>'Transmission Costs'!K5+'Transmission Costs'!K7</f>
        <v>7627896.6594157862</v>
      </c>
    </row>
    <row r="6" spans="1:11" x14ac:dyDescent="0.25">
      <c r="A6" t="s">
        <v>138</v>
      </c>
      <c r="B6">
        <v>1.2</v>
      </c>
      <c r="C6">
        <v>1.2</v>
      </c>
      <c r="D6">
        <v>1.2</v>
      </c>
      <c r="E6">
        <v>1.2</v>
      </c>
      <c r="F6">
        <v>1.2</v>
      </c>
      <c r="G6">
        <v>1.2</v>
      </c>
      <c r="H6">
        <v>1.2</v>
      </c>
      <c r="I6">
        <v>1.2</v>
      </c>
      <c r="J6">
        <v>1.2</v>
      </c>
      <c r="K6">
        <v>1.2</v>
      </c>
    </row>
    <row r="7" spans="1:11" x14ac:dyDescent="0.25">
      <c r="A7" s="32" t="s">
        <v>50</v>
      </c>
      <c r="B7" s="33">
        <f>SUM(B2:B5)*B6*B1</f>
        <v>19347514.035027966</v>
      </c>
      <c r="C7" s="33">
        <f>((SUM(C2:C4)*C1)+C5)*C6</f>
        <v>32971778.741280295</v>
      </c>
      <c r="D7" s="33">
        <f t="shared" ref="D7:K7" si="3">((SUM(D2:D4)*D1)+D5)*D6</f>
        <v>46596043.447532631</v>
      </c>
      <c r="E7" s="33">
        <f t="shared" si="3"/>
        <v>60220308.153784953</v>
      </c>
      <c r="F7" s="33">
        <f t="shared" si="3"/>
        <v>73844572.860037282</v>
      </c>
      <c r="G7" s="33">
        <f t="shared" si="3"/>
        <v>87468837.566289619</v>
      </c>
      <c r="H7" s="33">
        <f t="shared" si="3"/>
        <v>101093102.27254194</v>
      </c>
      <c r="I7" s="33">
        <f t="shared" si="3"/>
        <v>114717366.97879426</v>
      </c>
      <c r="J7" s="33">
        <f t="shared" si="3"/>
        <v>128341631.68504661</v>
      </c>
      <c r="K7" s="33">
        <f t="shared" si="3"/>
        <v>141965896.39129892</v>
      </c>
    </row>
    <row r="8" spans="1:11" x14ac:dyDescent="0.25">
      <c r="A8" s="27" t="s">
        <v>146</v>
      </c>
      <c r="B8" s="28">
        <f>B7/B1</f>
        <v>19347514.035027966</v>
      </c>
      <c r="C8" s="28">
        <f t="shared" ref="C8:K8" si="4">C7/C1</f>
        <v>16485889.370640147</v>
      </c>
      <c r="D8" s="28">
        <f t="shared" si="4"/>
        <v>15532014.482510878</v>
      </c>
      <c r="E8" s="28">
        <f t="shared" si="4"/>
        <v>15055077.038446238</v>
      </c>
      <c r="F8" s="28">
        <f t="shared" si="4"/>
        <v>14768914.572007457</v>
      </c>
      <c r="G8" s="28">
        <f t="shared" si="4"/>
        <v>14578139.594381602</v>
      </c>
      <c r="H8" s="28">
        <f t="shared" si="4"/>
        <v>14441871.753220277</v>
      </c>
      <c r="I8" s="28">
        <f t="shared" si="4"/>
        <v>14339670.872349283</v>
      </c>
      <c r="J8" s="28">
        <f t="shared" si="4"/>
        <v>14260181.298338512</v>
      </c>
      <c r="K8" s="28">
        <f t="shared" si="4"/>
        <v>14196589.639129892</v>
      </c>
    </row>
    <row r="9" spans="1:11" x14ac:dyDescent="0.25">
      <c r="A9" t="s">
        <v>132</v>
      </c>
      <c r="B9" s="1">
        <f>'Tidal Turbine Costs'!B7</f>
        <v>249480</v>
      </c>
      <c r="C9" s="1">
        <f>VALUE($B$9)*C1</f>
        <v>498960</v>
      </c>
      <c r="D9" s="1">
        <f t="shared" ref="D9:K9" si="5">VALUE($B$9)*D1</f>
        <v>748440</v>
      </c>
      <c r="E9" s="1">
        <f t="shared" si="5"/>
        <v>997920</v>
      </c>
      <c r="F9" s="1">
        <f t="shared" si="5"/>
        <v>1247400</v>
      </c>
      <c r="G9" s="1">
        <f t="shared" si="5"/>
        <v>1496880</v>
      </c>
      <c r="H9" s="1">
        <f t="shared" si="5"/>
        <v>1746360</v>
      </c>
      <c r="I9" s="1">
        <f t="shared" si="5"/>
        <v>1995840</v>
      </c>
      <c r="J9" s="1">
        <f t="shared" si="5"/>
        <v>2245320</v>
      </c>
      <c r="K9" s="1">
        <f t="shared" si="5"/>
        <v>2494800</v>
      </c>
    </row>
    <row r="10" spans="1:11" x14ac:dyDescent="0.25">
      <c r="A10" t="s">
        <v>133</v>
      </c>
      <c r="B10" s="1">
        <f>'Wind Turbine Costs'!F5</f>
        <v>410000</v>
      </c>
      <c r="C10" s="1">
        <f>VALUE($B$10)*C1</f>
        <v>820000</v>
      </c>
      <c r="D10" s="1">
        <f t="shared" ref="D10:K10" si="6">VALUE($B$10)*D1</f>
        <v>1230000</v>
      </c>
      <c r="E10" s="1">
        <f t="shared" si="6"/>
        <v>1640000</v>
      </c>
      <c r="F10" s="1">
        <f t="shared" si="6"/>
        <v>2050000</v>
      </c>
      <c r="G10" s="1">
        <f t="shared" si="6"/>
        <v>2460000</v>
      </c>
      <c r="H10" s="1">
        <f t="shared" si="6"/>
        <v>2870000</v>
      </c>
      <c r="I10" s="1">
        <f t="shared" si="6"/>
        <v>3280000</v>
      </c>
      <c r="J10" s="1">
        <f t="shared" si="6"/>
        <v>3690000</v>
      </c>
      <c r="K10" s="1">
        <f t="shared" si="6"/>
        <v>4100000</v>
      </c>
    </row>
    <row r="11" spans="1:11" x14ac:dyDescent="0.25">
      <c r="A11" t="s">
        <v>134</v>
      </c>
      <c r="B11" s="1">
        <f>('Transmission Costs'!B8)*B1</f>
        <v>3040000</v>
      </c>
      <c r="C11" s="1">
        <f>('Transmission Costs'!C8)*C1</f>
        <v>6170000</v>
      </c>
      <c r="D11" s="1">
        <f>('Transmission Costs'!D8)*D1</f>
        <v>9390000</v>
      </c>
      <c r="E11" s="1">
        <f>('Transmission Costs'!E8)*E1</f>
        <v>12700000</v>
      </c>
      <c r="F11" s="1">
        <f>('Transmission Costs'!F8)*F1</f>
        <v>16100000</v>
      </c>
      <c r="G11" s="1">
        <f>('Transmission Costs'!G8)*G1</f>
        <v>19590000</v>
      </c>
      <c r="H11" s="1">
        <f>('Transmission Costs'!H8)*H1</f>
        <v>23170000</v>
      </c>
      <c r="I11" s="1">
        <f>('Transmission Costs'!I8)*I1</f>
        <v>26840000</v>
      </c>
      <c r="J11" s="1">
        <f>('Transmission Costs'!J8)*J1</f>
        <v>30600000</v>
      </c>
      <c r="K11" s="1">
        <f>('Transmission Costs'!K8)*K1</f>
        <v>34450000</v>
      </c>
    </row>
    <row r="12" spans="1:11" x14ac:dyDescent="0.25">
      <c r="A12" s="32" t="s">
        <v>136</v>
      </c>
      <c r="B12" s="33">
        <f>SUM(B9:B11)</f>
        <v>3699480</v>
      </c>
      <c r="C12" s="33">
        <f t="shared" ref="C12:K12" si="7">SUM(C9:C11)</f>
        <v>7488960</v>
      </c>
      <c r="D12" s="33">
        <f t="shared" si="7"/>
        <v>11368440</v>
      </c>
      <c r="E12" s="33">
        <f t="shared" si="7"/>
        <v>15337920</v>
      </c>
      <c r="F12" s="33">
        <f t="shared" si="7"/>
        <v>19397400</v>
      </c>
      <c r="G12" s="33">
        <f t="shared" si="7"/>
        <v>23546880</v>
      </c>
      <c r="H12" s="33">
        <f t="shared" si="7"/>
        <v>27786360</v>
      </c>
      <c r="I12" s="33">
        <f t="shared" si="7"/>
        <v>32115840</v>
      </c>
      <c r="J12" s="33">
        <f t="shared" si="7"/>
        <v>36535320</v>
      </c>
      <c r="K12" s="33">
        <f t="shared" si="7"/>
        <v>41044800</v>
      </c>
    </row>
    <row r="13" spans="1:11" x14ac:dyDescent="0.25">
      <c r="A13" s="27" t="s">
        <v>147</v>
      </c>
      <c r="B13" s="28">
        <f>B12/B1</f>
        <v>3699480</v>
      </c>
      <c r="C13" s="28">
        <f>C12/C1</f>
        <v>3744480</v>
      </c>
      <c r="D13" s="28">
        <f t="shared" ref="D13:K13" si="8">D12/D1</f>
        <v>3789480</v>
      </c>
      <c r="E13" s="28">
        <f t="shared" si="8"/>
        <v>3834480</v>
      </c>
      <c r="F13" s="28">
        <f t="shared" si="8"/>
        <v>3879480</v>
      </c>
      <c r="G13" s="28">
        <f t="shared" si="8"/>
        <v>3924480</v>
      </c>
      <c r="H13" s="28">
        <f t="shared" si="8"/>
        <v>3969480</v>
      </c>
      <c r="I13" s="28">
        <f t="shared" si="8"/>
        <v>4014480</v>
      </c>
      <c r="J13" s="28">
        <f t="shared" si="8"/>
        <v>4059480</v>
      </c>
      <c r="K13" s="28">
        <f t="shared" si="8"/>
        <v>4104480</v>
      </c>
    </row>
    <row r="14" spans="1:11" x14ac:dyDescent="0.25">
      <c r="A14" s="24" t="s">
        <v>137</v>
      </c>
      <c r="B14" s="29">
        <f>20*B12</f>
        <v>73989600</v>
      </c>
      <c r="C14" s="29">
        <f t="shared" ref="C14:K14" si="9">20*C12</f>
        <v>149779200</v>
      </c>
      <c r="D14" s="29">
        <f t="shared" si="9"/>
        <v>227368800</v>
      </c>
      <c r="E14" s="29">
        <f t="shared" si="9"/>
        <v>306758400</v>
      </c>
      <c r="F14" s="29">
        <f t="shared" si="9"/>
        <v>387948000</v>
      </c>
      <c r="G14" s="29">
        <f t="shared" si="9"/>
        <v>470937600</v>
      </c>
      <c r="H14" s="29">
        <f t="shared" si="9"/>
        <v>555727200</v>
      </c>
      <c r="I14" s="29">
        <f t="shared" si="9"/>
        <v>642316800</v>
      </c>
      <c r="J14" s="29">
        <f t="shared" si="9"/>
        <v>730706400</v>
      </c>
      <c r="K14" s="29">
        <f t="shared" si="9"/>
        <v>820896000</v>
      </c>
    </row>
    <row r="17" spans="1:11" x14ac:dyDescent="0.25">
      <c r="A17" t="s">
        <v>150</v>
      </c>
      <c r="B17" s="10">
        <v>1250000</v>
      </c>
      <c r="C17" s="10">
        <v>1250000</v>
      </c>
      <c r="D17" s="10">
        <v>1250000</v>
      </c>
      <c r="E17" s="10">
        <v>1250000</v>
      </c>
      <c r="F17" s="10">
        <v>1250000</v>
      </c>
      <c r="G17" s="10">
        <v>1250000</v>
      </c>
      <c r="H17" s="10">
        <v>1250000</v>
      </c>
      <c r="I17" s="10">
        <v>1250000</v>
      </c>
      <c r="J17" s="10">
        <v>1250000</v>
      </c>
      <c r="K17" s="10">
        <v>1250000</v>
      </c>
    </row>
    <row r="18" spans="1:11" x14ac:dyDescent="0.25">
      <c r="A18" t="s">
        <v>149</v>
      </c>
      <c r="B18" s="10">
        <v>1250000</v>
      </c>
      <c r="C18" s="10">
        <v>1250000</v>
      </c>
      <c r="D18" s="10">
        <v>1250000</v>
      </c>
      <c r="E18" s="10">
        <v>1250000</v>
      </c>
      <c r="F18" s="10">
        <v>1250000</v>
      </c>
      <c r="G18" s="10">
        <v>1250000</v>
      </c>
      <c r="H18" s="10">
        <v>1250000</v>
      </c>
      <c r="I18" s="10">
        <v>1250000</v>
      </c>
      <c r="J18" s="10">
        <v>1250000</v>
      </c>
      <c r="K18" s="10">
        <v>1250000</v>
      </c>
    </row>
    <row r="19" spans="1:11" x14ac:dyDescent="0.25">
      <c r="A19" t="s">
        <v>148</v>
      </c>
      <c r="B19" s="10">
        <v>1350000</v>
      </c>
      <c r="C19" s="10">
        <v>1350000</v>
      </c>
      <c r="D19" s="10">
        <v>1350000</v>
      </c>
      <c r="E19" s="10">
        <v>1350000</v>
      </c>
      <c r="F19" s="10">
        <v>1350000</v>
      </c>
      <c r="G19" s="10">
        <v>1350000</v>
      </c>
      <c r="H19" s="10">
        <v>1350000</v>
      </c>
      <c r="I19" s="10">
        <v>1350000</v>
      </c>
      <c r="J19" s="10">
        <v>1350000</v>
      </c>
      <c r="K19" s="10">
        <v>1350000</v>
      </c>
    </row>
    <row r="21" spans="1:11" x14ac:dyDescent="0.25">
      <c r="A21" t="s">
        <v>188</v>
      </c>
    </row>
    <row r="22" spans="1:11" x14ac:dyDescent="0.25">
      <c r="A22" t="s">
        <v>151</v>
      </c>
      <c r="B22" s="1">
        <f>SUM(B2,B3,B4,B5,B17,B18,B19)*B6</f>
        <v>23967514.035027966</v>
      </c>
      <c r="C22">
        <f>((SUM(C2,C3,C4,C17,C18,C19)*C1)+C5)*C6</f>
        <v>42211778.741280295</v>
      </c>
      <c r="D22">
        <f>((SUM(D2,D3,D4,D17,D18,D19)*D1)+D5)*D6</f>
        <v>60456043.447532617</v>
      </c>
      <c r="E22">
        <f t="shared" ref="E22:K22" si="10">((SUM(E2,E3,E4,E17,E18,E19)*E1)+E5)*E6</f>
        <v>78700308.153784946</v>
      </c>
      <c r="F22">
        <f t="shared" si="10"/>
        <v>96944572.860037297</v>
      </c>
      <c r="G22">
        <f t="shared" si="10"/>
        <v>115188837.5662896</v>
      </c>
      <c r="H22">
        <f t="shared" si="10"/>
        <v>133433102.27254194</v>
      </c>
      <c r="I22">
        <f t="shared" si="10"/>
        <v>151677366.97879428</v>
      </c>
      <c r="J22">
        <f t="shared" si="10"/>
        <v>169921631.68504658</v>
      </c>
      <c r="K22">
        <f t="shared" si="10"/>
        <v>188165896.39129892</v>
      </c>
    </row>
    <row r="23" spans="1:11" x14ac:dyDescent="0.25">
      <c r="B23" s="1">
        <f>(B22/7)/B1</f>
        <v>3423930.5764325666</v>
      </c>
      <c r="C23" s="1">
        <f>(C22/7)/C1</f>
        <v>3015127.0529485927</v>
      </c>
      <c r="D23" s="1">
        <f>(D22/7)/D1</f>
        <v>2878859.2117872671</v>
      </c>
      <c r="E23" s="1">
        <f t="shared" ref="E23:K23" si="11">(E22/7)/E1</f>
        <v>2810725.2912066053</v>
      </c>
      <c r="F23" s="1">
        <f t="shared" si="11"/>
        <v>2769844.9388582082</v>
      </c>
      <c r="G23" s="1">
        <f t="shared" si="11"/>
        <v>2742591.3706259429</v>
      </c>
      <c r="H23" s="1">
        <f t="shared" si="11"/>
        <v>2723124.5361743257</v>
      </c>
      <c r="I23" s="1">
        <f t="shared" si="11"/>
        <v>2708524.410335612</v>
      </c>
      <c r="J23" s="1">
        <f t="shared" si="11"/>
        <v>2697168.7569055017</v>
      </c>
      <c r="K23" s="1">
        <f t="shared" si="11"/>
        <v>2688084.2341614133</v>
      </c>
    </row>
    <row r="24" spans="1:11" x14ac:dyDescent="0.25">
      <c r="B24" s="1">
        <f>SUM(B8/7)</f>
        <v>2763930.5764325666</v>
      </c>
      <c r="C24" s="1">
        <f t="shared" ref="C24:K24" si="12">SUM(C8/7)</f>
        <v>2355127.0529485927</v>
      </c>
      <c r="D24" s="1">
        <f t="shared" si="12"/>
        <v>2218859.2117872681</v>
      </c>
      <c r="E24" s="1">
        <f t="shared" si="12"/>
        <v>2150725.2912066053</v>
      </c>
      <c r="F24" s="1">
        <f t="shared" si="12"/>
        <v>2109844.9388582082</v>
      </c>
      <c r="G24" s="1">
        <f t="shared" si="12"/>
        <v>2082591.3706259432</v>
      </c>
      <c r="H24" s="1">
        <f t="shared" si="12"/>
        <v>2063124.5361743253</v>
      </c>
      <c r="I24" s="1">
        <f t="shared" si="12"/>
        <v>2048524.4103356118</v>
      </c>
      <c r="J24" s="1">
        <f t="shared" si="12"/>
        <v>2037168.7569055017</v>
      </c>
      <c r="K24" s="1">
        <f t="shared" si="12"/>
        <v>2028084.234161413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E5" sqref="E5"/>
    </sheetView>
  </sheetViews>
  <sheetFormatPr baseColWidth="10" defaultColWidth="9.140625" defaultRowHeight="15" x14ac:dyDescent="0.25"/>
  <cols>
    <col min="1" max="1" width="44" bestFit="1" customWidth="1"/>
    <col min="2" max="2" width="12.7109375" bestFit="1" customWidth="1"/>
  </cols>
  <sheetData>
    <row r="1" spans="1:2" x14ac:dyDescent="0.25">
      <c r="A1" s="27" t="s">
        <v>25</v>
      </c>
      <c r="B1" s="34">
        <v>5880</v>
      </c>
    </row>
    <row r="2" spans="1:2" x14ac:dyDescent="0.25">
      <c r="A2" s="27" t="s">
        <v>28</v>
      </c>
      <c r="B2" s="28">
        <f>B1*B11*1000</f>
        <v>3704400</v>
      </c>
    </row>
    <row r="3" spans="1:2" x14ac:dyDescent="0.25">
      <c r="A3" s="27" t="s">
        <v>29</v>
      </c>
      <c r="B3" s="28">
        <f>B2*B10</f>
        <v>2370816</v>
      </c>
    </row>
    <row r="4" spans="1:2" x14ac:dyDescent="0.25">
      <c r="A4" s="27" t="s">
        <v>27</v>
      </c>
      <c r="B4" s="28">
        <f>B3*2</f>
        <v>4741632</v>
      </c>
    </row>
    <row r="5" spans="1:2" x14ac:dyDescent="0.25">
      <c r="A5" s="27" t="s">
        <v>30</v>
      </c>
      <c r="B5" s="27">
        <v>198</v>
      </c>
    </row>
    <row r="6" spans="1:2" x14ac:dyDescent="0.25">
      <c r="A6" s="27" t="s">
        <v>28</v>
      </c>
      <c r="B6" s="28">
        <f>B5*0.63*1000</f>
        <v>124740</v>
      </c>
    </row>
    <row r="7" spans="1:2" x14ac:dyDescent="0.25">
      <c r="A7" s="27" t="s">
        <v>33</v>
      </c>
      <c r="B7" s="28">
        <f>2*B6</f>
        <v>249480</v>
      </c>
    </row>
    <row r="8" spans="1:2" x14ac:dyDescent="0.25">
      <c r="A8" s="27" t="s">
        <v>31</v>
      </c>
      <c r="B8" s="28">
        <f xml:space="preserve"> B12*B7</f>
        <v>4989600</v>
      </c>
    </row>
    <row r="10" spans="1:2" x14ac:dyDescent="0.25">
      <c r="A10" t="s">
        <v>26</v>
      </c>
      <c r="B10" s="4">
        <v>0.64</v>
      </c>
    </row>
    <row r="11" spans="1:2" x14ac:dyDescent="0.25">
      <c r="A11" t="s">
        <v>10</v>
      </c>
      <c r="B11">
        <v>0.63</v>
      </c>
    </row>
    <row r="12" spans="1:2" x14ac:dyDescent="0.25">
      <c r="A12" t="s">
        <v>32</v>
      </c>
      <c r="B12">
        <v>20</v>
      </c>
    </row>
    <row r="14" spans="1:2" ht="30" x14ac:dyDescent="0.25">
      <c r="A14" s="5" t="s">
        <v>22</v>
      </c>
      <c r="B14" t="s">
        <v>130</v>
      </c>
    </row>
    <row r="15" spans="1:2" x14ac:dyDescent="0.25">
      <c r="B15" t="s">
        <v>21</v>
      </c>
    </row>
    <row r="16" spans="1:2" x14ac:dyDescent="0.25">
      <c r="B16" t="s">
        <v>23</v>
      </c>
    </row>
    <row r="17" spans="1:2" x14ac:dyDescent="0.25">
      <c r="B17" t="s">
        <v>24</v>
      </c>
    </row>
    <row r="19" spans="1:2" x14ac:dyDescent="0.25">
      <c r="A19" t="s">
        <v>19</v>
      </c>
      <c r="B19" t="s">
        <v>18</v>
      </c>
    </row>
    <row r="20" spans="1:2" x14ac:dyDescent="0.25">
      <c r="B20" t="s">
        <v>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C5" workbookViewId="0">
      <selection activeCell="G15" sqref="G15"/>
    </sheetView>
  </sheetViews>
  <sheetFormatPr baseColWidth="10" defaultColWidth="9.140625" defaultRowHeight="15" x14ac:dyDescent="0.25"/>
  <cols>
    <col min="1" max="1" width="29.85546875" customWidth="1"/>
    <col min="2" max="2" width="13.5703125" customWidth="1"/>
    <col min="3" max="3" width="29.85546875" customWidth="1"/>
    <col min="4" max="4" width="25.140625" customWidth="1"/>
    <col min="5" max="5" width="12.7109375" bestFit="1" customWidth="1"/>
    <col min="6" max="6" width="12.42578125" bestFit="1" customWidth="1"/>
    <col min="7" max="7" width="27.7109375" bestFit="1" customWidth="1"/>
    <col min="8" max="8" width="13.7109375" customWidth="1"/>
    <col min="9" max="9" width="22.42578125" customWidth="1"/>
    <col min="10" max="10" width="22.28515625" customWidth="1"/>
    <col min="11" max="11" width="11" bestFit="1" customWidth="1"/>
    <col min="12" max="12" width="12.28515625" customWidth="1"/>
    <col min="14" max="14" width="20.7109375" customWidth="1"/>
  </cols>
  <sheetData>
    <row r="1" spans="1:10" x14ac:dyDescent="0.25">
      <c r="C1" t="s">
        <v>58</v>
      </c>
      <c r="D1" t="s">
        <v>57</v>
      </c>
      <c r="E1" t="s">
        <v>56</v>
      </c>
      <c r="G1" t="s">
        <v>59</v>
      </c>
      <c r="H1">
        <v>2.93</v>
      </c>
      <c r="I1">
        <v>2.9249999999999998</v>
      </c>
    </row>
    <row r="2" spans="1:10" x14ac:dyDescent="0.25">
      <c r="G2" t="s">
        <v>60</v>
      </c>
      <c r="H2">
        <v>3</v>
      </c>
      <c r="J2">
        <f>SUM(PI()*(3^2)*53)</f>
        <v>1498.5396957623313</v>
      </c>
    </row>
    <row r="3" spans="1:10" x14ac:dyDescent="0.25">
      <c r="A3" t="s">
        <v>55</v>
      </c>
      <c r="G3" t="s">
        <v>34</v>
      </c>
      <c r="J3">
        <f>SUM(PI()*(2.93^2)*53)</f>
        <v>1429.42371490556</v>
      </c>
    </row>
    <row r="4" spans="1:10" x14ac:dyDescent="0.25">
      <c r="A4" t="s">
        <v>54</v>
      </c>
      <c r="B4" s="10">
        <v>1300</v>
      </c>
      <c r="C4" s="10">
        <v>1300</v>
      </c>
      <c r="D4" s="10">
        <v>1300</v>
      </c>
      <c r="E4" s="10">
        <v>1300</v>
      </c>
      <c r="G4" t="s">
        <v>35</v>
      </c>
      <c r="H4">
        <v>6</v>
      </c>
      <c r="I4">
        <v>6</v>
      </c>
      <c r="J4">
        <v>1498.54</v>
      </c>
    </row>
    <row r="5" spans="1:10" x14ac:dyDescent="0.25">
      <c r="A5" t="s">
        <v>53</v>
      </c>
      <c r="B5" s="10">
        <v>1800</v>
      </c>
      <c r="C5" s="10">
        <v>1800</v>
      </c>
      <c r="D5" s="10">
        <v>1800</v>
      </c>
      <c r="E5" s="10">
        <v>1800</v>
      </c>
      <c r="G5" t="s">
        <v>36</v>
      </c>
      <c r="H5">
        <v>7.0000000000000007E-2</v>
      </c>
      <c r="I5">
        <v>7.4999999999999997E-2</v>
      </c>
      <c r="J5">
        <v>1429.42</v>
      </c>
    </row>
    <row r="6" spans="1:10" x14ac:dyDescent="0.25">
      <c r="A6" t="s">
        <v>52</v>
      </c>
      <c r="B6" s="10">
        <f>SUM(J8*B4)</f>
        <v>0</v>
      </c>
      <c r="C6" s="6">
        <v>723240.8</v>
      </c>
      <c r="D6" s="6">
        <v>825233.17</v>
      </c>
      <c r="E6" s="6">
        <v>876069.7</v>
      </c>
      <c r="G6" t="s">
        <v>37</v>
      </c>
      <c r="H6">
        <v>53</v>
      </c>
      <c r="I6">
        <v>53</v>
      </c>
    </row>
    <row r="7" spans="1:10" x14ac:dyDescent="0.25">
      <c r="A7" t="s">
        <v>51</v>
      </c>
      <c r="B7" s="10">
        <f>SUM(J9*B5)</f>
        <v>450000</v>
      </c>
      <c r="C7" s="10">
        <f>B7</f>
        <v>450000</v>
      </c>
      <c r="D7" s="10">
        <v>450000</v>
      </c>
      <c r="E7" s="6">
        <v>450000</v>
      </c>
      <c r="G7" t="s">
        <v>38</v>
      </c>
      <c r="J7">
        <f>H10*8.05</f>
        <v>556.41599999999914</v>
      </c>
    </row>
    <row r="8" spans="1:10" x14ac:dyDescent="0.25">
      <c r="A8" s="4" t="s">
        <v>50</v>
      </c>
      <c r="B8" s="9">
        <f>SUM((J8*B4)+B5*J9)</f>
        <v>450000</v>
      </c>
      <c r="C8" s="8">
        <f>SUM(C6+C7)</f>
        <v>1173240.8</v>
      </c>
      <c r="D8" s="8">
        <f>D6+D7</f>
        <v>1275233.17</v>
      </c>
      <c r="E8" s="8">
        <f>SUM(E6+E7)</f>
        <v>1326069.7</v>
      </c>
      <c r="G8" t="s">
        <v>39</v>
      </c>
    </row>
    <row r="9" spans="1:10" x14ac:dyDescent="0.25">
      <c r="A9" t="s">
        <v>49</v>
      </c>
      <c r="B9" s="7">
        <f>SUM(E8/C8)-1</f>
        <v>0.13026217635799897</v>
      </c>
      <c r="G9" t="s">
        <v>40</v>
      </c>
      <c r="H9">
        <v>250</v>
      </c>
      <c r="J9">
        <v>250</v>
      </c>
    </row>
    <row r="10" spans="1:10" x14ac:dyDescent="0.25">
      <c r="G10" t="s">
        <v>41</v>
      </c>
      <c r="H10">
        <f>J4-J5</f>
        <v>69.119999999999891</v>
      </c>
      <c r="J10">
        <f>SUM([1]Sheet6!J28*8.05)</f>
        <v>595.62269970003592</v>
      </c>
    </row>
    <row r="11" spans="1:10" x14ac:dyDescent="0.25">
      <c r="A11" t="s">
        <v>48</v>
      </c>
      <c r="B11">
        <v>0.08</v>
      </c>
      <c r="C11">
        <v>8.5000000000000006E-2</v>
      </c>
      <c r="G11" t="s">
        <v>42</v>
      </c>
      <c r="H11">
        <v>8050</v>
      </c>
      <c r="I11">
        <v>8.0500000000000007</v>
      </c>
    </row>
    <row r="12" spans="1:10" x14ac:dyDescent="0.25">
      <c r="A12" t="s">
        <v>47</v>
      </c>
      <c r="B12">
        <f>SUM(PI()*3^2)*53</f>
        <v>1498.5396957623313</v>
      </c>
      <c r="C12">
        <f>SUM(PI()*3^2)*53</f>
        <v>1498.5396957623313</v>
      </c>
      <c r="H12" s="7"/>
    </row>
    <row r="13" spans="1:10" x14ac:dyDescent="0.25">
      <c r="A13" t="s">
        <v>46</v>
      </c>
      <c r="B13">
        <f>SUM(PI()*2.92^2)*53</f>
        <v>1419.6832068831043</v>
      </c>
      <c r="C13">
        <f>SUM(PI()*2.915^2)*53</f>
        <v>1414.8254407026752</v>
      </c>
      <c r="H13" s="7"/>
    </row>
    <row r="14" spans="1:10" x14ac:dyDescent="0.25">
      <c r="A14" t="s">
        <v>41</v>
      </c>
      <c r="B14">
        <f>SUM(B12-B13)</f>
        <v>78.856488879227072</v>
      </c>
      <c r="C14">
        <f>SUM(C12-C13)</f>
        <v>83.714255059656125</v>
      </c>
      <c r="H14" s="7"/>
    </row>
    <row r="15" spans="1:10" x14ac:dyDescent="0.25">
      <c r="A15" t="s">
        <v>45</v>
      </c>
      <c r="B15">
        <f>SUM(I11*B14)</f>
        <v>634.79473547777798</v>
      </c>
      <c r="C15">
        <f>SUM(I11*C14)</f>
        <v>673.89975323023191</v>
      </c>
      <c r="H15" s="7"/>
    </row>
    <row r="16" spans="1:10" x14ac:dyDescent="0.25">
      <c r="A16" t="s">
        <v>44</v>
      </c>
      <c r="B16" s="6">
        <f>SUM(B4*B15)</f>
        <v>825233.15612111136</v>
      </c>
      <c r="C16" s="6">
        <f>SUM(B4*C15)</f>
        <v>876069.67919930152</v>
      </c>
      <c r="H16" s="7"/>
    </row>
    <row r="17" spans="8:8" x14ac:dyDescent="0.25">
      <c r="H17" s="7"/>
    </row>
    <row r="18" spans="8:8" x14ac:dyDescent="0.25">
      <c r="H18" s="7"/>
    </row>
    <row r="19" spans="8:8" x14ac:dyDescent="0.25">
      <c r="H19" s="7"/>
    </row>
    <row r="23" spans="8:8" x14ac:dyDescent="0.25">
      <c r="H23" s="7"/>
    </row>
    <row r="24" spans="8:8" x14ac:dyDescent="0.25">
      <c r="H24" s="7"/>
    </row>
    <row r="25" spans="8:8" x14ac:dyDescent="0.25">
      <c r="H25" s="7"/>
    </row>
    <row r="29" spans="8:8" x14ac:dyDescent="0.25">
      <c r="H29" s="7"/>
    </row>
    <row r="30" spans="8:8" x14ac:dyDescent="0.25">
      <c r="H30" s="7"/>
    </row>
    <row r="31" spans="8:8" x14ac:dyDescent="0.25">
      <c r="H31" s="7"/>
    </row>
    <row r="33" spans="8:11" x14ac:dyDescent="0.25">
      <c r="H33" s="7"/>
    </row>
    <row r="45" spans="8:11" x14ac:dyDescent="0.25">
      <c r="J45" t="s">
        <v>43</v>
      </c>
      <c r="K45" s="6">
        <f>SUM(E8-C8)</f>
        <v>152828.89999999991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G12" sqref="G12"/>
    </sheetView>
  </sheetViews>
  <sheetFormatPr baseColWidth="10" defaultColWidth="9.140625" defaultRowHeight="15" x14ac:dyDescent="0.25"/>
  <cols>
    <col min="2" max="2" width="23.85546875" bestFit="1" customWidth="1"/>
    <col min="6" max="6" width="12.7109375" bestFit="1" customWidth="1"/>
    <col min="10" max="10" width="12.7109375" bestFit="1" customWidth="1"/>
    <col min="12" max="12" width="18.42578125" bestFit="1" customWidth="1"/>
  </cols>
  <sheetData>
    <row r="1" spans="1:13" x14ac:dyDescent="0.25">
      <c r="A1" s="11" t="s">
        <v>61</v>
      </c>
      <c r="B1" s="12">
        <v>2500000</v>
      </c>
    </row>
    <row r="2" spans="1:13" x14ac:dyDescent="0.25">
      <c r="A2" s="13"/>
      <c r="B2" s="13"/>
    </row>
    <row r="3" spans="1:13" x14ac:dyDescent="0.25">
      <c r="A3" s="13" t="s">
        <v>62</v>
      </c>
      <c r="B3" s="13" t="s">
        <v>63</v>
      </c>
      <c r="D3" t="s">
        <v>169</v>
      </c>
      <c r="J3" s="1">
        <v>5000000</v>
      </c>
    </row>
    <row r="4" spans="1:13" x14ac:dyDescent="0.25">
      <c r="A4" s="13" t="s">
        <v>64</v>
      </c>
      <c r="B4" s="13" t="s">
        <v>65</v>
      </c>
    </row>
    <row r="5" spans="1:13" ht="15.75" thickBot="1" x14ac:dyDescent="0.3">
      <c r="A5" s="13" t="s">
        <v>66</v>
      </c>
      <c r="B5" s="14">
        <v>100000</v>
      </c>
      <c r="D5" t="s">
        <v>135</v>
      </c>
      <c r="F5" s="1">
        <f xml:space="preserve"> 82*5*1000</f>
        <v>410000</v>
      </c>
    </row>
    <row r="6" spans="1:13" x14ac:dyDescent="0.25">
      <c r="A6" s="15" t="s">
        <v>67</v>
      </c>
      <c r="B6" s="16" t="s">
        <v>68</v>
      </c>
      <c r="L6" t="s">
        <v>141</v>
      </c>
      <c r="M6" t="s">
        <v>144</v>
      </c>
    </row>
    <row r="7" spans="1:13" x14ac:dyDescent="0.25">
      <c r="A7" s="17" t="s">
        <v>69</v>
      </c>
      <c r="B7" s="18" t="s">
        <v>70</v>
      </c>
      <c r="D7" t="s">
        <v>140</v>
      </c>
      <c r="E7" t="s">
        <v>139</v>
      </c>
      <c r="L7" t="s">
        <v>142</v>
      </c>
      <c r="M7" t="s">
        <v>143</v>
      </c>
    </row>
    <row r="8" spans="1:13" ht="15.75" thickBot="1" x14ac:dyDescent="0.3">
      <c r="A8" s="19" t="s">
        <v>71</v>
      </c>
      <c r="B8" s="20">
        <v>400000</v>
      </c>
    </row>
    <row r="9" spans="1:13" x14ac:dyDescent="0.25">
      <c r="A9" s="13" t="s">
        <v>72</v>
      </c>
      <c r="B9" s="14">
        <v>70000</v>
      </c>
    </row>
    <row r="10" spans="1:13" x14ac:dyDescent="0.25">
      <c r="A10" s="13" t="s">
        <v>73</v>
      </c>
      <c r="B10" s="14">
        <v>100000</v>
      </c>
    </row>
    <row r="11" spans="1:13" x14ac:dyDescent="0.25">
      <c r="A11" s="13" t="s">
        <v>74</v>
      </c>
      <c r="B11" s="13" t="s">
        <v>75</v>
      </c>
    </row>
    <row r="12" spans="1:13" x14ac:dyDescent="0.25">
      <c r="A12" s="13" t="s">
        <v>76</v>
      </c>
      <c r="B12" s="13" t="s">
        <v>77</v>
      </c>
    </row>
    <row r="13" spans="1:13" x14ac:dyDescent="0.25">
      <c r="A13" s="13" t="s">
        <v>78</v>
      </c>
      <c r="B13" s="13" t="s">
        <v>79</v>
      </c>
      <c r="L13" s="2"/>
    </row>
    <row r="14" spans="1:13" x14ac:dyDescent="0.25">
      <c r="A14" s="13" t="s">
        <v>80</v>
      </c>
      <c r="B14" s="13" t="s">
        <v>81</v>
      </c>
    </row>
    <row r="15" spans="1:13" x14ac:dyDescent="0.25">
      <c r="A15" s="13" t="s">
        <v>82</v>
      </c>
      <c r="B15" s="13" t="s">
        <v>83</v>
      </c>
    </row>
    <row r="16" spans="1:13" x14ac:dyDescent="0.25">
      <c r="A16" s="13" t="s">
        <v>84</v>
      </c>
      <c r="B16" s="13" t="s">
        <v>85</v>
      </c>
    </row>
    <row r="18" spans="1:2" ht="15.75" x14ac:dyDescent="0.25">
      <c r="A18" s="21" t="s">
        <v>86</v>
      </c>
      <c r="B18" s="21" t="s">
        <v>87</v>
      </c>
    </row>
    <row r="19" spans="1:2" x14ac:dyDescent="0.25">
      <c r="A19" s="3"/>
      <c r="B19" s="3"/>
    </row>
    <row r="20" spans="1:2" x14ac:dyDescent="0.25">
      <c r="A20" s="22" t="s">
        <v>88</v>
      </c>
      <c r="B20" s="22" t="s">
        <v>89</v>
      </c>
    </row>
    <row r="21" spans="1:2" x14ac:dyDescent="0.25">
      <c r="A21" s="3" t="s">
        <v>90</v>
      </c>
      <c r="B21" s="3" t="s">
        <v>91</v>
      </c>
    </row>
    <row r="22" spans="1:2" x14ac:dyDescent="0.25">
      <c r="A22" s="3" t="s">
        <v>92</v>
      </c>
      <c r="B22" s="3" t="s">
        <v>93</v>
      </c>
    </row>
    <row r="23" spans="1:2" x14ac:dyDescent="0.25">
      <c r="A23" s="3" t="s">
        <v>94</v>
      </c>
      <c r="B23" s="3" t="s">
        <v>95</v>
      </c>
    </row>
    <row r="24" spans="1:2" x14ac:dyDescent="0.25">
      <c r="A24" s="3" t="s">
        <v>96</v>
      </c>
      <c r="B24" s="23">
        <v>80000</v>
      </c>
    </row>
    <row r="25" spans="1:2" x14ac:dyDescent="0.25">
      <c r="A25" s="3" t="s">
        <v>97</v>
      </c>
      <c r="B25" s="3" t="s">
        <v>75</v>
      </c>
    </row>
    <row r="26" spans="1:2" x14ac:dyDescent="0.25">
      <c r="A26" s="3" t="s">
        <v>98</v>
      </c>
      <c r="B26" s="3" t="s">
        <v>99</v>
      </c>
    </row>
    <row r="27" spans="1:2" x14ac:dyDescent="0.25">
      <c r="A27" s="3" t="s">
        <v>100</v>
      </c>
      <c r="B27" s="3" t="s">
        <v>101</v>
      </c>
    </row>
    <row r="28" spans="1:2" x14ac:dyDescent="0.25">
      <c r="A28" s="3" t="s">
        <v>102</v>
      </c>
      <c r="B28" s="3" t="s">
        <v>103</v>
      </c>
    </row>
    <row r="29" spans="1:2" x14ac:dyDescent="0.25">
      <c r="A29" s="3" t="s">
        <v>104</v>
      </c>
      <c r="B29" s="3" t="s">
        <v>105</v>
      </c>
    </row>
    <row r="31" spans="1:2" x14ac:dyDescent="0.25">
      <c r="A31" s="24" t="s">
        <v>106</v>
      </c>
      <c r="B31" s="25">
        <v>1000000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B26"/>
  <sheetViews>
    <sheetView topLeftCell="F1" workbookViewId="0">
      <selection activeCell="H26" sqref="H26"/>
    </sheetView>
  </sheetViews>
  <sheetFormatPr baseColWidth="10" defaultColWidth="9.140625" defaultRowHeight="15" x14ac:dyDescent="0.25"/>
  <cols>
    <col min="4" max="5" width="23.28515625" customWidth="1"/>
    <col min="7" max="7" width="27.85546875" customWidth="1"/>
    <col min="8" max="8" width="18" customWidth="1"/>
    <col min="9" max="9" width="14.85546875" bestFit="1" customWidth="1"/>
    <col min="10" max="10" width="16.28515625" customWidth="1"/>
    <col min="11" max="11" width="15.28515625" customWidth="1"/>
    <col min="12" max="12" width="15.7109375" customWidth="1"/>
    <col min="13" max="13" width="14.7109375" customWidth="1"/>
    <col min="14" max="14" width="15.7109375" customWidth="1"/>
    <col min="15" max="15" width="15" customWidth="1"/>
    <col min="16" max="16" width="15.42578125" customWidth="1"/>
    <col min="17" max="17" width="17" customWidth="1"/>
    <col min="18" max="18" width="16.28515625" customWidth="1"/>
    <col min="19" max="19" width="15" customWidth="1"/>
    <col min="20" max="20" width="16.85546875" customWidth="1"/>
    <col min="21" max="21" width="16.28515625" customWidth="1"/>
    <col min="22" max="22" width="16.5703125" customWidth="1"/>
    <col min="23" max="23" width="16" customWidth="1"/>
    <col min="24" max="24" width="17.7109375" customWidth="1"/>
    <col min="25" max="25" width="16.7109375" customWidth="1"/>
    <col min="26" max="26" width="16" customWidth="1"/>
    <col min="27" max="27" width="15.28515625" customWidth="1"/>
    <col min="28" max="28" width="16.140625" customWidth="1"/>
  </cols>
  <sheetData>
    <row r="3" spans="4:10" x14ac:dyDescent="0.25">
      <c r="D3" t="s">
        <v>187</v>
      </c>
      <c r="E3">
        <f>24528*E7</f>
        <v>22565.760000000002</v>
      </c>
      <c r="G3" t="s">
        <v>187</v>
      </c>
      <c r="H3">
        <f>24528*H7*10</f>
        <v>225657.60000000003</v>
      </c>
      <c r="J3" t="s">
        <v>178</v>
      </c>
    </row>
    <row r="4" spans="4:10" x14ac:dyDescent="0.25">
      <c r="D4" t="s">
        <v>186</v>
      </c>
      <c r="E4">
        <f>SUM(E3*E6)</f>
        <v>3294600.9600000004</v>
      </c>
      <c r="G4" t="s">
        <v>186</v>
      </c>
      <c r="H4">
        <f>SUM(H3*H6)</f>
        <v>32946009.600000005</v>
      </c>
      <c r="J4" t="s">
        <v>177</v>
      </c>
    </row>
    <row r="5" spans="4:10" x14ac:dyDescent="0.25">
      <c r="D5" t="s">
        <v>185</v>
      </c>
      <c r="E5">
        <f>SUM(E4*20)</f>
        <v>65892019.20000001</v>
      </c>
      <c r="G5" t="s">
        <v>185</v>
      </c>
      <c r="H5">
        <f>SUM(H4*20)</f>
        <v>658920192.00000012</v>
      </c>
      <c r="J5" t="s">
        <v>176</v>
      </c>
    </row>
    <row r="6" spans="4:10" x14ac:dyDescent="0.25">
      <c r="D6" t="s">
        <v>153</v>
      </c>
      <c r="E6">
        <v>146</v>
      </c>
      <c r="G6" t="s">
        <v>153</v>
      </c>
      <c r="H6">
        <v>146</v>
      </c>
      <c r="J6" t="s">
        <v>175</v>
      </c>
    </row>
    <row r="7" spans="4:10" x14ac:dyDescent="0.25">
      <c r="D7" t="s">
        <v>108</v>
      </c>
      <c r="E7">
        <v>0.92</v>
      </c>
      <c r="G7" t="s">
        <v>108</v>
      </c>
      <c r="H7">
        <v>0.92</v>
      </c>
      <c r="J7" t="s">
        <v>174</v>
      </c>
    </row>
    <row r="8" spans="4:10" x14ac:dyDescent="0.25">
      <c r="D8" t="s">
        <v>184</v>
      </c>
      <c r="E8" s="42">
        <f>SUM(-120.21*7000)</f>
        <v>-841470</v>
      </c>
      <c r="G8" t="s">
        <v>184</v>
      </c>
      <c r="H8" s="42">
        <f>SUM(-120.21*70000)</f>
        <v>-8414700</v>
      </c>
      <c r="I8" s="26"/>
      <c r="J8" t="s">
        <v>173</v>
      </c>
    </row>
    <row r="9" spans="4:10" x14ac:dyDescent="0.25">
      <c r="D9" t="s">
        <v>183</v>
      </c>
      <c r="E9">
        <f>SUM(E8*20)</f>
        <v>-16829400</v>
      </c>
      <c r="G9" t="s">
        <v>183</v>
      </c>
      <c r="H9">
        <f>SUM(H8*20)</f>
        <v>-168294000</v>
      </c>
      <c r="J9" t="s">
        <v>172</v>
      </c>
    </row>
    <row r="10" spans="4:10" x14ac:dyDescent="0.25">
      <c r="D10" t="s">
        <v>182</v>
      </c>
      <c r="E10">
        <f>SUM(E4-E8)</f>
        <v>4136070.9600000004</v>
      </c>
      <c r="G10" t="s">
        <v>182</v>
      </c>
      <c r="H10">
        <f>SUM(H4-H8)</f>
        <v>41360709.600000009</v>
      </c>
      <c r="J10" t="s">
        <v>171</v>
      </c>
    </row>
    <row r="11" spans="4:10" x14ac:dyDescent="0.25">
      <c r="D11" t="s">
        <v>181</v>
      </c>
      <c r="E11" s="42">
        <f>3423.93*1000</f>
        <v>3423930</v>
      </c>
      <c r="G11" t="s">
        <v>181</v>
      </c>
      <c r="H11" s="42">
        <f>2688*1000</f>
        <v>2688000</v>
      </c>
      <c r="J11" t="s">
        <v>170</v>
      </c>
    </row>
    <row r="12" spans="4:10" x14ac:dyDescent="0.25">
      <c r="D12" t="s">
        <v>180</v>
      </c>
      <c r="E12">
        <f>SUM(-E11*7)</f>
        <v>-23967510</v>
      </c>
      <c r="G12" t="s">
        <v>180</v>
      </c>
      <c r="H12">
        <f>SUM(-H11*70)</f>
        <v>-188160000</v>
      </c>
    </row>
    <row r="15" spans="4:10" x14ac:dyDescent="0.25">
      <c r="G15" t="s">
        <v>179</v>
      </c>
      <c r="H15" s="26">
        <v>0.1</v>
      </c>
      <c r="I15" s="26"/>
    </row>
    <row r="18" spans="7:28" x14ac:dyDescent="0.25">
      <c r="G18" t="s">
        <v>178</v>
      </c>
      <c r="H18">
        <v>0</v>
      </c>
      <c r="I18">
        <v>1</v>
      </c>
      <c r="J18">
        <v>2</v>
      </c>
      <c r="K18">
        <v>3</v>
      </c>
      <c r="L18">
        <v>4</v>
      </c>
      <c r="M18">
        <v>5</v>
      </c>
      <c r="N18">
        <v>6</v>
      </c>
      <c r="O18">
        <v>7</v>
      </c>
      <c r="P18">
        <v>8</v>
      </c>
      <c r="Q18">
        <v>9</v>
      </c>
      <c r="R18">
        <v>10</v>
      </c>
      <c r="S18">
        <v>11</v>
      </c>
      <c r="T18">
        <v>12</v>
      </c>
      <c r="U18">
        <v>13</v>
      </c>
      <c r="V18">
        <v>14</v>
      </c>
      <c r="W18">
        <v>15</v>
      </c>
      <c r="X18">
        <v>16</v>
      </c>
      <c r="Y18">
        <v>17</v>
      </c>
      <c r="Z18">
        <v>18</v>
      </c>
      <c r="AA18">
        <v>19</v>
      </c>
      <c r="AB18">
        <v>20</v>
      </c>
    </row>
    <row r="19" spans="7:28" x14ac:dyDescent="0.25">
      <c r="G19" t="s">
        <v>177</v>
      </c>
      <c r="H19" s="47">
        <f>E12</f>
        <v>-23967510</v>
      </c>
      <c r="I19" s="47">
        <f>SUM(E8)</f>
        <v>-841470</v>
      </c>
      <c r="J19" s="47">
        <f t="shared" ref="J19:AB19" si="0">SUM($E8)</f>
        <v>-841470</v>
      </c>
      <c r="K19" s="47">
        <f t="shared" si="0"/>
        <v>-841470</v>
      </c>
      <c r="L19" s="47">
        <f t="shared" si="0"/>
        <v>-841470</v>
      </c>
      <c r="M19" s="47">
        <f t="shared" si="0"/>
        <v>-841470</v>
      </c>
      <c r="N19" s="47">
        <f t="shared" si="0"/>
        <v>-841470</v>
      </c>
      <c r="O19" s="47">
        <f t="shared" si="0"/>
        <v>-841470</v>
      </c>
      <c r="P19" s="47">
        <f t="shared" si="0"/>
        <v>-841470</v>
      </c>
      <c r="Q19" s="47">
        <f t="shared" si="0"/>
        <v>-841470</v>
      </c>
      <c r="R19" s="47">
        <f t="shared" si="0"/>
        <v>-841470</v>
      </c>
      <c r="S19" s="47">
        <f t="shared" si="0"/>
        <v>-841470</v>
      </c>
      <c r="T19" s="47">
        <f t="shared" si="0"/>
        <v>-841470</v>
      </c>
      <c r="U19" s="47">
        <f t="shared" si="0"/>
        <v>-841470</v>
      </c>
      <c r="V19" s="47">
        <f t="shared" si="0"/>
        <v>-841470</v>
      </c>
      <c r="W19" s="47">
        <f t="shared" si="0"/>
        <v>-841470</v>
      </c>
      <c r="X19" s="47">
        <f t="shared" si="0"/>
        <v>-841470</v>
      </c>
      <c r="Y19" s="47">
        <f t="shared" si="0"/>
        <v>-841470</v>
      </c>
      <c r="Z19" s="47">
        <f t="shared" si="0"/>
        <v>-841470</v>
      </c>
      <c r="AA19" s="47">
        <f t="shared" si="0"/>
        <v>-841470</v>
      </c>
      <c r="AB19" s="47">
        <f t="shared" si="0"/>
        <v>-841470</v>
      </c>
    </row>
    <row r="20" spans="7:28" x14ac:dyDescent="0.25">
      <c r="G20" t="s">
        <v>176</v>
      </c>
      <c r="H20">
        <v>0</v>
      </c>
      <c r="I20">
        <f t="shared" ref="I20:AB20" si="1">$E4</f>
        <v>3294600.9600000004</v>
      </c>
      <c r="J20">
        <f t="shared" si="1"/>
        <v>3294600.9600000004</v>
      </c>
      <c r="K20">
        <f t="shared" si="1"/>
        <v>3294600.9600000004</v>
      </c>
      <c r="L20">
        <f t="shared" si="1"/>
        <v>3294600.9600000004</v>
      </c>
      <c r="M20">
        <f t="shared" si="1"/>
        <v>3294600.9600000004</v>
      </c>
      <c r="N20">
        <f t="shared" si="1"/>
        <v>3294600.9600000004</v>
      </c>
      <c r="O20">
        <f t="shared" si="1"/>
        <v>3294600.9600000004</v>
      </c>
      <c r="P20">
        <f t="shared" si="1"/>
        <v>3294600.9600000004</v>
      </c>
      <c r="Q20">
        <f t="shared" si="1"/>
        <v>3294600.9600000004</v>
      </c>
      <c r="R20">
        <f t="shared" si="1"/>
        <v>3294600.9600000004</v>
      </c>
      <c r="S20">
        <f t="shared" si="1"/>
        <v>3294600.9600000004</v>
      </c>
      <c r="T20">
        <f t="shared" si="1"/>
        <v>3294600.9600000004</v>
      </c>
      <c r="U20">
        <f t="shared" si="1"/>
        <v>3294600.9600000004</v>
      </c>
      <c r="V20">
        <f t="shared" si="1"/>
        <v>3294600.9600000004</v>
      </c>
      <c r="W20">
        <f t="shared" si="1"/>
        <v>3294600.9600000004</v>
      </c>
      <c r="X20">
        <f t="shared" si="1"/>
        <v>3294600.9600000004</v>
      </c>
      <c r="Y20">
        <f t="shared" si="1"/>
        <v>3294600.9600000004</v>
      </c>
      <c r="Z20">
        <f t="shared" si="1"/>
        <v>3294600.9600000004</v>
      </c>
      <c r="AA20">
        <f t="shared" si="1"/>
        <v>3294600.9600000004</v>
      </c>
      <c r="AB20">
        <f t="shared" si="1"/>
        <v>3294600.9600000004</v>
      </c>
    </row>
    <row r="21" spans="7:28" x14ac:dyDescent="0.25">
      <c r="G21" t="s">
        <v>175</v>
      </c>
      <c r="H21" s="48">
        <f t="shared" ref="H21:AB21" si="2">(H20+H19)</f>
        <v>-23967510</v>
      </c>
      <c r="I21" s="48">
        <f t="shared" si="2"/>
        <v>2453130.9600000004</v>
      </c>
      <c r="J21" s="48">
        <f t="shared" si="2"/>
        <v>2453130.9600000004</v>
      </c>
      <c r="K21" s="48">
        <f t="shared" si="2"/>
        <v>2453130.9600000004</v>
      </c>
      <c r="L21" s="48">
        <f t="shared" si="2"/>
        <v>2453130.9600000004</v>
      </c>
      <c r="M21" s="48">
        <f t="shared" si="2"/>
        <v>2453130.9600000004</v>
      </c>
      <c r="N21" s="48">
        <f t="shared" si="2"/>
        <v>2453130.9600000004</v>
      </c>
      <c r="O21" s="48">
        <f t="shared" si="2"/>
        <v>2453130.9600000004</v>
      </c>
      <c r="P21" s="48">
        <f t="shared" si="2"/>
        <v>2453130.9600000004</v>
      </c>
      <c r="Q21" s="48">
        <f t="shared" si="2"/>
        <v>2453130.9600000004</v>
      </c>
      <c r="R21" s="48">
        <f t="shared" si="2"/>
        <v>2453130.9600000004</v>
      </c>
      <c r="S21" s="48">
        <f t="shared" si="2"/>
        <v>2453130.9600000004</v>
      </c>
      <c r="T21" s="48">
        <f t="shared" si="2"/>
        <v>2453130.9600000004</v>
      </c>
      <c r="U21" s="48">
        <f t="shared" si="2"/>
        <v>2453130.9600000004</v>
      </c>
      <c r="V21" s="48">
        <f t="shared" si="2"/>
        <v>2453130.9600000004</v>
      </c>
      <c r="W21" s="48">
        <f t="shared" si="2"/>
        <v>2453130.9600000004</v>
      </c>
      <c r="X21" s="48">
        <f t="shared" si="2"/>
        <v>2453130.9600000004</v>
      </c>
      <c r="Y21" s="48">
        <f t="shared" si="2"/>
        <v>2453130.9600000004</v>
      </c>
      <c r="Z21" s="48">
        <f t="shared" si="2"/>
        <v>2453130.9600000004</v>
      </c>
      <c r="AA21" s="48">
        <f t="shared" si="2"/>
        <v>2453130.9600000004</v>
      </c>
      <c r="AB21" s="48">
        <f t="shared" si="2"/>
        <v>2453130.9600000004</v>
      </c>
    </row>
    <row r="22" spans="7:28" x14ac:dyDescent="0.25">
      <c r="G22" t="s">
        <v>174</v>
      </c>
      <c r="H22" s="47">
        <f>H19+H20</f>
        <v>-23967510</v>
      </c>
      <c r="I22" s="47">
        <f>SUM(I20+(H19+H20))</f>
        <v>-20672909.039999999</v>
      </c>
      <c r="J22" s="47">
        <f t="shared" ref="J22:AB22" si="3">SUM(I22+(J19+J20))</f>
        <v>-18219778.079999998</v>
      </c>
      <c r="K22" s="47">
        <f t="shared" si="3"/>
        <v>-15766647.119999997</v>
      </c>
      <c r="L22" s="47">
        <f t="shared" si="3"/>
        <v>-13313516.159999996</v>
      </c>
      <c r="M22" s="47">
        <f t="shared" si="3"/>
        <v>-10860385.199999996</v>
      </c>
      <c r="N22" s="47">
        <f t="shared" si="3"/>
        <v>-8407254.2399999946</v>
      </c>
      <c r="O22" s="47">
        <f t="shared" si="3"/>
        <v>-5954123.2799999937</v>
      </c>
      <c r="P22" s="47">
        <f t="shared" si="3"/>
        <v>-3500992.3199999933</v>
      </c>
      <c r="Q22" s="47">
        <f t="shared" si="3"/>
        <v>-1047861.3599999929</v>
      </c>
      <c r="R22" s="48">
        <f t="shared" si="3"/>
        <v>1405269.6000000075</v>
      </c>
      <c r="S22" s="48">
        <f t="shared" si="3"/>
        <v>3858400.560000008</v>
      </c>
      <c r="T22" s="48">
        <f t="shared" si="3"/>
        <v>6311531.5200000089</v>
      </c>
      <c r="U22" s="48">
        <f t="shared" si="3"/>
        <v>8764662.4800000098</v>
      </c>
      <c r="V22" s="48">
        <f t="shared" si="3"/>
        <v>11217793.440000011</v>
      </c>
      <c r="W22" s="48">
        <f t="shared" si="3"/>
        <v>13670924.400000012</v>
      </c>
      <c r="X22" s="48">
        <f t="shared" si="3"/>
        <v>16124055.360000012</v>
      </c>
      <c r="Y22" s="48">
        <f t="shared" si="3"/>
        <v>18577186.320000011</v>
      </c>
      <c r="Z22" s="48">
        <f t="shared" si="3"/>
        <v>21030317.280000012</v>
      </c>
      <c r="AA22" s="48">
        <f t="shared" si="3"/>
        <v>23483448.240000013</v>
      </c>
      <c r="AB22" s="48">
        <f t="shared" si="3"/>
        <v>25936579.200000014</v>
      </c>
    </row>
    <row r="23" spans="7:28" x14ac:dyDescent="0.25">
      <c r="G23" t="s">
        <v>173</v>
      </c>
      <c r="H23">
        <f t="shared" ref="H23:AB23" si="4">SUM(1/(1+$H15)^H18)</f>
        <v>1</v>
      </c>
      <c r="I23">
        <f t="shared" si="4"/>
        <v>0.90909090909090906</v>
      </c>
      <c r="J23">
        <f t="shared" si="4"/>
        <v>0.82644628099173545</v>
      </c>
      <c r="K23">
        <f t="shared" si="4"/>
        <v>0.75131480090157754</v>
      </c>
      <c r="L23">
        <f t="shared" si="4"/>
        <v>0.68301345536507052</v>
      </c>
      <c r="M23">
        <f t="shared" si="4"/>
        <v>0.62092132305915493</v>
      </c>
      <c r="N23">
        <f t="shared" si="4"/>
        <v>0.56447393005377722</v>
      </c>
      <c r="O23">
        <f t="shared" si="4"/>
        <v>0.51315811823070645</v>
      </c>
      <c r="P23">
        <f t="shared" si="4"/>
        <v>0.46650738020973315</v>
      </c>
      <c r="Q23">
        <f t="shared" si="4"/>
        <v>0.42409761837248466</v>
      </c>
      <c r="R23">
        <f t="shared" si="4"/>
        <v>0.38554328942953148</v>
      </c>
      <c r="S23">
        <f t="shared" si="4"/>
        <v>0.3504938994813922</v>
      </c>
      <c r="T23">
        <f t="shared" si="4"/>
        <v>0.31863081771035656</v>
      </c>
      <c r="U23">
        <f t="shared" si="4"/>
        <v>0.28966437973668779</v>
      </c>
      <c r="V23">
        <f t="shared" si="4"/>
        <v>0.26333125430607973</v>
      </c>
      <c r="W23">
        <f t="shared" si="4"/>
        <v>0.23939204936916339</v>
      </c>
      <c r="X23">
        <f t="shared" si="4"/>
        <v>0.21762913579014853</v>
      </c>
      <c r="Y23">
        <f t="shared" si="4"/>
        <v>0.19784466890013502</v>
      </c>
      <c r="Z23">
        <f t="shared" si="4"/>
        <v>0.17985878990921364</v>
      </c>
      <c r="AA23">
        <f t="shared" si="4"/>
        <v>0.16350799082655781</v>
      </c>
      <c r="AB23">
        <f t="shared" si="4"/>
        <v>0.14864362802414349</v>
      </c>
    </row>
    <row r="24" spans="7:28" x14ac:dyDescent="0.25">
      <c r="G24" t="s">
        <v>172</v>
      </c>
    </row>
    <row r="25" spans="7:28" x14ac:dyDescent="0.25">
      <c r="G25" t="s">
        <v>171</v>
      </c>
      <c r="H25" s="47">
        <f t="shared" ref="H25:AB25" si="5">SUM(H21*H23)</f>
        <v>-23967510</v>
      </c>
      <c r="I25" s="48">
        <f t="shared" si="5"/>
        <v>2230119.0545454547</v>
      </c>
      <c r="J25" s="48">
        <f t="shared" si="5"/>
        <v>2027380.9586776861</v>
      </c>
      <c r="K25" s="48">
        <f t="shared" si="5"/>
        <v>1843073.5987978962</v>
      </c>
      <c r="L25" s="48">
        <f t="shared" si="5"/>
        <v>1675521.453452633</v>
      </c>
      <c r="M25" s="48">
        <f t="shared" si="5"/>
        <v>1523201.3213205752</v>
      </c>
      <c r="N25" s="48">
        <f t="shared" si="5"/>
        <v>1384728.4739277957</v>
      </c>
      <c r="O25" s="48">
        <f t="shared" si="5"/>
        <v>1258844.0672070866</v>
      </c>
      <c r="P25" s="48">
        <f t="shared" si="5"/>
        <v>1144403.6974609878</v>
      </c>
      <c r="Q25" s="48">
        <f t="shared" si="5"/>
        <v>1040366.9976918071</v>
      </c>
      <c r="R25" s="48">
        <f t="shared" si="5"/>
        <v>945788.17971982458</v>
      </c>
      <c r="S25" s="48">
        <f t="shared" si="5"/>
        <v>859807.43610893132</v>
      </c>
      <c r="T25" s="48">
        <f t="shared" si="5"/>
        <v>781643.12373539212</v>
      </c>
      <c r="U25" s="48">
        <f t="shared" si="5"/>
        <v>710584.65794126561</v>
      </c>
      <c r="V25" s="48">
        <f t="shared" si="5"/>
        <v>645986.05267387757</v>
      </c>
      <c r="W25" s="48">
        <f t="shared" si="5"/>
        <v>587260.04788534332</v>
      </c>
      <c r="X25" s="48">
        <f t="shared" si="5"/>
        <v>533872.77080485749</v>
      </c>
      <c r="Y25" s="48">
        <f t="shared" si="5"/>
        <v>485338.88254987047</v>
      </c>
      <c r="Z25" s="48">
        <f t="shared" si="5"/>
        <v>441217.16595442762</v>
      </c>
      <c r="AA25" s="48">
        <f t="shared" si="5"/>
        <v>401106.51450402505</v>
      </c>
      <c r="AB25" s="48">
        <f t="shared" si="5"/>
        <v>364642.28591275011</v>
      </c>
    </row>
    <row r="26" spans="7:28" x14ac:dyDescent="0.25">
      <c r="G26" t="s">
        <v>170</v>
      </c>
      <c r="H26" s="47">
        <f>H25</f>
        <v>-23967510</v>
      </c>
      <c r="I26" s="47">
        <f>(H25+I25)</f>
        <v>-21737390.945454545</v>
      </c>
      <c r="J26" s="47">
        <f t="shared" ref="J26:AB26" si="6">(I26+J25)</f>
        <v>-19710009.986776859</v>
      </c>
      <c r="K26" s="47">
        <f t="shared" si="6"/>
        <v>-17866936.387978964</v>
      </c>
      <c r="L26" s="47">
        <f t="shared" si="6"/>
        <v>-16191414.93452633</v>
      </c>
      <c r="M26" s="47">
        <f t="shared" si="6"/>
        <v>-14668213.613205755</v>
      </c>
      <c r="N26" s="47">
        <f t="shared" si="6"/>
        <v>-13283485.139277959</v>
      </c>
      <c r="O26" s="47">
        <f t="shared" si="6"/>
        <v>-12024641.072070872</v>
      </c>
      <c r="P26" s="47">
        <f t="shared" si="6"/>
        <v>-10880237.374609884</v>
      </c>
      <c r="Q26" s="47">
        <f t="shared" si="6"/>
        <v>-9839870.3769180775</v>
      </c>
      <c r="R26" s="47">
        <f t="shared" si="6"/>
        <v>-8894082.1971982531</v>
      </c>
      <c r="S26" s="47">
        <f t="shared" si="6"/>
        <v>-8034274.7610893222</v>
      </c>
      <c r="T26" s="47">
        <f t="shared" si="6"/>
        <v>-7252631.6373539297</v>
      </c>
      <c r="U26" s="47">
        <f t="shared" si="6"/>
        <v>-6542046.9794126637</v>
      </c>
      <c r="V26" s="47">
        <f t="shared" si="6"/>
        <v>-5896060.9267387865</v>
      </c>
      <c r="W26" s="47">
        <f t="shared" si="6"/>
        <v>-5308800.8788534431</v>
      </c>
      <c r="X26" s="47">
        <f t="shared" si="6"/>
        <v>-4774928.1080485852</v>
      </c>
      <c r="Y26" s="47">
        <f t="shared" si="6"/>
        <v>-4289589.2254987145</v>
      </c>
      <c r="Z26" s="47">
        <f t="shared" si="6"/>
        <v>-3848372.0595442867</v>
      </c>
      <c r="AA26" s="47">
        <f t="shared" si="6"/>
        <v>-3447265.5450402615</v>
      </c>
      <c r="AB26" s="47">
        <f t="shared" si="6"/>
        <v>-3082623.2591275112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X29"/>
  <sheetViews>
    <sheetView topLeftCell="B18" workbookViewId="0">
      <selection activeCell="O33" sqref="O33"/>
    </sheetView>
  </sheetViews>
  <sheetFormatPr baseColWidth="10" defaultColWidth="9.140625" defaultRowHeight="15" x14ac:dyDescent="0.25"/>
  <cols>
    <col min="3" max="3" width="27.7109375" customWidth="1"/>
    <col min="4" max="4" width="15.28515625" customWidth="1"/>
    <col min="5" max="5" width="12.5703125" customWidth="1"/>
    <col min="6" max="6" width="13.28515625" customWidth="1"/>
    <col min="7" max="8" width="14.28515625" customWidth="1"/>
    <col min="9" max="9" width="13.42578125" customWidth="1"/>
    <col min="10" max="10" width="12.42578125" customWidth="1"/>
    <col min="11" max="11" width="10.85546875" customWidth="1"/>
    <col min="12" max="12" width="13.85546875" customWidth="1"/>
    <col min="13" max="13" width="11.7109375" customWidth="1"/>
    <col min="14" max="14" width="12.7109375" customWidth="1"/>
    <col min="15" max="15" width="12.5703125" customWidth="1"/>
    <col min="16" max="16" width="12.7109375" customWidth="1"/>
    <col min="17" max="17" width="13.140625" customWidth="1"/>
    <col min="18" max="18" width="13.42578125" customWidth="1"/>
    <col min="19" max="19" width="13.7109375" customWidth="1"/>
    <col min="20" max="20" width="14.28515625" customWidth="1"/>
    <col min="21" max="21" width="13.42578125" customWidth="1"/>
    <col min="22" max="22" width="12.5703125" customWidth="1"/>
    <col min="23" max="23" width="12.7109375" customWidth="1"/>
    <col min="24" max="24" width="12.85546875" customWidth="1"/>
  </cols>
  <sheetData>
    <row r="4" spans="3:4" x14ac:dyDescent="0.25">
      <c r="C4" t="s">
        <v>187</v>
      </c>
      <c r="D4">
        <f>24528*D8*10</f>
        <v>225657.60000000003</v>
      </c>
    </row>
    <row r="5" spans="3:4" x14ac:dyDescent="0.25">
      <c r="C5" t="s">
        <v>186</v>
      </c>
      <c r="D5">
        <f>SUM(D4*D7)</f>
        <v>32946009.600000005</v>
      </c>
    </row>
    <row r="6" spans="3:4" x14ac:dyDescent="0.25">
      <c r="C6" t="s">
        <v>185</v>
      </c>
      <c r="D6">
        <f>SUM(D5*20)</f>
        <v>658920192.00000012</v>
      </c>
    </row>
    <row r="7" spans="3:4" x14ac:dyDescent="0.25">
      <c r="C7" t="s">
        <v>153</v>
      </c>
      <c r="D7">
        <v>146</v>
      </c>
    </row>
    <row r="8" spans="3:4" x14ac:dyDescent="0.25">
      <c r="C8" t="s">
        <v>108</v>
      </c>
      <c r="D8">
        <v>0.92</v>
      </c>
    </row>
    <row r="9" spans="3:4" x14ac:dyDescent="0.25">
      <c r="C9" t="s">
        <v>184</v>
      </c>
      <c r="D9" s="42">
        <f>SUM(-120.21*70000)</f>
        <v>-8414700</v>
      </c>
    </row>
    <row r="10" spans="3:4" x14ac:dyDescent="0.25">
      <c r="C10" t="s">
        <v>183</v>
      </c>
      <c r="D10">
        <f>SUM(D9*20)</f>
        <v>-168294000</v>
      </c>
    </row>
    <row r="11" spans="3:4" x14ac:dyDescent="0.25">
      <c r="C11" t="s">
        <v>182</v>
      </c>
      <c r="D11">
        <f>SUM(D5-D9)</f>
        <v>41360709.600000009</v>
      </c>
    </row>
    <row r="12" spans="3:4" x14ac:dyDescent="0.25">
      <c r="C12" t="s">
        <v>181</v>
      </c>
      <c r="D12" s="42">
        <f>2688*1000</f>
        <v>2688000</v>
      </c>
    </row>
    <row r="13" spans="3:4" x14ac:dyDescent="0.25">
      <c r="C13" t="s">
        <v>180</v>
      </c>
      <c r="D13">
        <f>SUM(-D12*70)</f>
        <v>-188160000</v>
      </c>
    </row>
    <row r="19" spans="3:24" x14ac:dyDescent="0.25">
      <c r="C19" t="s">
        <v>178</v>
      </c>
      <c r="D19">
        <v>0</v>
      </c>
      <c r="E19">
        <v>1</v>
      </c>
      <c r="F19">
        <v>2</v>
      </c>
      <c r="G19">
        <v>3</v>
      </c>
      <c r="H19">
        <v>4</v>
      </c>
      <c r="I19">
        <v>5</v>
      </c>
      <c r="J19">
        <v>6</v>
      </c>
      <c r="K19">
        <v>7</v>
      </c>
      <c r="L19">
        <v>8</v>
      </c>
      <c r="M19">
        <v>9</v>
      </c>
      <c r="N19">
        <v>10</v>
      </c>
      <c r="O19">
        <v>11</v>
      </c>
      <c r="P19">
        <v>12</v>
      </c>
      <c r="Q19">
        <v>13</v>
      </c>
      <c r="R19">
        <v>14</v>
      </c>
      <c r="S19">
        <v>15</v>
      </c>
      <c r="T19">
        <v>16</v>
      </c>
      <c r="U19">
        <v>17</v>
      </c>
      <c r="V19">
        <v>18</v>
      </c>
      <c r="W19">
        <v>19</v>
      </c>
      <c r="X19">
        <v>20</v>
      </c>
    </row>
    <row r="20" spans="3:24" x14ac:dyDescent="0.25">
      <c r="C20" t="s">
        <v>177</v>
      </c>
      <c r="D20">
        <f>D13</f>
        <v>-188160000</v>
      </c>
      <c r="E20">
        <f t="shared" ref="E20:X20" si="0">($D9)</f>
        <v>-8414700</v>
      </c>
      <c r="F20">
        <f t="shared" si="0"/>
        <v>-8414700</v>
      </c>
      <c r="G20">
        <f t="shared" si="0"/>
        <v>-8414700</v>
      </c>
      <c r="H20">
        <f t="shared" si="0"/>
        <v>-8414700</v>
      </c>
      <c r="I20">
        <f t="shared" si="0"/>
        <v>-8414700</v>
      </c>
      <c r="J20">
        <f t="shared" si="0"/>
        <v>-8414700</v>
      </c>
      <c r="K20">
        <f t="shared" si="0"/>
        <v>-8414700</v>
      </c>
      <c r="L20">
        <f t="shared" si="0"/>
        <v>-8414700</v>
      </c>
      <c r="M20">
        <f t="shared" si="0"/>
        <v>-8414700</v>
      </c>
      <c r="N20">
        <f t="shared" si="0"/>
        <v>-8414700</v>
      </c>
      <c r="O20">
        <f t="shared" si="0"/>
        <v>-8414700</v>
      </c>
      <c r="P20">
        <f t="shared" si="0"/>
        <v>-8414700</v>
      </c>
      <c r="Q20">
        <f t="shared" si="0"/>
        <v>-8414700</v>
      </c>
      <c r="R20">
        <f t="shared" si="0"/>
        <v>-8414700</v>
      </c>
      <c r="S20">
        <f t="shared" si="0"/>
        <v>-8414700</v>
      </c>
      <c r="T20">
        <f t="shared" si="0"/>
        <v>-8414700</v>
      </c>
      <c r="U20">
        <f t="shared" si="0"/>
        <v>-8414700</v>
      </c>
      <c r="V20">
        <f t="shared" si="0"/>
        <v>-8414700</v>
      </c>
      <c r="W20">
        <f t="shared" si="0"/>
        <v>-8414700</v>
      </c>
      <c r="X20">
        <f t="shared" si="0"/>
        <v>-8414700</v>
      </c>
    </row>
    <row r="21" spans="3:24" x14ac:dyDescent="0.25">
      <c r="C21" t="s">
        <v>176</v>
      </c>
      <c r="D21">
        <v>0</v>
      </c>
      <c r="E21">
        <f t="shared" ref="E21:X21" si="1">$D5</f>
        <v>32946009.600000005</v>
      </c>
      <c r="F21">
        <f t="shared" si="1"/>
        <v>32946009.600000005</v>
      </c>
      <c r="G21">
        <f t="shared" si="1"/>
        <v>32946009.600000005</v>
      </c>
      <c r="H21">
        <f t="shared" si="1"/>
        <v>32946009.600000005</v>
      </c>
      <c r="I21">
        <f t="shared" si="1"/>
        <v>32946009.600000005</v>
      </c>
      <c r="J21">
        <f t="shared" si="1"/>
        <v>32946009.600000005</v>
      </c>
      <c r="K21">
        <f t="shared" si="1"/>
        <v>32946009.600000005</v>
      </c>
      <c r="L21">
        <f t="shared" si="1"/>
        <v>32946009.600000005</v>
      </c>
      <c r="M21">
        <f t="shared" si="1"/>
        <v>32946009.600000005</v>
      </c>
      <c r="N21">
        <f t="shared" si="1"/>
        <v>32946009.600000005</v>
      </c>
      <c r="O21">
        <f t="shared" si="1"/>
        <v>32946009.600000005</v>
      </c>
      <c r="P21">
        <f t="shared" si="1"/>
        <v>32946009.600000005</v>
      </c>
      <c r="Q21">
        <f t="shared" si="1"/>
        <v>32946009.600000005</v>
      </c>
      <c r="R21">
        <f t="shared" si="1"/>
        <v>32946009.600000005</v>
      </c>
      <c r="S21">
        <f t="shared" si="1"/>
        <v>32946009.600000005</v>
      </c>
      <c r="T21">
        <f t="shared" si="1"/>
        <v>32946009.600000005</v>
      </c>
      <c r="U21">
        <f t="shared" si="1"/>
        <v>32946009.600000005</v>
      </c>
      <c r="V21">
        <f t="shared" si="1"/>
        <v>32946009.600000005</v>
      </c>
      <c r="W21">
        <f t="shared" si="1"/>
        <v>32946009.600000005</v>
      </c>
      <c r="X21">
        <f t="shared" si="1"/>
        <v>32946009.600000005</v>
      </c>
    </row>
    <row r="22" spans="3:24" x14ac:dyDescent="0.25">
      <c r="C22" t="s">
        <v>175</v>
      </c>
      <c r="D22">
        <f t="shared" ref="D22:X22" si="2">D20+D21</f>
        <v>-188160000</v>
      </c>
      <c r="E22">
        <f t="shared" si="2"/>
        <v>24531309.600000005</v>
      </c>
      <c r="F22">
        <f t="shared" si="2"/>
        <v>24531309.600000005</v>
      </c>
      <c r="G22">
        <f t="shared" si="2"/>
        <v>24531309.600000005</v>
      </c>
      <c r="H22">
        <f t="shared" si="2"/>
        <v>24531309.600000005</v>
      </c>
      <c r="I22">
        <f t="shared" si="2"/>
        <v>24531309.600000005</v>
      </c>
      <c r="J22">
        <f t="shared" si="2"/>
        <v>24531309.600000005</v>
      </c>
      <c r="K22">
        <f t="shared" si="2"/>
        <v>24531309.600000005</v>
      </c>
      <c r="L22">
        <f t="shared" si="2"/>
        <v>24531309.600000005</v>
      </c>
      <c r="M22">
        <f t="shared" si="2"/>
        <v>24531309.600000005</v>
      </c>
      <c r="N22">
        <f t="shared" si="2"/>
        <v>24531309.600000005</v>
      </c>
      <c r="O22">
        <f t="shared" si="2"/>
        <v>24531309.600000005</v>
      </c>
      <c r="P22">
        <f t="shared" si="2"/>
        <v>24531309.600000005</v>
      </c>
      <c r="Q22">
        <f t="shared" si="2"/>
        <v>24531309.600000005</v>
      </c>
      <c r="R22">
        <f t="shared" si="2"/>
        <v>24531309.600000005</v>
      </c>
      <c r="S22">
        <f t="shared" si="2"/>
        <v>24531309.600000005</v>
      </c>
      <c r="T22">
        <f t="shared" si="2"/>
        <v>24531309.600000005</v>
      </c>
      <c r="U22">
        <f t="shared" si="2"/>
        <v>24531309.600000005</v>
      </c>
      <c r="V22">
        <f t="shared" si="2"/>
        <v>24531309.600000005</v>
      </c>
      <c r="W22">
        <f t="shared" si="2"/>
        <v>24531309.600000005</v>
      </c>
      <c r="X22">
        <f t="shared" si="2"/>
        <v>24531309.600000005</v>
      </c>
    </row>
    <row r="23" spans="3:24" x14ac:dyDescent="0.25">
      <c r="C23" t="s">
        <v>174</v>
      </c>
      <c r="D23">
        <f>D22</f>
        <v>-188160000</v>
      </c>
      <c r="E23">
        <f t="shared" ref="E23:X23" si="3">(E22+D23)</f>
        <v>-163628690.40000001</v>
      </c>
      <c r="F23">
        <f t="shared" si="3"/>
        <v>-139097380.80000001</v>
      </c>
      <c r="G23">
        <f t="shared" si="3"/>
        <v>-114566071.2</v>
      </c>
      <c r="H23">
        <f t="shared" si="3"/>
        <v>-90034761.599999994</v>
      </c>
      <c r="I23">
        <f t="shared" si="3"/>
        <v>-65503451.999999985</v>
      </c>
      <c r="J23">
        <f t="shared" si="3"/>
        <v>-40972142.399999976</v>
      </c>
      <c r="K23">
        <f t="shared" si="3"/>
        <v>-16440832.799999971</v>
      </c>
      <c r="L23">
        <f t="shared" si="3"/>
        <v>8090476.8000000343</v>
      </c>
      <c r="M23">
        <f t="shared" si="3"/>
        <v>32621786.400000039</v>
      </c>
      <c r="N23">
        <f t="shared" si="3"/>
        <v>57153096.000000045</v>
      </c>
      <c r="O23">
        <f t="shared" si="3"/>
        <v>81684405.600000054</v>
      </c>
      <c r="P23">
        <f t="shared" si="3"/>
        <v>106215715.20000006</v>
      </c>
      <c r="Q23">
        <f t="shared" si="3"/>
        <v>130747024.80000007</v>
      </c>
      <c r="R23">
        <f t="shared" si="3"/>
        <v>155278334.40000007</v>
      </c>
      <c r="S23">
        <f t="shared" si="3"/>
        <v>179809644.00000006</v>
      </c>
      <c r="T23">
        <f t="shared" si="3"/>
        <v>204340953.60000005</v>
      </c>
      <c r="U23">
        <f t="shared" si="3"/>
        <v>228872263.20000005</v>
      </c>
      <c r="V23">
        <f t="shared" si="3"/>
        <v>253403572.80000004</v>
      </c>
      <c r="W23">
        <f t="shared" si="3"/>
        <v>277934882.40000004</v>
      </c>
      <c r="X23">
        <f t="shared" si="3"/>
        <v>302466192.00000006</v>
      </c>
    </row>
    <row r="24" spans="3:24" x14ac:dyDescent="0.25">
      <c r="C24" t="s">
        <v>173</v>
      </c>
      <c r="D24">
        <f>('1 turbine Payback'!H23)</f>
        <v>1</v>
      </c>
      <c r="E24">
        <f>('1 turbine Payback'!I23)</f>
        <v>0.90909090909090906</v>
      </c>
      <c r="F24">
        <f>('1 turbine Payback'!J23)</f>
        <v>0.82644628099173545</v>
      </c>
      <c r="G24">
        <f>('1 turbine Payback'!K23)</f>
        <v>0.75131480090157754</v>
      </c>
      <c r="H24">
        <f>('1 turbine Payback'!L23)</f>
        <v>0.68301345536507052</v>
      </c>
      <c r="I24">
        <f>('1 turbine Payback'!M23)</f>
        <v>0.62092132305915493</v>
      </c>
      <c r="J24">
        <f>('1 turbine Payback'!N23)</f>
        <v>0.56447393005377722</v>
      </c>
      <c r="K24">
        <f>('1 turbine Payback'!O23)</f>
        <v>0.51315811823070645</v>
      </c>
      <c r="L24">
        <f>('1 turbine Payback'!P23)</f>
        <v>0.46650738020973315</v>
      </c>
      <c r="M24">
        <f>('1 turbine Payback'!Q23)</f>
        <v>0.42409761837248466</v>
      </c>
      <c r="N24">
        <f>('1 turbine Payback'!R23)</f>
        <v>0.38554328942953148</v>
      </c>
      <c r="O24">
        <f>('1 turbine Payback'!S23)</f>
        <v>0.3504938994813922</v>
      </c>
      <c r="P24">
        <f>('1 turbine Payback'!T23)</f>
        <v>0.31863081771035656</v>
      </c>
      <c r="Q24">
        <f>('1 turbine Payback'!U23)</f>
        <v>0.28966437973668779</v>
      </c>
      <c r="R24">
        <f>('1 turbine Payback'!V23)</f>
        <v>0.26333125430607973</v>
      </c>
      <c r="S24">
        <f>('1 turbine Payback'!W23)</f>
        <v>0.23939204936916339</v>
      </c>
      <c r="T24">
        <f>('1 turbine Payback'!X23)</f>
        <v>0.21762913579014853</v>
      </c>
      <c r="U24">
        <f>('1 turbine Payback'!Y23)</f>
        <v>0.19784466890013502</v>
      </c>
      <c r="V24">
        <f>('1 turbine Payback'!Z23)</f>
        <v>0.17985878990921364</v>
      </c>
      <c r="W24">
        <f>('1 turbine Payback'!AA23)</f>
        <v>0.16350799082655781</v>
      </c>
      <c r="X24">
        <f>('1 turbine Payback'!AB23)</f>
        <v>0.14864362802414349</v>
      </c>
    </row>
    <row r="25" spans="3:24" x14ac:dyDescent="0.25">
      <c r="C25" t="s">
        <v>172</v>
      </c>
    </row>
    <row r="26" spans="3:24" x14ac:dyDescent="0.25">
      <c r="C26" t="s">
        <v>171</v>
      </c>
      <c r="D26">
        <f t="shared" ref="D26:X26" si="4">D24*D22</f>
        <v>-188160000</v>
      </c>
      <c r="E26">
        <f t="shared" si="4"/>
        <v>22301190.545454551</v>
      </c>
      <c r="F26">
        <f t="shared" si="4"/>
        <v>20273809.58677686</v>
      </c>
      <c r="G26">
        <f t="shared" si="4"/>
        <v>18430735.987978961</v>
      </c>
      <c r="H26">
        <f t="shared" si="4"/>
        <v>16755214.534526329</v>
      </c>
      <c r="I26">
        <f t="shared" si="4"/>
        <v>15232013.213205751</v>
      </c>
      <c r="J26">
        <f t="shared" si="4"/>
        <v>13847284.739277957</v>
      </c>
      <c r="K26">
        <f t="shared" si="4"/>
        <v>12588440.672070866</v>
      </c>
      <c r="L26">
        <f t="shared" si="4"/>
        <v>11444036.97460988</v>
      </c>
      <c r="M26">
        <f t="shared" si="4"/>
        <v>10403669.976918072</v>
      </c>
      <c r="N26">
        <f t="shared" si="4"/>
        <v>9457881.7971982453</v>
      </c>
      <c r="O26">
        <f t="shared" si="4"/>
        <v>8598074.3610893134</v>
      </c>
      <c r="P26">
        <f t="shared" si="4"/>
        <v>7816431.2373539219</v>
      </c>
      <c r="Q26">
        <f t="shared" si="4"/>
        <v>7105846.5794126559</v>
      </c>
      <c r="R26">
        <f t="shared" si="4"/>
        <v>6459860.5267387768</v>
      </c>
      <c r="S26">
        <f t="shared" si="4"/>
        <v>5872600.4788534334</v>
      </c>
      <c r="T26">
        <f t="shared" si="4"/>
        <v>5338727.7080485756</v>
      </c>
      <c r="U26">
        <f t="shared" si="4"/>
        <v>4853388.8254987048</v>
      </c>
      <c r="V26">
        <f t="shared" si="4"/>
        <v>4412171.659544277</v>
      </c>
      <c r="W26">
        <f t="shared" si="4"/>
        <v>4011065.1450402504</v>
      </c>
      <c r="X26">
        <f t="shared" si="4"/>
        <v>3646422.859127501</v>
      </c>
    </row>
    <row r="27" spans="3:24" x14ac:dyDescent="0.25">
      <c r="C27" t="s">
        <v>170</v>
      </c>
      <c r="D27">
        <f>D26</f>
        <v>-188160000</v>
      </c>
      <c r="E27">
        <f t="shared" ref="E27:X27" si="5">E26+D27</f>
        <v>-165858809.45454544</v>
      </c>
      <c r="F27">
        <f t="shared" si="5"/>
        <v>-145584999.86776859</v>
      </c>
      <c r="G27">
        <f t="shared" si="5"/>
        <v>-127154263.87978962</v>
      </c>
      <c r="H27">
        <f t="shared" si="5"/>
        <v>-110399049.34526329</v>
      </c>
      <c r="I27">
        <f t="shared" si="5"/>
        <v>-95167036.132057533</v>
      </c>
      <c r="J27">
        <f t="shared" si="5"/>
        <v>-81319751.392779574</v>
      </c>
      <c r="K27">
        <f t="shared" si="5"/>
        <v>-68731310.720708713</v>
      </c>
      <c r="L27">
        <f t="shared" si="5"/>
        <v>-57287273.746098831</v>
      </c>
      <c r="M27">
        <f t="shared" si="5"/>
        <v>-46883603.76918076</v>
      </c>
      <c r="N27">
        <f t="shared" si="5"/>
        <v>-37425721.971982516</v>
      </c>
      <c r="O27">
        <f t="shared" si="5"/>
        <v>-28827647.610893205</v>
      </c>
      <c r="P27">
        <f t="shared" si="5"/>
        <v>-21011216.373539284</v>
      </c>
      <c r="Q27">
        <f t="shared" si="5"/>
        <v>-13905369.794126628</v>
      </c>
      <c r="R27">
        <f t="shared" si="5"/>
        <v>-7445509.2673878511</v>
      </c>
      <c r="S27">
        <f t="shared" si="5"/>
        <v>-1572908.7885344177</v>
      </c>
      <c r="T27">
        <f t="shared" si="5"/>
        <v>3765818.9195141578</v>
      </c>
      <c r="U27">
        <f t="shared" si="5"/>
        <v>8619207.7450128626</v>
      </c>
      <c r="V27">
        <f t="shared" si="5"/>
        <v>13031379.404557139</v>
      </c>
      <c r="W27">
        <f t="shared" si="5"/>
        <v>17042444.54959739</v>
      </c>
      <c r="X27">
        <f t="shared" si="5"/>
        <v>20688867.408724889</v>
      </c>
    </row>
    <row r="28" spans="3:24" x14ac:dyDescent="0.25">
      <c r="D28">
        <v>0</v>
      </c>
      <c r="E28">
        <v>1</v>
      </c>
      <c r="F28">
        <v>2</v>
      </c>
      <c r="G28">
        <v>3</v>
      </c>
      <c r="H28">
        <v>4</v>
      </c>
      <c r="I28">
        <v>5</v>
      </c>
      <c r="J28">
        <v>6</v>
      </c>
      <c r="K28">
        <v>7</v>
      </c>
      <c r="L28">
        <v>8</v>
      </c>
      <c r="M28">
        <v>9</v>
      </c>
      <c r="N28">
        <v>10</v>
      </c>
      <c r="O28">
        <v>11</v>
      </c>
      <c r="P28">
        <v>12</v>
      </c>
      <c r="Q28">
        <v>13</v>
      </c>
      <c r="R28">
        <v>14</v>
      </c>
      <c r="S28">
        <v>15</v>
      </c>
      <c r="T28">
        <v>16</v>
      </c>
      <c r="U28">
        <v>17</v>
      </c>
      <c r="V28">
        <v>18</v>
      </c>
      <c r="W28">
        <v>19</v>
      </c>
      <c r="X28">
        <v>20</v>
      </c>
    </row>
    <row r="29" spans="3:24" x14ac:dyDescent="0.25">
      <c r="C29" t="s">
        <v>178</v>
      </c>
    </row>
  </sheetData>
  <conditionalFormatting sqref="D20:X27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21" sqref="A21"/>
    </sheetView>
  </sheetViews>
  <sheetFormatPr baseColWidth="10" defaultColWidth="9.140625" defaultRowHeight="15" x14ac:dyDescent="0.25"/>
  <cols>
    <col min="1" max="1" width="34.7109375" bestFit="1" customWidth="1"/>
    <col min="2" max="2" width="14.85546875" bestFit="1" customWidth="1"/>
  </cols>
  <sheetData>
    <row r="1" spans="1:2" x14ac:dyDescent="0.25">
      <c r="A1" t="s">
        <v>131</v>
      </c>
      <c r="B1" s="1">
        <f>'Tidal Turbine Costs'!B4</f>
        <v>4741632</v>
      </c>
    </row>
    <row r="2" spans="1:2" x14ac:dyDescent="0.25">
      <c r="A2" t="s">
        <v>127</v>
      </c>
      <c r="B2" s="1">
        <f>'Wind Turbine Costs'!J3</f>
        <v>5000000</v>
      </c>
    </row>
    <row r="3" spans="1:2" x14ac:dyDescent="0.25">
      <c r="A3" t="s">
        <v>128</v>
      </c>
      <c r="B3" s="6">
        <f>'Foundation costing'!E8</f>
        <v>1326069.7</v>
      </c>
    </row>
    <row r="4" spans="1:2" x14ac:dyDescent="0.25">
      <c r="A4" t="s">
        <v>129</v>
      </c>
      <c r="B4" s="1">
        <f>'Transmission Costs'!B5+'Transmission Costs'!B7</f>
        <v>5055226.6625233069</v>
      </c>
    </row>
    <row r="5" spans="1:2" x14ac:dyDescent="0.25">
      <c r="A5" t="s">
        <v>138</v>
      </c>
      <c r="B5">
        <v>1.2</v>
      </c>
    </row>
    <row r="6" spans="1:2" x14ac:dyDescent="0.25">
      <c r="A6" s="24" t="s">
        <v>50</v>
      </c>
      <c r="B6" s="29">
        <f>SUM(B1:B4)*B5</f>
        <v>19347514.035027966</v>
      </c>
    </row>
    <row r="8" spans="1:2" x14ac:dyDescent="0.25">
      <c r="A8" t="s">
        <v>132</v>
      </c>
      <c r="B8" s="1">
        <f>'Tidal Turbine Costs'!B7</f>
        <v>249480</v>
      </c>
    </row>
    <row r="9" spans="1:2" x14ac:dyDescent="0.25">
      <c r="A9" t="s">
        <v>133</v>
      </c>
      <c r="B9" s="1">
        <f>'Wind Turbine Costs'!F5</f>
        <v>410000</v>
      </c>
    </row>
    <row r="10" spans="1:2" x14ac:dyDescent="0.25">
      <c r="A10" t="s">
        <v>134</v>
      </c>
      <c r="B10" s="1">
        <f>'Transmission Costs'!B6+'Transmission Costs'!B8</f>
        <v>3208000</v>
      </c>
    </row>
    <row r="11" spans="1:2" x14ac:dyDescent="0.25">
      <c r="A11" s="24" t="s">
        <v>136</v>
      </c>
      <c r="B11" s="29">
        <f>SUM(B8:B10)</f>
        <v>3867480</v>
      </c>
    </row>
    <row r="13" spans="1:2" x14ac:dyDescent="0.25">
      <c r="A13" s="24" t="s">
        <v>137</v>
      </c>
      <c r="B13" s="29">
        <f>20*B11</f>
        <v>77349600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opLeftCell="B1" workbookViewId="0">
      <selection activeCell="K25" sqref="K25"/>
    </sheetView>
  </sheetViews>
  <sheetFormatPr baseColWidth="10" defaultColWidth="9.140625" defaultRowHeight="15" x14ac:dyDescent="0.25"/>
  <cols>
    <col min="4" max="4" width="28.42578125" customWidth="1"/>
    <col min="5" max="5" width="18.85546875" customWidth="1"/>
    <col min="7" max="7" width="28.5703125" customWidth="1"/>
    <col min="9" max="9" width="8.85546875" customWidth="1"/>
    <col min="10" max="10" width="28.7109375" customWidth="1"/>
    <col min="11" max="11" width="19.42578125" customWidth="1"/>
    <col min="13" max="13" width="27.85546875" bestFit="1" customWidth="1"/>
    <col min="14" max="14" width="10.7109375" customWidth="1"/>
    <col min="15" max="15" width="28.42578125" customWidth="1"/>
    <col min="16" max="16" width="19.42578125" customWidth="1"/>
    <col min="17" max="17" width="8.85546875" customWidth="1"/>
    <col min="18" max="18" width="9.7109375" customWidth="1"/>
    <col min="31" max="31" width="15.140625" customWidth="1"/>
  </cols>
  <sheetData>
    <row r="1" spans="1:10" x14ac:dyDescent="0.25">
      <c r="A1" t="s">
        <v>168</v>
      </c>
    </row>
    <row r="2" spans="1:10" x14ac:dyDescent="0.25">
      <c r="J2" t="s">
        <v>167</v>
      </c>
    </row>
    <row r="3" spans="1:10" x14ac:dyDescent="0.25">
      <c r="D3" t="s">
        <v>166</v>
      </c>
      <c r="E3" t="s">
        <v>165</v>
      </c>
      <c r="J3" t="s">
        <v>164</v>
      </c>
    </row>
    <row r="4" spans="1:10" x14ac:dyDescent="0.25">
      <c r="D4">
        <v>6447</v>
      </c>
      <c r="E4">
        <v>300</v>
      </c>
      <c r="J4" t="s">
        <v>163</v>
      </c>
    </row>
    <row r="5" spans="1:10" x14ac:dyDescent="0.25">
      <c r="D5">
        <v>23652</v>
      </c>
      <c r="E5">
        <v>105</v>
      </c>
    </row>
    <row r="6" spans="1:10" x14ac:dyDescent="0.25">
      <c r="D6">
        <v>30108</v>
      </c>
      <c r="E6">
        <f>SUM((E4*D4)+(E5*D5))/D6</f>
        <v>146.72379434037464</v>
      </c>
    </row>
    <row r="8" spans="1:10" x14ac:dyDescent="0.25">
      <c r="D8" s="24" t="s">
        <v>126</v>
      </c>
      <c r="G8" s="24" t="s">
        <v>125</v>
      </c>
      <c r="J8" s="24"/>
    </row>
    <row r="9" spans="1:10" x14ac:dyDescent="0.25">
      <c r="D9" t="s">
        <v>123</v>
      </c>
      <c r="E9">
        <v>3000</v>
      </c>
      <c r="G9" t="s">
        <v>107</v>
      </c>
      <c r="H9">
        <v>3722</v>
      </c>
    </row>
    <row r="10" spans="1:10" x14ac:dyDescent="0.25">
      <c r="D10" t="s">
        <v>121</v>
      </c>
      <c r="E10">
        <v>82</v>
      </c>
      <c r="G10" t="s">
        <v>122</v>
      </c>
      <c r="H10">
        <v>125.3</v>
      </c>
    </row>
    <row r="11" spans="1:10" x14ac:dyDescent="0.25">
      <c r="D11" t="s">
        <v>120</v>
      </c>
      <c r="E11">
        <f>SUM(24*365*5*E12)</f>
        <v>23652</v>
      </c>
      <c r="G11" t="s">
        <v>120</v>
      </c>
      <c r="H11">
        <v>6447.36</v>
      </c>
    </row>
    <row r="12" spans="1:10" x14ac:dyDescent="0.25">
      <c r="D12" t="s">
        <v>119</v>
      </c>
      <c r="E12">
        <v>0.54</v>
      </c>
      <c r="G12" t="s">
        <v>119</v>
      </c>
      <c r="H12">
        <v>36.799999999999997</v>
      </c>
    </row>
    <row r="13" spans="1:10" x14ac:dyDescent="0.25">
      <c r="D13" t="s">
        <v>118</v>
      </c>
      <c r="E13">
        <v>0.1</v>
      </c>
      <c r="G13" t="s">
        <v>117</v>
      </c>
      <c r="H13">
        <v>0.1</v>
      </c>
    </row>
    <row r="14" spans="1:10" x14ac:dyDescent="0.25">
      <c r="D14" t="s">
        <v>116</v>
      </c>
      <c r="E14">
        <v>9.8000000000000004E-2</v>
      </c>
      <c r="G14" t="s">
        <v>116</v>
      </c>
      <c r="H14">
        <v>9.8000000000000004E-2</v>
      </c>
    </row>
    <row r="15" spans="1:10" x14ac:dyDescent="0.25">
      <c r="D15" t="s">
        <v>115</v>
      </c>
      <c r="E15">
        <f>SUM(E11/5*0.92)</f>
        <v>4351.9679999999998</v>
      </c>
      <c r="G15" t="s">
        <v>115</v>
      </c>
      <c r="H15">
        <f>SUM(H11/2*0.92)</f>
        <v>2965.7856000000002</v>
      </c>
    </row>
    <row r="16" spans="1:10" x14ac:dyDescent="0.25">
      <c r="D16" t="s">
        <v>108</v>
      </c>
      <c r="E16">
        <v>0.95</v>
      </c>
      <c r="G16" t="s">
        <v>108</v>
      </c>
      <c r="H16">
        <v>0.92</v>
      </c>
    </row>
    <row r="17" spans="4:35" x14ac:dyDescent="0.25">
      <c r="P17">
        <v>1000</v>
      </c>
      <c r="Q17">
        <v>1000</v>
      </c>
      <c r="R17">
        <v>1000</v>
      </c>
      <c r="S17">
        <v>1000</v>
      </c>
      <c r="T17">
        <v>1000</v>
      </c>
      <c r="U17">
        <v>1000</v>
      </c>
      <c r="V17">
        <v>1000</v>
      </c>
      <c r="W17">
        <v>1000</v>
      </c>
      <c r="X17">
        <v>1000</v>
      </c>
      <c r="Y17">
        <v>1000</v>
      </c>
    </row>
    <row r="18" spans="4:35" x14ac:dyDescent="0.25">
      <c r="O18" t="s">
        <v>162</v>
      </c>
      <c r="P18">
        <f>3815956.48072094/P17</f>
        <v>3815.9564807209399</v>
      </c>
      <c r="Q18">
        <f>3211140.00509278/Q17</f>
        <v>3211.14000509278</v>
      </c>
      <c r="R18">
        <f>3009534.51321673/R17</f>
        <v>3009.5345132167304</v>
      </c>
      <c r="S18">
        <f>2908731.7672787/S17</f>
        <v>2908.7317672787003</v>
      </c>
      <c r="T18">
        <f>2848250.11971588/T17</f>
        <v>2848.2501197158799</v>
      </c>
      <c r="U18">
        <f>2807929.02134067/U17</f>
        <v>2807.9290213406703</v>
      </c>
      <c r="V18">
        <f>2779128.23678695/V17</f>
        <v>2779.1282367869499</v>
      </c>
      <c r="W18">
        <f>2757527.64837166/W17</f>
        <v>2757.5276483716602</v>
      </c>
      <c r="X18">
        <f>2740727.19071532/X17</f>
        <v>2740.7271907153199</v>
      </c>
      <c r="Y18">
        <f>2727286.82459025/Y17</f>
        <v>2727.28682459025</v>
      </c>
    </row>
    <row r="19" spans="4:35" x14ac:dyDescent="0.25">
      <c r="O19" t="s">
        <v>161</v>
      </c>
      <c r="P19">
        <f>4796021.24144189/P17</f>
        <v>4796.0212414418893</v>
      </c>
      <c r="Q19">
        <f>3701172.38545325/Q17</f>
        <v>3701.1723854532497</v>
      </c>
      <c r="R19">
        <f>3336222.76679038/R17</f>
        <v>3336.2227667903799</v>
      </c>
      <c r="S19">
        <f>3153747.95745894/S17</f>
        <v>3153.7479574589397</v>
      </c>
      <c r="T19">
        <f>3044263.07186007/T17</f>
        <v>3044.2630718600699</v>
      </c>
      <c r="U19">
        <f>2971273.1481275/U17</f>
        <v>2971.2731481275</v>
      </c>
      <c r="V19">
        <f>2919137.48831851/V17</f>
        <v>2919.1374883185099</v>
      </c>
      <c r="W19">
        <f>2880035.74346178/W17</f>
        <v>2880.0357434617799</v>
      </c>
      <c r="X19">
        <f>2849623.27523987/X17</f>
        <v>2849.6232752398701</v>
      </c>
      <c r="Y19">
        <f>2825293.30066235/Y17</f>
        <v>2825.2933006623498</v>
      </c>
    </row>
    <row r="20" spans="4:35" x14ac:dyDescent="0.25">
      <c r="D20" s="4" t="s">
        <v>114</v>
      </c>
      <c r="E20" s="4">
        <f>SUM((E9*E14)+E10)/(E15/1000)</f>
        <v>86.397694100691908</v>
      </c>
      <c r="G20" s="4" t="s">
        <v>114</v>
      </c>
      <c r="H20" s="4">
        <f>SUM((H9*H14)+H10)/(H15/1000)</f>
        <v>165.23648911101327</v>
      </c>
    </row>
    <row r="21" spans="4:35" ht="15.75" thickBot="1" x14ac:dyDescent="0.3">
      <c r="D21" t="s">
        <v>113</v>
      </c>
      <c r="E21">
        <f>E20/10</f>
        <v>8.6397694100691904</v>
      </c>
      <c r="G21" t="s">
        <v>113</v>
      </c>
      <c r="H21">
        <f>H20/10</f>
        <v>16.523648911101326</v>
      </c>
    </row>
    <row r="22" spans="4:35" x14ac:dyDescent="0.25">
      <c r="D22" t="s">
        <v>112</v>
      </c>
      <c r="E22">
        <v>105</v>
      </c>
      <c r="G22" t="s">
        <v>112</v>
      </c>
      <c r="H22">
        <v>300</v>
      </c>
      <c r="O22" s="24" t="s">
        <v>124</v>
      </c>
      <c r="P22" s="46" t="s">
        <v>160</v>
      </c>
      <c r="Q22" s="45">
        <v>2</v>
      </c>
      <c r="R22" s="45">
        <v>3</v>
      </c>
      <c r="S22" s="45">
        <v>4</v>
      </c>
      <c r="T22" s="45">
        <v>5</v>
      </c>
      <c r="U22" s="45">
        <v>6</v>
      </c>
      <c r="V22" s="45">
        <v>7</v>
      </c>
      <c r="W22" s="45">
        <v>8</v>
      </c>
      <c r="X22" s="45">
        <v>9</v>
      </c>
      <c r="Y22" s="44">
        <v>10</v>
      </c>
      <c r="Z22" s="43">
        <v>10</v>
      </c>
      <c r="AA22" s="43">
        <v>10</v>
      </c>
      <c r="AB22" s="43">
        <v>10</v>
      </c>
      <c r="AC22" s="43">
        <v>10</v>
      </c>
    </row>
    <row r="23" spans="4:35" x14ac:dyDescent="0.25">
      <c r="D23" t="s">
        <v>110</v>
      </c>
      <c r="E23">
        <v>10</v>
      </c>
      <c r="G23" t="s">
        <v>110</v>
      </c>
      <c r="H23" t="s">
        <v>111</v>
      </c>
      <c r="O23" t="s">
        <v>123</v>
      </c>
      <c r="P23" s="42">
        <v>3423.93</v>
      </c>
      <c r="Q23" s="41">
        <v>3015.1270529485901</v>
      </c>
      <c r="R23" s="41">
        <f>2878859.21178727/1000</f>
        <v>2878.8592117872699</v>
      </c>
      <c r="S23" s="41">
        <f>2810725.29120661/1000</f>
        <v>2810.7252912066101</v>
      </c>
      <c r="T23" s="41">
        <f>2769844.93885821/1000</f>
        <v>2769.8449388582103</v>
      </c>
      <c r="U23" s="41">
        <f>2742591.37062594/1000</f>
        <v>2742.5913706259403</v>
      </c>
      <c r="V23" s="41">
        <f>2723124.53617433/1000</f>
        <v>2723.1245361743299</v>
      </c>
      <c r="W23" s="41">
        <f>2708524.41033561/1000</f>
        <v>2708.5244103356104</v>
      </c>
      <c r="X23" s="41">
        <f>2697168.7569055/1000</f>
        <v>2697.1687569054998</v>
      </c>
      <c r="Y23" s="40">
        <f>2688084.23416141/1000</f>
        <v>2688.0842341614102</v>
      </c>
      <c r="Z23">
        <f>2688084.23416141/1000</f>
        <v>2688.0842341614102</v>
      </c>
      <c r="AA23">
        <f>2688084.23416141/1000</f>
        <v>2688.0842341614102</v>
      </c>
      <c r="AB23">
        <f>2688084.23416141/1000</f>
        <v>2688.0842341614102</v>
      </c>
      <c r="AC23">
        <f>2688084.23416141/1000</f>
        <v>2688.0842341614102</v>
      </c>
    </row>
    <row r="24" spans="4:35" x14ac:dyDescent="0.25">
      <c r="D24" t="s">
        <v>109</v>
      </c>
      <c r="E24">
        <f>SUM(E22-E20)</f>
        <v>18.602305899308092</v>
      </c>
      <c r="G24" t="s">
        <v>109</v>
      </c>
      <c r="H24">
        <f>SUM(H22-H20)</f>
        <v>134.76351088898673</v>
      </c>
      <c r="O24" t="s">
        <v>121</v>
      </c>
      <c r="P24" s="42">
        <v>120.21</v>
      </c>
      <c r="Q24" s="41">
        <v>120.21</v>
      </c>
      <c r="R24" s="41">
        <v>120.21</v>
      </c>
      <c r="S24" s="41">
        <v>120.21</v>
      </c>
      <c r="T24" s="41">
        <v>120.21</v>
      </c>
      <c r="U24" s="41">
        <v>120.21</v>
      </c>
      <c r="V24" s="41">
        <v>120.21</v>
      </c>
      <c r="W24" s="41">
        <v>120.21</v>
      </c>
      <c r="X24" s="41">
        <v>120.21</v>
      </c>
      <c r="Y24" s="40">
        <v>120.21</v>
      </c>
      <c r="Z24">
        <v>120.21</v>
      </c>
      <c r="AA24">
        <v>120.21</v>
      </c>
      <c r="AB24">
        <v>120.21</v>
      </c>
      <c r="AC24">
        <v>120.21</v>
      </c>
    </row>
    <row r="25" spans="4:35" x14ac:dyDescent="0.25">
      <c r="O25" t="s">
        <v>120</v>
      </c>
      <c r="P25" s="42">
        <f t="shared" ref="P25:AC25" si="0">SUM(7*24*365*P26)</f>
        <v>24528</v>
      </c>
      <c r="Q25" s="41">
        <f t="shared" si="0"/>
        <v>24528</v>
      </c>
      <c r="R25" s="41">
        <f t="shared" si="0"/>
        <v>24528</v>
      </c>
      <c r="S25" s="41">
        <f t="shared" si="0"/>
        <v>24528</v>
      </c>
      <c r="T25" s="41">
        <f t="shared" si="0"/>
        <v>24528</v>
      </c>
      <c r="U25" s="41">
        <f t="shared" si="0"/>
        <v>24528</v>
      </c>
      <c r="V25" s="41">
        <f t="shared" si="0"/>
        <v>24528</v>
      </c>
      <c r="W25" s="41">
        <f t="shared" si="0"/>
        <v>24528</v>
      </c>
      <c r="X25" s="41">
        <f t="shared" si="0"/>
        <v>24528</v>
      </c>
      <c r="Y25" s="40">
        <f t="shared" si="0"/>
        <v>24528</v>
      </c>
      <c r="Z25">
        <f t="shared" si="0"/>
        <v>18396</v>
      </c>
      <c r="AA25">
        <f t="shared" si="0"/>
        <v>21462</v>
      </c>
      <c r="AB25">
        <f t="shared" si="0"/>
        <v>24528</v>
      </c>
      <c r="AC25">
        <f t="shared" si="0"/>
        <v>27594</v>
      </c>
    </row>
    <row r="26" spans="4:35" x14ac:dyDescent="0.25">
      <c r="L26" s="26"/>
      <c r="O26" t="s">
        <v>119</v>
      </c>
      <c r="P26" s="42">
        <v>0.4</v>
      </c>
      <c r="Q26" s="41">
        <v>0.4</v>
      </c>
      <c r="R26" s="41">
        <v>0.4</v>
      </c>
      <c r="S26" s="41">
        <v>0.4</v>
      </c>
      <c r="T26" s="41">
        <v>0.4</v>
      </c>
      <c r="U26" s="41">
        <v>0.4</v>
      </c>
      <c r="V26" s="41">
        <v>0.4</v>
      </c>
      <c r="W26" s="41">
        <v>0.4</v>
      </c>
      <c r="X26" s="41">
        <v>0.4</v>
      </c>
      <c r="Y26" s="40">
        <v>0.4</v>
      </c>
      <c r="Z26">
        <v>0.3</v>
      </c>
      <c r="AA26">
        <v>0.35</v>
      </c>
      <c r="AB26">
        <v>0.4</v>
      </c>
      <c r="AC26">
        <v>0.45</v>
      </c>
      <c r="AE26" t="s">
        <v>159</v>
      </c>
      <c r="AF26">
        <v>0.3</v>
      </c>
      <c r="AG26">
        <v>0.35</v>
      </c>
      <c r="AH26">
        <v>0.4</v>
      </c>
      <c r="AI26">
        <v>0.45</v>
      </c>
    </row>
    <row r="27" spans="4:35" x14ac:dyDescent="0.25">
      <c r="D27">
        <v>21759.84</v>
      </c>
      <c r="O27" t="s">
        <v>117</v>
      </c>
      <c r="P27" s="42">
        <v>0.1</v>
      </c>
      <c r="Q27" s="41">
        <v>0.1</v>
      </c>
      <c r="R27" s="41">
        <v>0.1</v>
      </c>
      <c r="S27" s="41">
        <v>0.1</v>
      </c>
      <c r="T27" s="41">
        <v>0.1</v>
      </c>
      <c r="U27" s="41">
        <v>0.1</v>
      </c>
      <c r="V27" s="41">
        <v>0.1</v>
      </c>
      <c r="W27" s="41">
        <v>0.1</v>
      </c>
      <c r="X27" s="41">
        <v>0.1</v>
      </c>
      <c r="Y27" s="40">
        <v>0.1</v>
      </c>
      <c r="Z27">
        <v>0.1</v>
      </c>
      <c r="AA27">
        <v>0.1</v>
      </c>
      <c r="AB27">
        <v>0.1</v>
      </c>
      <c r="AC27">
        <v>0.1</v>
      </c>
    </row>
    <row r="28" spans="4:35" x14ac:dyDescent="0.25">
      <c r="O28" t="s">
        <v>116</v>
      </c>
      <c r="P28" s="42">
        <v>9.8000000000000004E-2</v>
      </c>
      <c r="Q28" s="41">
        <v>9.8000000000000004E-2</v>
      </c>
      <c r="R28" s="41">
        <v>9.8000000000000004E-2</v>
      </c>
      <c r="S28" s="41">
        <v>9.8000000000000004E-2</v>
      </c>
      <c r="T28" s="41">
        <v>9.8000000000000004E-2</v>
      </c>
      <c r="U28" s="41">
        <v>9.8000000000000004E-2</v>
      </c>
      <c r="V28" s="41">
        <v>9.8000000000000004E-2</v>
      </c>
      <c r="W28" s="41">
        <v>9.8000000000000004E-2</v>
      </c>
      <c r="X28" s="41">
        <v>9.8000000000000004E-2</v>
      </c>
      <c r="Y28" s="40">
        <v>9.8000000000000004E-2</v>
      </c>
      <c r="Z28">
        <v>9.8000000000000004E-2</v>
      </c>
      <c r="AA28">
        <v>9.8000000000000004E-2</v>
      </c>
      <c r="AB28">
        <v>9.8000000000000004E-2</v>
      </c>
      <c r="AC28">
        <v>9.8000000000000004E-2</v>
      </c>
      <c r="AE28" t="s">
        <v>152</v>
      </c>
      <c r="AF28">
        <v>188.5</v>
      </c>
      <c r="AG28">
        <v>161.57</v>
      </c>
      <c r="AH28">
        <v>141.38</v>
      </c>
      <c r="AI28">
        <v>125.67</v>
      </c>
    </row>
    <row r="29" spans="4:35" x14ac:dyDescent="0.25">
      <c r="O29" t="s">
        <v>115</v>
      </c>
      <c r="P29" s="42">
        <f t="shared" ref="P29:AC29" si="1">SUM(P25/7*P30)</f>
        <v>3223.6800000000003</v>
      </c>
      <c r="Q29" s="41">
        <f t="shared" si="1"/>
        <v>3223.6800000000003</v>
      </c>
      <c r="R29" s="41">
        <f t="shared" si="1"/>
        <v>3223.6800000000003</v>
      </c>
      <c r="S29" s="41">
        <f t="shared" si="1"/>
        <v>3223.6800000000003</v>
      </c>
      <c r="T29" s="41">
        <f t="shared" si="1"/>
        <v>3223.6800000000003</v>
      </c>
      <c r="U29" s="41">
        <f t="shared" si="1"/>
        <v>3223.6800000000003</v>
      </c>
      <c r="V29" s="41">
        <f t="shared" si="1"/>
        <v>3223.6800000000003</v>
      </c>
      <c r="W29" s="41">
        <f t="shared" si="1"/>
        <v>3223.6800000000003</v>
      </c>
      <c r="X29" s="41">
        <f t="shared" si="1"/>
        <v>3223.6800000000003</v>
      </c>
      <c r="Y29" s="40">
        <f t="shared" si="1"/>
        <v>3223.6800000000003</v>
      </c>
      <c r="Z29">
        <f t="shared" si="1"/>
        <v>2417.7600000000002</v>
      </c>
      <c r="AA29">
        <f t="shared" si="1"/>
        <v>2820.7200000000003</v>
      </c>
      <c r="AB29">
        <f t="shared" si="1"/>
        <v>3223.6800000000003</v>
      </c>
      <c r="AC29">
        <f t="shared" si="1"/>
        <v>3626.6400000000003</v>
      </c>
    </row>
    <row r="30" spans="4:35" ht="15.75" thickBot="1" x14ac:dyDescent="0.3">
      <c r="K30" s="26"/>
      <c r="O30" t="s">
        <v>108</v>
      </c>
      <c r="P30" s="39">
        <v>0.92</v>
      </c>
      <c r="Q30" s="38">
        <v>0.92</v>
      </c>
      <c r="R30" s="38">
        <v>0.92</v>
      </c>
      <c r="S30" s="38">
        <v>0.92</v>
      </c>
      <c r="T30" s="38">
        <v>0.92</v>
      </c>
      <c r="U30" s="38">
        <v>0.92</v>
      </c>
      <c r="V30" s="38">
        <v>0.92</v>
      </c>
      <c r="W30" s="38">
        <v>0.92</v>
      </c>
      <c r="X30" s="38">
        <v>0.92</v>
      </c>
      <c r="Y30" s="37">
        <v>0.92</v>
      </c>
      <c r="Z30">
        <v>0.92</v>
      </c>
      <c r="AA30">
        <v>0.92</v>
      </c>
      <c r="AB30">
        <v>0.92</v>
      </c>
      <c r="AC30">
        <v>0.92</v>
      </c>
    </row>
    <row r="31" spans="4:35" x14ac:dyDescent="0.25">
      <c r="AE31" t="s">
        <v>158</v>
      </c>
      <c r="AF31" s="35">
        <v>9.5000000000000001E-2</v>
      </c>
      <c r="AG31" s="36">
        <v>9.8500000000000004E-2</v>
      </c>
      <c r="AH31" s="35">
        <v>0.1</v>
      </c>
      <c r="AI31" s="35">
        <v>0.105</v>
      </c>
    </row>
    <row r="33" spans="8:35" x14ac:dyDescent="0.25">
      <c r="H33" s="10"/>
      <c r="AE33" t="s">
        <v>152</v>
      </c>
      <c r="AF33">
        <v>138.19</v>
      </c>
      <c r="AG33">
        <v>141.38</v>
      </c>
      <c r="AH33">
        <v>143.5</v>
      </c>
      <c r="AI33">
        <v>148.82</v>
      </c>
    </row>
    <row r="34" spans="8:35" x14ac:dyDescent="0.25">
      <c r="O34" s="4" t="s">
        <v>157</v>
      </c>
      <c r="P34" s="4">
        <f t="shared" ref="P34:AC34" si="2">SUM((P23*P28)+P24)/(P29/1000)</f>
        <v>141.37728930911254</v>
      </c>
      <c r="Q34" s="4">
        <f t="shared" si="2"/>
        <v>128.94966348674862</v>
      </c>
      <c r="R34" s="4">
        <f t="shared" si="2"/>
        <v>124.80711570476983</v>
      </c>
      <c r="S34" s="4">
        <f t="shared" si="2"/>
        <v>122.73584181378045</v>
      </c>
      <c r="T34" s="4">
        <f t="shared" si="2"/>
        <v>121.49307747918668</v>
      </c>
      <c r="U34" s="4">
        <f t="shared" si="2"/>
        <v>120.66456792279075</v>
      </c>
      <c r="V34" s="4">
        <f t="shared" si="2"/>
        <v>120.07277538250828</v>
      </c>
      <c r="W34" s="4">
        <f t="shared" si="2"/>
        <v>119.62893097729606</v>
      </c>
      <c r="X34" s="4">
        <f t="shared" si="2"/>
        <v>119.28371866213115</v>
      </c>
      <c r="Y34" s="4">
        <f t="shared" si="2"/>
        <v>119.00754880999918</v>
      </c>
      <c r="Z34" s="4">
        <f t="shared" si="2"/>
        <v>158.67673174666555</v>
      </c>
      <c r="AA34" s="4">
        <f t="shared" si="2"/>
        <v>136.00862721142764</v>
      </c>
      <c r="AB34" s="4">
        <f t="shared" si="2"/>
        <v>119.00754880999918</v>
      </c>
      <c r="AC34" s="4">
        <f t="shared" si="2"/>
        <v>105.78448783111037</v>
      </c>
    </row>
    <row r="35" spans="8:35" x14ac:dyDescent="0.25">
      <c r="O35" t="s">
        <v>156</v>
      </c>
      <c r="P35">
        <f t="shared" ref="P35:Y35" si="3">SUM((P18*P28)+P24)/(P29/1000)</f>
        <v>153.29490988890089</v>
      </c>
      <c r="Q35">
        <f t="shared" si="3"/>
        <v>134.90846501485643</v>
      </c>
      <c r="R35">
        <f t="shared" si="3"/>
        <v>128.77965005684172</v>
      </c>
      <c r="S35">
        <f t="shared" si="3"/>
        <v>125.71524257783422</v>
      </c>
      <c r="T35">
        <f t="shared" si="3"/>
        <v>123.87659809042964</v>
      </c>
      <c r="U35">
        <f t="shared" si="3"/>
        <v>122.6508350988267</v>
      </c>
      <c r="V35">
        <f t="shared" si="3"/>
        <v>121.77529010482462</v>
      </c>
      <c r="W35">
        <f t="shared" si="3"/>
        <v>121.11863135932309</v>
      </c>
      <c r="X35">
        <f t="shared" si="3"/>
        <v>120.60789677948844</v>
      </c>
      <c r="Y35">
        <f t="shared" si="3"/>
        <v>120.19930911562079</v>
      </c>
    </row>
    <row r="36" spans="8:35" x14ac:dyDescent="0.25">
      <c r="O36" s="10" t="s">
        <v>155</v>
      </c>
      <c r="P36">
        <f t="shared" ref="P36:Y36" si="4">SUM((P19*P28)+P24)/(P29/1000)</f>
        <v>183.08891752943998</v>
      </c>
      <c r="Q36">
        <f t="shared" si="4"/>
        <v>149.80546883512582</v>
      </c>
      <c r="R36">
        <f t="shared" si="4"/>
        <v>138.71098593702141</v>
      </c>
      <c r="S36">
        <f t="shared" si="4"/>
        <v>133.16374448796904</v>
      </c>
      <c r="T36">
        <f t="shared" si="4"/>
        <v>129.83539961853745</v>
      </c>
      <c r="U36">
        <f t="shared" si="4"/>
        <v>127.61650303891669</v>
      </c>
      <c r="V36">
        <f t="shared" si="4"/>
        <v>126.0315769106158</v>
      </c>
      <c r="W36">
        <f t="shared" si="4"/>
        <v>124.84288231439049</v>
      </c>
      <c r="X36">
        <f t="shared" si="4"/>
        <v>123.91834207288169</v>
      </c>
      <c r="Y36">
        <f t="shared" si="4"/>
        <v>123.17870987967486</v>
      </c>
    </row>
    <row r="37" spans="8:35" x14ac:dyDescent="0.25">
      <c r="AA37" s="6"/>
    </row>
    <row r="40" spans="8:35" x14ac:dyDescent="0.25">
      <c r="O40" t="s">
        <v>154</v>
      </c>
    </row>
    <row r="42" spans="8:35" x14ac:dyDescent="0.25">
      <c r="P42" t="s">
        <v>126</v>
      </c>
      <c r="Q42" t="s">
        <v>124</v>
      </c>
    </row>
    <row r="43" spans="8:35" x14ac:dyDescent="0.25">
      <c r="O43" t="s">
        <v>153</v>
      </c>
      <c r="P43">
        <v>105</v>
      </c>
      <c r="Q43">
        <f>P43</f>
        <v>105</v>
      </c>
    </row>
    <row r="44" spans="8:35" x14ac:dyDescent="0.25">
      <c r="O44" t="s">
        <v>152</v>
      </c>
      <c r="P44">
        <v>86.4</v>
      </c>
      <c r="Q44">
        <v>141.4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I1" workbookViewId="0">
      <selection activeCell="K17" sqref="K17"/>
    </sheetView>
  </sheetViews>
  <sheetFormatPr baseColWidth="10" defaultColWidth="9.140625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Transmission Costs</vt:lpstr>
      <vt:lpstr>Tidal Turbine Costs</vt:lpstr>
      <vt:lpstr>Foundation costing</vt:lpstr>
      <vt:lpstr>Wind Turbine Costs</vt:lpstr>
      <vt:lpstr>1 turbine Payback</vt:lpstr>
      <vt:lpstr>10 turbine payback</vt:lpstr>
      <vt:lpstr>Total System Cost</vt:lpstr>
      <vt:lpstr>LCOE</vt:lpstr>
      <vt:lpstr>Graphs</vt:lpstr>
      <vt:lpstr>Array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2017-04-26T12:09:01Z</dcterms:created>
  <dcterms:modified xsi:type="dcterms:W3CDTF">2017-05-09T12:17:50Z</dcterms:modified>
</cp:coreProperties>
</file>