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ckb\Documents\HOMER Energy\"/>
    </mc:Choice>
  </mc:AlternateContent>
  <bookViews>
    <workbookView xWindow="0" yWindow="0" windowWidth="23040" windowHeight="9084" firstSheet="1" activeTab="3"/>
  </bookViews>
  <sheets>
    <sheet name=" COMPARISON WITH BIOMASS" sheetId="4" r:id="rId1"/>
    <sheet name="COMPARISON WITHOUT BIOMASS" sheetId="6" r:id="rId2"/>
    <sheet name="COSTS WITH BIOMASS" sheetId="5" r:id="rId3"/>
    <sheet name="COSTS WITHOUT BIOMASS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5" l="1"/>
  <c r="B20" i="7"/>
  <c r="C19" i="5" l="1"/>
  <c r="C17" i="5" l="1"/>
  <c r="G32" i="5"/>
  <c r="G31" i="5"/>
  <c r="G30" i="5"/>
  <c r="G29" i="5"/>
  <c r="G26" i="5"/>
  <c r="G25" i="5"/>
  <c r="G24" i="5"/>
  <c r="G23" i="5"/>
  <c r="G20" i="5"/>
  <c r="B16" i="7"/>
  <c r="F31" i="7"/>
  <c r="F30" i="7"/>
  <c r="F29" i="7"/>
  <c r="F28" i="7"/>
  <c r="F25" i="7"/>
  <c r="F19" i="7"/>
  <c r="F24" i="7"/>
  <c r="F23" i="7"/>
  <c r="F22" i="7"/>
  <c r="B17" i="7" l="1"/>
  <c r="B15" i="7"/>
  <c r="F16" i="7"/>
  <c r="F17" i="7" s="1"/>
  <c r="F18" i="7" s="1"/>
  <c r="I7" i="7"/>
  <c r="I6" i="7"/>
  <c r="I5" i="7"/>
  <c r="B7" i="7"/>
  <c r="B6" i="7"/>
  <c r="B5" i="7"/>
  <c r="G25" i="6"/>
  <c r="G24" i="6"/>
  <c r="G23" i="6"/>
  <c r="C24" i="6"/>
  <c r="C23" i="6"/>
  <c r="F20" i="6"/>
  <c r="F19" i="6"/>
  <c r="F18" i="6"/>
  <c r="C19" i="6"/>
  <c r="C18" i="6"/>
  <c r="C15" i="6"/>
  <c r="C14" i="6"/>
  <c r="C22" i="5" l="1"/>
  <c r="C24" i="5" s="1"/>
  <c r="C26" i="5" s="1"/>
  <c r="C28" i="5" s="1"/>
  <c r="C16" i="5"/>
  <c r="K7" i="5"/>
  <c r="K6" i="5"/>
  <c r="K5" i="5"/>
  <c r="C7" i="5"/>
  <c r="C6" i="5"/>
  <c r="C5" i="5"/>
  <c r="G17" i="5"/>
  <c r="G18" i="5" s="1"/>
  <c r="G19" i="5" s="1"/>
  <c r="C18" i="5" l="1"/>
  <c r="H24" i="4" l="1"/>
  <c r="C24" i="4"/>
  <c r="H23" i="4" s="1"/>
  <c r="H25" i="4" s="1"/>
  <c r="C23" i="4"/>
  <c r="G20" i="4"/>
  <c r="G19" i="4"/>
  <c r="G18" i="4"/>
  <c r="G16" i="4"/>
  <c r="G14" i="4"/>
  <c r="C14" i="4"/>
  <c r="G15" i="4" s="1"/>
  <c r="C15" i="4"/>
  <c r="C18" i="4"/>
  <c r="C19" i="4"/>
</calcChain>
</file>

<file path=xl/sharedStrings.xml><?xml version="1.0" encoding="utf-8"?>
<sst xmlns="http://schemas.openxmlformats.org/spreadsheetml/2006/main" count="213" uniqueCount="103">
  <si>
    <t>Batteries</t>
  </si>
  <si>
    <t>Converter</t>
  </si>
  <si>
    <t>Wind and Sun website RB-4KS25PS</t>
  </si>
  <si>
    <t>BARTOLO</t>
  </si>
  <si>
    <t>per kW</t>
  </si>
  <si>
    <t>HW Cost</t>
  </si>
  <si>
    <t>Upgraded, ASHP</t>
  </si>
  <si>
    <t>Upgraded, GSHP</t>
  </si>
  <si>
    <t>NOTU, ASHP</t>
  </si>
  <si>
    <t>NOTU, GSHP</t>
  </si>
  <si>
    <t>BIOMASS</t>
  </si>
  <si>
    <t>Excess Elec (kWh/year)</t>
  </si>
  <si>
    <t>3 x Vestas</t>
  </si>
  <si>
    <t>25 Strings</t>
  </si>
  <si>
    <t>100kW</t>
  </si>
  <si>
    <t>52 Strings</t>
  </si>
  <si>
    <t>170kW</t>
  </si>
  <si>
    <t>18 Strings</t>
  </si>
  <si>
    <t>90kW</t>
  </si>
  <si>
    <t>Assuming we are going to go ahead with electriication, is it worth upgrading the housing?</t>
  </si>
  <si>
    <t>Housing:</t>
  </si>
  <si>
    <t>Capital (£)</t>
  </si>
  <si>
    <t>ASHP</t>
  </si>
  <si>
    <t>GSHP</t>
  </si>
  <si>
    <t>Total Upgraded Cost</t>
  </si>
  <si>
    <t>Not Upgraded Cost</t>
  </si>
  <si>
    <t>ASHP:</t>
  </si>
  <si>
    <t>GSHP:</t>
  </si>
  <si>
    <t>(52x20000)</t>
  </si>
  <si>
    <t>Savings per year:</t>
  </si>
  <si>
    <t>Extra Cost:</t>
  </si>
  <si>
    <t>Years to pay back:</t>
  </si>
  <si>
    <t>(on average)</t>
  </si>
  <si>
    <t>33 Strings</t>
  </si>
  <si>
    <t>130kW</t>
  </si>
  <si>
    <t>WORTH IT?</t>
  </si>
  <si>
    <t>WORTH UPGRADING IF USING GSHP?</t>
  </si>
  <si>
    <t>For the upgraded buildings then, are ASHP or GSHP more cost effective?</t>
  </si>
  <si>
    <t>on average</t>
  </si>
  <si>
    <t>Total ASHP Cost</t>
  </si>
  <si>
    <t>Total GSHP Cost</t>
  </si>
  <si>
    <t>Savings in capital using ASHP</t>
  </si>
  <si>
    <t>Savings per year using GSHP</t>
  </si>
  <si>
    <t>Years to pay back GSHP investment</t>
  </si>
  <si>
    <t>WORTH INSTALLING GSHP OVER ASHP?</t>
  </si>
  <si>
    <t>LOOKS LIKE THE WINNER IS ASHP IN UPGRADED HOMES</t>
  </si>
  <si>
    <t>(AS PREDICTED)</t>
  </si>
  <si>
    <t>Solution Costs</t>
  </si>
  <si>
    <t>Network</t>
  </si>
  <si>
    <t>for every 25% increase</t>
  </si>
  <si>
    <t>kW</t>
  </si>
  <si>
    <t>New</t>
  </si>
  <si>
    <t>Old</t>
  </si>
  <si>
    <t>25% of old</t>
  </si>
  <si>
    <t>Increase</t>
  </si>
  <si>
    <t>One is free</t>
  </si>
  <si>
    <t>TOTAL</t>
  </si>
  <si>
    <t>ACTUAL CAPITAL COST FOR THE 'WINNER' WILL BE DIFFERENT</t>
  </si>
  <si>
    <t>Need to take account of batteries and converter that were there before</t>
  </si>
  <si>
    <t>One battery costs:</t>
  </si>
  <si>
    <t>Soln has 396 so need:</t>
  </si>
  <si>
    <t>extra batteries</t>
  </si>
  <si>
    <t>Total cost then of:</t>
  </si>
  <si>
    <t>Cost per batt in HOMER:</t>
  </si>
  <si>
    <t>One converter costs:</t>
  </si>
  <si>
    <t>Soln has 130kW:</t>
  </si>
  <si>
    <t>kW is needed</t>
  </si>
  <si>
    <t>Total cost of them:</t>
  </si>
  <si>
    <t>Cost per kW in HOMER:</t>
  </si>
  <si>
    <t>These were put into HOMER and along with the WTs gives:</t>
  </si>
  <si>
    <t>REPLACEMENTS STAY AS THEY ARE</t>
  </si>
  <si>
    <t>Which is the same as 3WTs + Batt + Conv so makes sense</t>
  </si>
  <si>
    <t>Increased Tech</t>
  </si>
  <si>
    <t>O+M over 25 years</t>
  </si>
  <si>
    <t>O+M per year</t>
  </si>
  <si>
    <t>NPC (£)</t>
  </si>
  <si>
    <t>46 batt</t>
  </si>
  <si>
    <t>150kW</t>
  </si>
  <si>
    <t>22 batt</t>
  </si>
  <si>
    <t>70 batt</t>
  </si>
  <si>
    <t>180kW</t>
  </si>
  <si>
    <t>28 batt</t>
  </si>
  <si>
    <t>110kW</t>
  </si>
  <si>
    <t>Upgraded is less so worthwhile!</t>
  </si>
  <si>
    <t>N/A</t>
  </si>
  <si>
    <t>Maybe not worth upgrading if using GSHP</t>
  </si>
  <si>
    <t>(No point including housing cost in comparison)</t>
  </si>
  <si>
    <t>Probably not worth installing GSHP over ASHP</t>
  </si>
  <si>
    <t>Soln has 552 so need:</t>
  </si>
  <si>
    <t>Soln has 150kW:</t>
  </si>
  <si>
    <t>per 25% increase</t>
  </si>
  <si>
    <t>Generation</t>
  </si>
  <si>
    <t>Cost</t>
  </si>
  <si>
    <t>Converters</t>
  </si>
  <si>
    <t xml:space="preserve">Cost </t>
  </si>
  <si>
    <t>Biomass too</t>
  </si>
  <si>
    <t>OM over 25 years</t>
  </si>
  <si>
    <t>per year on average</t>
  </si>
  <si>
    <t>Total OM</t>
  </si>
  <si>
    <t>OM 100% elec</t>
  </si>
  <si>
    <t>OM Savings</t>
  </si>
  <si>
    <t>Extra total</t>
  </si>
  <si>
    <t>Payback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</si>
</sst>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8" fontId="0" fillId="0" borderId="0" xfId="0" applyNumberFormat="1"/>
    <xf numFmtId="8" fontId="0" fillId="2" borderId="0" xfId="0" applyNumberFormat="1" applyFill="1"/>
    <xf numFmtId="0" fontId="0" fillId="0" borderId="0" xfId="0" applyFill="1"/>
    <xf numFmtId="0" fontId="0" fillId="5" borderId="0" xfId="0" applyFill="1"/>
    <xf numFmtId="6" fontId="0" fillId="0" borderId="0" xfId="0" applyNumberFormat="1"/>
    <xf numFmtId="6" fontId="0" fillId="4" borderId="0" xfId="0" applyNumberFormat="1" applyFill="1"/>
    <xf numFmtId="0" fontId="0" fillId="4" borderId="0" xfId="0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6" borderId="0" xfId="0" applyFill="1"/>
    <xf numFmtId="6" fontId="0" fillId="7" borderId="0" xfId="0" applyNumberFormat="1" applyFill="1"/>
    <xf numFmtId="0" fontId="1" fillId="7" borderId="0" xfId="0" applyFont="1" applyFill="1"/>
    <xf numFmtId="0" fontId="0" fillId="7" borderId="0" xfId="0" applyFill="1"/>
    <xf numFmtId="6" fontId="0" fillId="0" borderId="0" xfId="0" applyNumberFormat="1" applyFill="1"/>
    <xf numFmtId="2" fontId="0" fillId="0" borderId="0" xfId="0" applyNumberFormat="1"/>
    <xf numFmtId="0" fontId="0" fillId="0" borderId="3" xfId="0" applyBorder="1"/>
    <xf numFmtId="0" fontId="0" fillId="0" borderId="0" xfId="0" applyBorder="1"/>
    <xf numFmtId="6" fontId="0" fillId="0" borderId="0" xfId="0" applyNumberFormat="1" applyBorder="1"/>
    <xf numFmtId="0" fontId="2" fillId="0" borderId="0" xfId="1"/>
    <xf numFmtId="0" fontId="0" fillId="0" borderId="0" xfId="0" applyFont="1"/>
    <xf numFmtId="3" fontId="0" fillId="0" borderId="0" xfId="0" applyNumberFormat="1"/>
    <xf numFmtId="0" fontId="0" fillId="0" borderId="0" xfId="0" applyFill="1" applyBorder="1"/>
    <xf numFmtId="0" fontId="1" fillId="0" borderId="0" xfId="0" applyFont="1" applyFill="1" applyBorder="1"/>
    <xf numFmtId="164" fontId="0" fillId="0" borderId="0" xfId="0" applyNumberFormat="1"/>
    <xf numFmtId="2" fontId="0" fillId="7" borderId="0" xfId="0" applyNumberFormat="1" applyFill="1"/>
    <xf numFmtId="0" fontId="0" fillId="3" borderId="0" xfId="0" applyNumberFormat="1" applyFill="1"/>
    <xf numFmtId="0" fontId="0" fillId="8" borderId="0" xfId="0" applyFill="1"/>
    <xf numFmtId="0" fontId="1" fillId="8" borderId="0" xfId="0" applyFont="1" applyFill="1"/>
    <xf numFmtId="6" fontId="0" fillId="2" borderId="0" xfId="0" applyNumberFormat="1" applyFill="1"/>
    <xf numFmtId="0" fontId="0" fillId="0" borderId="5" xfId="0" applyBorder="1"/>
    <xf numFmtId="0" fontId="0" fillId="6" borderId="5" xfId="0" applyNumberFormat="1" applyFill="1" applyBorder="1"/>
    <xf numFmtId="0" fontId="1" fillId="0" borderId="5" xfId="0" applyFont="1" applyBorder="1"/>
    <xf numFmtId="0" fontId="0" fillId="0" borderId="4" xfId="0" applyBorder="1"/>
    <xf numFmtId="8" fontId="0" fillId="7" borderId="0" xfId="0" applyNumberFormat="1" applyFill="1"/>
    <xf numFmtId="0" fontId="1" fillId="0" borderId="2" xfId="0" applyFont="1" applyBorder="1"/>
    <xf numFmtId="0" fontId="1" fillId="0" borderId="0" xfId="0" applyFont="1" applyFill="1"/>
    <xf numFmtId="164" fontId="0" fillId="7" borderId="0" xfId="0" applyNumberFormat="1" applyFill="1"/>
    <xf numFmtId="164" fontId="0" fillId="5" borderId="0" xfId="0" applyNumberFormat="1" applyFill="1"/>
    <xf numFmtId="0" fontId="0" fillId="0" borderId="2" xfId="0" applyFill="1" applyBorder="1"/>
    <xf numFmtId="6" fontId="0" fillId="3" borderId="0" xfId="0" applyNumberFormat="1" applyFill="1"/>
    <xf numFmtId="8" fontId="0" fillId="0" borderId="0" xfId="0" applyNumberFormat="1" applyFill="1"/>
    <xf numFmtId="8" fontId="0" fillId="0" borderId="0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J12" sqref="J12"/>
    </sheetView>
  </sheetViews>
  <sheetFormatPr defaultRowHeight="14.4" x14ac:dyDescent="0.3"/>
  <cols>
    <col min="3" max="3" width="12.44140625" bestFit="1" customWidth="1"/>
    <col min="5" max="5" width="9.88671875" customWidth="1"/>
    <col min="7" max="8" width="11" bestFit="1" customWidth="1"/>
    <col min="17" max="17" width="11" bestFit="1" customWidth="1"/>
    <col min="20" max="20" width="11.77734375" customWidth="1"/>
  </cols>
  <sheetData>
    <row r="1" spans="1:19" x14ac:dyDescent="0.3">
      <c r="A1" s="13" t="s">
        <v>10</v>
      </c>
      <c r="B1" s="14"/>
      <c r="D1" s="8" t="s">
        <v>75</v>
      </c>
      <c r="E1" s="8" t="s">
        <v>21</v>
      </c>
      <c r="F1" t="s">
        <v>11</v>
      </c>
      <c r="L1" s="9"/>
    </row>
    <row r="2" spans="1:19" x14ac:dyDescent="0.3">
      <c r="A2" s="8" t="s">
        <v>6</v>
      </c>
      <c r="D2" s="22">
        <v>736255</v>
      </c>
      <c r="E2" s="16">
        <v>575559</v>
      </c>
      <c r="F2" s="22">
        <v>652039</v>
      </c>
      <c r="L2" s="9"/>
    </row>
    <row r="3" spans="1:19" x14ac:dyDescent="0.3">
      <c r="A3" s="21" t="s">
        <v>12</v>
      </c>
      <c r="B3" t="s">
        <v>33</v>
      </c>
      <c r="C3" t="s">
        <v>34</v>
      </c>
      <c r="E3" s="16"/>
      <c r="L3" s="9"/>
    </row>
    <row r="4" spans="1:19" x14ac:dyDescent="0.3">
      <c r="A4" s="8" t="s">
        <v>7</v>
      </c>
      <c r="D4" s="22">
        <v>568720</v>
      </c>
      <c r="E4" s="16">
        <v>438141</v>
      </c>
      <c r="F4" s="22">
        <v>760460</v>
      </c>
      <c r="L4" s="9"/>
    </row>
    <row r="5" spans="1:19" x14ac:dyDescent="0.3">
      <c r="A5" s="21" t="s">
        <v>12</v>
      </c>
      <c r="B5" t="s">
        <v>17</v>
      </c>
      <c r="C5" t="s">
        <v>18</v>
      </c>
      <c r="E5" s="16"/>
      <c r="L5" s="9"/>
    </row>
    <row r="6" spans="1:19" x14ac:dyDescent="0.3">
      <c r="A6" s="8" t="s">
        <v>8</v>
      </c>
      <c r="D6" s="22">
        <v>936762</v>
      </c>
      <c r="E6" s="16">
        <v>741942</v>
      </c>
      <c r="F6" s="22">
        <v>542964</v>
      </c>
      <c r="L6" s="9"/>
    </row>
    <row r="7" spans="1:19" x14ac:dyDescent="0.3">
      <c r="A7" s="21" t="s">
        <v>12</v>
      </c>
      <c r="B7" t="s">
        <v>15</v>
      </c>
      <c r="C7" t="s">
        <v>16</v>
      </c>
      <c r="E7" s="16"/>
      <c r="L7" s="9"/>
    </row>
    <row r="8" spans="1:19" x14ac:dyDescent="0.3">
      <c r="A8" s="8" t="s">
        <v>9</v>
      </c>
      <c r="D8" s="22">
        <v>637393</v>
      </c>
      <c r="E8" s="16">
        <v>496030</v>
      </c>
      <c r="F8" s="22">
        <v>694924</v>
      </c>
      <c r="L8" s="9"/>
    </row>
    <row r="9" spans="1:19" x14ac:dyDescent="0.3">
      <c r="A9" s="21" t="s">
        <v>12</v>
      </c>
      <c r="B9" t="s">
        <v>13</v>
      </c>
      <c r="C9" t="s">
        <v>14</v>
      </c>
      <c r="L9" s="9"/>
    </row>
    <row r="10" spans="1:19" x14ac:dyDescent="0.3">
      <c r="L10" s="9"/>
    </row>
    <row r="11" spans="1:19" x14ac:dyDescent="0.3">
      <c r="A11" t="s">
        <v>19</v>
      </c>
      <c r="L11" s="9"/>
    </row>
    <row r="12" spans="1:19" x14ac:dyDescent="0.3">
      <c r="A12" s="17" t="s">
        <v>20</v>
      </c>
      <c r="B12" s="19">
        <v>201252</v>
      </c>
      <c r="D12" t="s">
        <v>26</v>
      </c>
      <c r="E12" s="19">
        <v>182000</v>
      </c>
      <c r="G12" t="s">
        <v>27</v>
      </c>
      <c r="H12" s="5">
        <v>1040000</v>
      </c>
      <c r="I12" t="s">
        <v>28</v>
      </c>
      <c r="L12" s="9"/>
    </row>
    <row r="13" spans="1:19" x14ac:dyDescent="0.3">
      <c r="A13" s="24" t="s">
        <v>22</v>
      </c>
      <c r="L13" s="9"/>
    </row>
    <row r="14" spans="1:19" x14ac:dyDescent="0.3">
      <c r="A14" s="23" t="s">
        <v>24</v>
      </c>
      <c r="C14" s="5">
        <f>E2+B12</f>
        <v>776811</v>
      </c>
      <c r="E14" t="s">
        <v>29</v>
      </c>
      <c r="G14" s="22">
        <f>(D6-D2)/25</f>
        <v>8020.28</v>
      </c>
      <c r="H14" t="s">
        <v>32</v>
      </c>
      <c r="L14" s="9"/>
      <c r="M14" s="28"/>
      <c r="N14" s="28"/>
      <c r="O14" s="28"/>
      <c r="P14" s="28"/>
      <c r="Q14" s="28"/>
      <c r="R14" s="28"/>
      <c r="S14" s="28"/>
    </row>
    <row r="15" spans="1:19" x14ac:dyDescent="0.3">
      <c r="A15" s="23" t="s">
        <v>25</v>
      </c>
      <c r="C15" s="25">
        <f>E6</f>
        <v>741942</v>
      </c>
      <c r="E15" t="s">
        <v>30</v>
      </c>
      <c r="G15" s="1">
        <f>C14-C15</f>
        <v>34869</v>
      </c>
      <c r="L15" s="9"/>
      <c r="M15" s="28"/>
      <c r="N15" s="29" t="s">
        <v>45</v>
      </c>
      <c r="O15" s="28"/>
      <c r="P15" s="28"/>
      <c r="Q15" s="28"/>
      <c r="R15" s="28"/>
      <c r="S15" s="28"/>
    </row>
    <row r="16" spans="1:19" x14ac:dyDescent="0.3">
      <c r="E16" t="s">
        <v>31</v>
      </c>
      <c r="G16" s="26">
        <f>G15/G14</f>
        <v>4.3476038243053861</v>
      </c>
      <c r="H16" t="s">
        <v>35</v>
      </c>
      <c r="L16" s="9"/>
      <c r="M16" s="28"/>
      <c r="N16" s="29" t="s">
        <v>46</v>
      </c>
      <c r="O16" s="28"/>
      <c r="P16" s="28"/>
      <c r="Q16" s="28"/>
      <c r="R16" s="28"/>
      <c r="S16" s="28"/>
    </row>
    <row r="17" spans="1:19" x14ac:dyDescent="0.3">
      <c r="A17" s="8" t="s">
        <v>23</v>
      </c>
      <c r="L17" s="9"/>
      <c r="M17" s="28"/>
      <c r="N17" s="28"/>
      <c r="O17" s="28"/>
      <c r="P17" s="28"/>
      <c r="Q17" s="28"/>
      <c r="R17" s="28"/>
      <c r="S17" s="28"/>
    </row>
    <row r="18" spans="1:19" x14ac:dyDescent="0.3">
      <c r="A18" t="s">
        <v>24</v>
      </c>
      <c r="C18" s="1">
        <f>B12+E4</f>
        <v>639393</v>
      </c>
      <c r="E18" t="s">
        <v>29</v>
      </c>
      <c r="G18">
        <f>(D8-D4)/25</f>
        <v>2746.92</v>
      </c>
      <c r="L18" s="9"/>
      <c r="M18" s="28"/>
      <c r="N18" s="28"/>
      <c r="O18" s="28"/>
      <c r="P18" s="28"/>
      <c r="Q18" s="28"/>
      <c r="R18" s="28"/>
      <c r="S18" s="28"/>
    </row>
    <row r="19" spans="1:19" x14ac:dyDescent="0.3">
      <c r="A19" t="s">
        <v>25</v>
      </c>
      <c r="C19" s="25">
        <f>E8</f>
        <v>496030</v>
      </c>
      <c r="E19" t="s">
        <v>30</v>
      </c>
      <c r="G19" s="1">
        <f>C18-C19</f>
        <v>143363</v>
      </c>
      <c r="L19" s="9"/>
      <c r="O19" s="8"/>
    </row>
    <row r="20" spans="1:19" x14ac:dyDescent="0.3">
      <c r="E20" t="s">
        <v>31</v>
      </c>
      <c r="G20" s="27">
        <f>G19/G18</f>
        <v>52.19045330770463</v>
      </c>
      <c r="H20" s="8" t="s">
        <v>36</v>
      </c>
      <c r="L20" s="9"/>
      <c r="O20" s="18"/>
      <c r="P20" s="18"/>
      <c r="Q20" s="19"/>
    </row>
    <row r="21" spans="1:19" x14ac:dyDescent="0.3">
      <c r="L21" s="9"/>
      <c r="O21" s="18"/>
      <c r="P21" s="18"/>
      <c r="Q21" s="19"/>
    </row>
    <row r="22" spans="1:19" x14ac:dyDescent="0.3">
      <c r="A22" t="s">
        <v>37</v>
      </c>
      <c r="G22" s="8" t="s">
        <v>86</v>
      </c>
      <c r="L22" s="9"/>
      <c r="O22" s="18"/>
      <c r="P22" s="18"/>
      <c r="Q22" s="19"/>
    </row>
    <row r="23" spans="1:19" x14ac:dyDescent="0.3">
      <c r="A23" t="s">
        <v>39</v>
      </c>
      <c r="C23" s="1">
        <f>E2+E12</f>
        <v>757559</v>
      </c>
      <c r="E23" t="s">
        <v>41</v>
      </c>
      <c r="H23" s="1">
        <f>C24-C23</f>
        <v>720582</v>
      </c>
      <c r="L23" s="9"/>
      <c r="O23" s="18"/>
      <c r="P23" s="18"/>
      <c r="Q23" s="5"/>
    </row>
    <row r="24" spans="1:19" x14ac:dyDescent="0.3">
      <c r="A24" t="s">
        <v>40</v>
      </c>
      <c r="C24" s="1">
        <f>E4+H12</f>
        <v>1478141</v>
      </c>
      <c r="E24" t="s">
        <v>42</v>
      </c>
      <c r="H24">
        <f>(D2-D4)/25</f>
        <v>6701.4</v>
      </c>
      <c r="I24" t="s">
        <v>38</v>
      </c>
      <c r="L24" s="9"/>
      <c r="Q24" s="25"/>
    </row>
    <row r="25" spans="1:19" x14ac:dyDescent="0.3">
      <c r="A25" s="31"/>
      <c r="B25" s="31"/>
      <c r="C25" s="31"/>
      <c r="D25" s="31"/>
      <c r="E25" s="31" t="s">
        <v>43</v>
      </c>
      <c r="F25" s="31"/>
      <c r="G25" s="31"/>
      <c r="H25" s="32">
        <f>H23/H24</f>
        <v>107.5270838929179</v>
      </c>
      <c r="I25" s="33" t="s">
        <v>44</v>
      </c>
      <c r="J25" s="31"/>
      <c r="K25" s="31"/>
      <c r="L25" s="34"/>
      <c r="P25" s="37"/>
      <c r="Q25" s="15"/>
    </row>
    <row r="26" spans="1:19" x14ac:dyDescent="0.3">
      <c r="P26" s="3"/>
      <c r="Q26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D27" sqref="D27"/>
    </sheetView>
  </sheetViews>
  <sheetFormatPr defaultRowHeight="14.4" x14ac:dyDescent="0.3"/>
  <cols>
    <col min="2" max="2" width="9.109375" customWidth="1"/>
    <col min="3" max="3" width="14.33203125" customWidth="1"/>
    <col min="4" max="4" width="28.21875" customWidth="1"/>
    <col min="5" max="5" width="15.44140625" customWidth="1"/>
    <col min="6" max="6" width="16" customWidth="1"/>
    <col min="7" max="7" width="11" bestFit="1" customWidth="1"/>
    <col min="8" max="8" width="9.88671875" bestFit="1" customWidth="1"/>
  </cols>
  <sheetData>
    <row r="1" spans="1:18" x14ac:dyDescent="0.3">
      <c r="A1" s="13"/>
      <c r="B1" s="14"/>
      <c r="D1" s="8" t="s">
        <v>75</v>
      </c>
      <c r="E1" s="8" t="s">
        <v>21</v>
      </c>
      <c r="F1" t="s">
        <v>11</v>
      </c>
    </row>
    <row r="2" spans="1:18" x14ac:dyDescent="0.3">
      <c r="A2" s="8" t="s">
        <v>6</v>
      </c>
      <c r="D2" s="25">
        <v>1011289</v>
      </c>
      <c r="E2" s="25">
        <v>804400</v>
      </c>
      <c r="F2" s="22">
        <v>590522</v>
      </c>
    </row>
    <row r="3" spans="1:18" x14ac:dyDescent="0.3">
      <c r="A3" s="21" t="s">
        <v>12</v>
      </c>
      <c r="B3" t="s">
        <v>76</v>
      </c>
      <c r="C3" t="s">
        <v>77</v>
      </c>
      <c r="D3" s="25"/>
      <c r="E3" s="25"/>
    </row>
    <row r="4" spans="1:18" x14ac:dyDescent="0.3">
      <c r="A4" s="8" t="s">
        <v>7</v>
      </c>
      <c r="D4" s="25">
        <v>678359</v>
      </c>
      <c r="E4" s="25">
        <v>529757</v>
      </c>
      <c r="F4" s="22">
        <v>728902</v>
      </c>
    </row>
    <row r="5" spans="1:18" x14ac:dyDescent="0.3">
      <c r="A5" s="21" t="s">
        <v>12</v>
      </c>
      <c r="B5" t="s">
        <v>78</v>
      </c>
      <c r="C5" t="s">
        <v>18</v>
      </c>
      <c r="D5" s="25"/>
      <c r="E5" s="25"/>
    </row>
    <row r="6" spans="1:18" x14ac:dyDescent="0.3">
      <c r="A6" s="8" t="s">
        <v>8</v>
      </c>
      <c r="D6" s="25">
        <v>1300009</v>
      </c>
      <c r="E6" s="25">
        <v>1049044</v>
      </c>
      <c r="F6" s="22">
        <v>480710</v>
      </c>
    </row>
    <row r="7" spans="1:18" x14ac:dyDescent="0.3">
      <c r="A7" s="21" t="s">
        <v>12</v>
      </c>
      <c r="B7" t="s">
        <v>79</v>
      </c>
      <c r="C7" t="s">
        <v>80</v>
      </c>
      <c r="D7" s="25"/>
      <c r="E7" s="25"/>
    </row>
    <row r="8" spans="1:18" x14ac:dyDescent="0.3">
      <c r="A8" s="8" t="s">
        <v>9</v>
      </c>
      <c r="D8" s="25">
        <v>768960</v>
      </c>
      <c r="E8" s="25">
        <v>603417</v>
      </c>
      <c r="F8" s="22">
        <v>672287</v>
      </c>
      <c r="L8" s="28"/>
      <c r="M8" s="28"/>
      <c r="N8" s="28"/>
      <c r="O8" s="28"/>
      <c r="P8" s="28"/>
      <c r="Q8" s="28"/>
      <c r="R8" s="28"/>
    </row>
    <row r="9" spans="1:18" x14ac:dyDescent="0.3">
      <c r="A9" s="21" t="s">
        <v>12</v>
      </c>
      <c r="B9" t="s">
        <v>81</v>
      </c>
      <c r="C9" t="s">
        <v>82</v>
      </c>
      <c r="L9" s="28"/>
      <c r="M9" s="29" t="s">
        <v>45</v>
      </c>
      <c r="N9" s="28"/>
      <c r="O9" s="28"/>
      <c r="P9" s="28"/>
      <c r="Q9" s="28"/>
      <c r="R9" s="28"/>
    </row>
    <row r="10" spans="1:18" x14ac:dyDescent="0.3">
      <c r="L10" s="28"/>
      <c r="M10" s="29" t="s">
        <v>46</v>
      </c>
      <c r="N10" s="28"/>
      <c r="O10" s="28"/>
      <c r="P10" s="28"/>
      <c r="Q10" s="28"/>
      <c r="R10" s="28"/>
    </row>
    <row r="11" spans="1:18" x14ac:dyDescent="0.3">
      <c r="A11" t="s">
        <v>19</v>
      </c>
      <c r="L11" s="28"/>
      <c r="M11" s="28"/>
      <c r="N11" s="28"/>
      <c r="O11" s="28"/>
      <c r="P11" s="28"/>
      <c r="Q11" s="28"/>
      <c r="R11" s="28"/>
    </row>
    <row r="12" spans="1:18" x14ac:dyDescent="0.3">
      <c r="A12" s="17" t="s">
        <v>20</v>
      </c>
      <c r="B12" s="19">
        <v>201252</v>
      </c>
      <c r="D12" t="s">
        <v>26</v>
      </c>
      <c r="E12" s="19">
        <v>182000</v>
      </c>
      <c r="G12" t="s">
        <v>27</v>
      </c>
      <c r="H12" s="5">
        <v>1040000</v>
      </c>
      <c r="I12" t="s">
        <v>28</v>
      </c>
      <c r="L12" s="28"/>
      <c r="M12" s="28"/>
      <c r="N12" s="28"/>
      <c r="O12" s="28"/>
      <c r="P12" s="28"/>
      <c r="Q12" s="28"/>
      <c r="R12" s="28"/>
    </row>
    <row r="13" spans="1:18" x14ac:dyDescent="0.3">
      <c r="A13" s="24" t="s">
        <v>22</v>
      </c>
    </row>
    <row r="14" spans="1:18" x14ac:dyDescent="0.3">
      <c r="A14" s="23" t="s">
        <v>24</v>
      </c>
      <c r="C14" s="25">
        <f>E2+B12</f>
        <v>1005652</v>
      </c>
      <c r="D14" s="8" t="s">
        <v>83</v>
      </c>
      <c r="E14" t="s">
        <v>29</v>
      </c>
      <c r="F14" s="8" t="s">
        <v>84</v>
      </c>
      <c r="G14" s="8"/>
    </row>
    <row r="15" spans="1:18" x14ac:dyDescent="0.3">
      <c r="A15" s="23" t="s">
        <v>25</v>
      </c>
      <c r="C15" s="25">
        <f>E6</f>
        <v>1049044</v>
      </c>
      <c r="E15" t="s">
        <v>30</v>
      </c>
      <c r="F15" s="8" t="s">
        <v>84</v>
      </c>
      <c r="G15" s="8"/>
    </row>
    <row r="16" spans="1:18" x14ac:dyDescent="0.3">
      <c r="E16" t="s">
        <v>31</v>
      </c>
      <c r="F16" s="8" t="s">
        <v>84</v>
      </c>
      <c r="G16" s="8"/>
    </row>
    <row r="17" spans="1:8" x14ac:dyDescent="0.3">
      <c r="A17" s="8" t="s">
        <v>23</v>
      </c>
    </row>
    <row r="18" spans="1:8" x14ac:dyDescent="0.3">
      <c r="A18" t="s">
        <v>24</v>
      </c>
      <c r="C18" s="25">
        <f>E4+B12</f>
        <v>731009</v>
      </c>
      <c r="E18" t="s">
        <v>29</v>
      </c>
      <c r="F18" s="25">
        <f>(D8-D4)/25</f>
        <v>3624.04</v>
      </c>
    </row>
    <row r="19" spans="1:8" x14ac:dyDescent="0.3">
      <c r="A19" t="s">
        <v>25</v>
      </c>
      <c r="C19" s="25">
        <f>E8</f>
        <v>603417</v>
      </c>
      <c r="E19" t="s">
        <v>30</v>
      </c>
      <c r="F19" s="25">
        <f>C18-C19</f>
        <v>127592</v>
      </c>
    </row>
    <row r="20" spans="1:8" x14ac:dyDescent="0.3">
      <c r="E20" t="s">
        <v>31</v>
      </c>
      <c r="F20" s="4">
        <f>F19/F18</f>
        <v>35.207116919239304</v>
      </c>
      <c r="G20" s="8" t="s">
        <v>85</v>
      </c>
    </row>
    <row r="22" spans="1:8" x14ac:dyDescent="0.3">
      <c r="A22" t="s">
        <v>37</v>
      </c>
      <c r="E22" s="8" t="s">
        <v>86</v>
      </c>
    </row>
    <row r="23" spans="1:8" x14ac:dyDescent="0.3">
      <c r="A23" t="s">
        <v>39</v>
      </c>
      <c r="C23" s="25">
        <f>E2+E12</f>
        <v>986400</v>
      </c>
      <c r="E23" t="s">
        <v>41</v>
      </c>
      <c r="G23" s="25">
        <f>C24-C23</f>
        <v>583357</v>
      </c>
    </row>
    <row r="24" spans="1:8" x14ac:dyDescent="0.3">
      <c r="A24" t="s">
        <v>40</v>
      </c>
      <c r="C24" s="25">
        <f>E4+H12</f>
        <v>1569757</v>
      </c>
      <c r="E24" t="s">
        <v>42</v>
      </c>
      <c r="G24" s="25">
        <f>(D2-D4)/25</f>
        <v>13317.2</v>
      </c>
    </row>
    <row r="25" spans="1:8" x14ac:dyDescent="0.3">
      <c r="E25" s="18" t="s">
        <v>43</v>
      </c>
      <c r="G25" s="11">
        <f>G23/G24</f>
        <v>43.804778782326615</v>
      </c>
      <c r="H25" s="8" t="s">
        <v>87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M17" sqref="M17"/>
    </sheetView>
  </sheetViews>
  <sheetFormatPr defaultRowHeight="14.4" x14ac:dyDescent="0.3"/>
  <cols>
    <col min="2" max="2" width="16.88671875" customWidth="1"/>
    <col min="3" max="3" width="12.44140625" bestFit="1" customWidth="1"/>
    <col min="5" max="5" width="10.88671875" customWidth="1"/>
    <col min="6" max="6" width="11" bestFit="1" customWidth="1"/>
    <col min="7" max="7" width="12.44140625" bestFit="1" customWidth="1"/>
    <col min="10" max="10" width="18.77734375" customWidth="1"/>
    <col min="11" max="11" width="10" bestFit="1" customWidth="1"/>
    <col min="14" max="14" width="23" customWidth="1"/>
  </cols>
  <sheetData>
    <row r="1" spans="1:17" x14ac:dyDescent="0.3">
      <c r="A1" s="8" t="s">
        <v>57</v>
      </c>
    </row>
    <row r="2" spans="1:17" x14ac:dyDescent="0.3">
      <c r="A2" t="s">
        <v>58</v>
      </c>
    </row>
    <row r="3" spans="1:17" x14ac:dyDescent="0.3">
      <c r="A3" s="8" t="s">
        <v>0</v>
      </c>
      <c r="I3" s="8" t="s">
        <v>1</v>
      </c>
    </row>
    <row r="4" spans="1:17" x14ac:dyDescent="0.3">
      <c r="A4" t="s">
        <v>59</v>
      </c>
      <c r="C4" s="1">
        <v>745.29</v>
      </c>
      <c r="D4" t="s">
        <v>2</v>
      </c>
      <c r="I4" t="s">
        <v>64</v>
      </c>
      <c r="K4" s="6">
        <v>1000</v>
      </c>
      <c r="L4" s="7" t="s">
        <v>3</v>
      </c>
      <c r="M4" t="s">
        <v>4</v>
      </c>
      <c r="N4" s="20"/>
    </row>
    <row r="5" spans="1:17" x14ac:dyDescent="0.3">
      <c r="A5" t="s">
        <v>60</v>
      </c>
      <c r="C5">
        <f>396-96</f>
        <v>300</v>
      </c>
      <c r="D5" t="s">
        <v>61</v>
      </c>
      <c r="I5" t="s">
        <v>65</v>
      </c>
      <c r="K5">
        <f>130-60</f>
        <v>70</v>
      </c>
      <c r="L5" t="s">
        <v>66</v>
      </c>
    </row>
    <row r="6" spans="1:17" x14ac:dyDescent="0.3">
      <c r="A6" t="s">
        <v>62</v>
      </c>
      <c r="C6" s="1">
        <f>C5*C4</f>
        <v>223587</v>
      </c>
      <c r="I6" t="s">
        <v>67</v>
      </c>
      <c r="K6" s="5">
        <f>K5*K4</f>
        <v>70000</v>
      </c>
    </row>
    <row r="7" spans="1:17" x14ac:dyDescent="0.3">
      <c r="A7" t="s">
        <v>63</v>
      </c>
      <c r="C7" s="35">
        <f>C6/396</f>
        <v>564.61363636363637</v>
      </c>
      <c r="I7" t="s">
        <v>68</v>
      </c>
      <c r="K7" s="35">
        <f>K6/130</f>
        <v>538.46153846153845</v>
      </c>
      <c r="N7" s="8" t="s">
        <v>70</v>
      </c>
    </row>
    <row r="9" spans="1:17" x14ac:dyDescent="0.3">
      <c r="D9" s="8" t="s">
        <v>69</v>
      </c>
      <c r="J9" s="12">
        <v>536585</v>
      </c>
      <c r="K9" t="s">
        <v>71</v>
      </c>
    </row>
    <row r="12" spans="1:17" x14ac:dyDescent="0.3">
      <c r="A12" s="8" t="s">
        <v>47</v>
      </c>
      <c r="J12" s="24"/>
      <c r="K12" s="3"/>
      <c r="L12" s="3"/>
      <c r="M12" s="3"/>
      <c r="N12" s="3"/>
      <c r="O12" s="3"/>
      <c r="P12" s="3"/>
      <c r="Q12" s="3"/>
    </row>
    <row r="13" spans="1:17" x14ac:dyDescent="0.3">
      <c r="A13" s="18"/>
      <c r="B13" s="10" t="s">
        <v>5</v>
      </c>
      <c r="C13" s="19">
        <v>44200</v>
      </c>
      <c r="E13" s="8" t="s">
        <v>48</v>
      </c>
      <c r="F13" s="25">
        <v>100000</v>
      </c>
      <c r="G13" t="s">
        <v>49</v>
      </c>
      <c r="J13" s="23"/>
      <c r="K13" s="3"/>
      <c r="L13" s="3"/>
      <c r="M13" s="3"/>
      <c r="N13" s="3"/>
      <c r="O13" s="3"/>
      <c r="P13" s="3"/>
      <c r="Q13" s="3"/>
    </row>
    <row r="14" spans="1:17" x14ac:dyDescent="0.3">
      <c r="A14" s="18"/>
      <c r="B14" s="10" t="s">
        <v>20</v>
      </c>
      <c r="C14" s="19">
        <v>201252</v>
      </c>
      <c r="E14" s="8" t="s">
        <v>91</v>
      </c>
      <c r="F14" t="s">
        <v>52</v>
      </c>
      <c r="G14">
        <v>196.4</v>
      </c>
      <c r="H14" t="s">
        <v>50</v>
      </c>
      <c r="J14" s="23"/>
      <c r="K14" s="3"/>
      <c r="L14" s="3"/>
      <c r="M14" s="3"/>
      <c r="N14" s="3"/>
      <c r="O14" s="3"/>
      <c r="P14" s="3"/>
      <c r="Q14" s="3"/>
    </row>
    <row r="15" spans="1:17" x14ac:dyDescent="0.3">
      <c r="B15" s="10" t="s">
        <v>26</v>
      </c>
      <c r="C15" s="19">
        <v>182000</v>
      </c>
      <c r="F15" t="s">
        <v>51</v>
      </c>
      <c r="G15">
        <v>373.4</v>
      </c>
      <c r="H15" t="s">
        <v>50</v>
      </c>
      <c r="J15" s="23"/>
      <c r="K15" s="3"/>
      <c r="L15" s="3"/>
      <c r="M15" s="3"/>
      <c r="N15" s="3"/>
      <c r="O15" s="3"/>
      <c r="P15" s="3"/>
      <c r="Q15" s="3"/>
    </row>
    <row r="16" spans="1:17" x14ac:dyDescent="0.3">
      <c r="B16" s="10" t="s">
        <v>72</v>
      </c>
      <c r="C16" s="5">
        <f>J9</f>
        <v>536585</v>
      </c>
      <c r="J16" s="23"/>
      <c r="K16" s="42"/>
      <c r="L16" s="3"/>
      <c r="M16" s="3"/>
      <c r="N16" s="3"/>
      <c r="O16" s="42"/>
      <c r="P16" s="3"/>
      <c r="Q16" s="3"/>
    </row>
    <row r="17" spans="2:19" x14ac:dyDescent="0.3">
      <c r="B17" s="10" t="s">
        <v>48</v>
      </c>
      <c r="C17" s="25">
        <f>G20+G26+G32</f>
        <v>1777155.4650373387</v>
      </c>
      <c r="F17" t="s">
        <v>53</v>
      </c>
      <c r="G17">
        <f>0.25*G14</f>
        <v>49.1</v>
      </c>
      <c r="J17" s="23"/>
      <c r="K17" s="42"/>
      <c r="L17" s="3"/>
      <c r="M17" s="3"/>
      <c r="N17" s="3"/>
      <c r="O17" s="42"/>
      <c r="P17" s="3"/>
      <c r="Q17" s="3"/>
      <c r="R17" s="42"/>
      <c r="S17" s="3"/>
    </row>
    <row r="18" spans="2:19" x14ac:dyDescent="0.3">
      <c r="B18" s="36" t="s">
        <v>56</v>
      </c>
      <c r="C18" s="30">
        <f>SUM(C13:C17)</f>
        <v>2741192.4650373384</v>
      </c>
      <c r="F18" t="s">
        <v>54</v>
      </c>
      <c r="G18">
        <f>(G15-G14)/G17</f>
        <v>3.6048879837067203</v>
      </c>
      <c r="J18" s="23"/>
      <c r="K18" s="3"/>
      <c r="L18" s="3"/>
      <c r="M18" s="3"/>
      <c r="N18" s="3"/>
      <c r="O18" s="3"/>
      <c r="P18" s="3"/>
      <c r="Q18" s="3"/>
    </row>
    <row r="19" spans="2:19" x14ac:dyDescent="0.3">
      <c r="B19" s="40" t="s">
        <v>95</v>
      </c>
      <c r="C19" s="41">
        <f>C18+122000</f>
        <v>2863192.4650373384</v>
      </c>
      <c r="F19" t="s">
        <v>55</v>
      </c>
      <c r="G19">
        <f>G18-1</f>
        <v>2.6048879837067203</v>
      </c>
      <c r="J19" s="24"/>
      <c r="K19" s="42"/>
      <c r="L19" s="3"/>
      <c r="M19" s="3"/>
      <c r="N19" s="3"/>
      <c r="O19" s="3"/>
      <c r="P19" s="3"/>
      <c r="Q19" s="3"/>
    </row>
    <row r="20" spans="2:19" x14ac:dyDescent="0.3">
      <c r="F20" t="s">
        <v>94</v>
      </c>
      <c r="G20" s="39">
        <f>G19*F13</f>
        <v>260488.79837067201</v>
      </c>
      <c r="J20" s="3"/>
      <c r="K20" s="3"/>
      <c r="L20" s="3"/>
      <c r="M20" s="3"/>
      <c r="N20" s="3"/>
      <c r="O20" s="3"/>
      <c r="P20" s="3"/>
      <c r="Q20" s="3"/>
    </row>
    <row r="21" spans="2:19" x14ac:dyDescent="0.3">
      <c r="B21" s="8" t="s">
        <v>73</v>
      </c>
      <c r="C21" s="5">
        <v>117989</v>
      </c>
      <c r="E21" s="8" t="s">
        <v>0</v>
      </c>
      <c r="F21" t="s">
        <v>52</v>
      </c>
      <c r="G21">
        <v>96</v>
      </c>
      <c r="J21" s="37"/>
      <c r="K21" s="3"/>
      <c r="L21" s="3"/>
      <c r="M21" s="3"/>
      <c r="N21" s="3"/>
      <c r="O21" s="3"/>
      <c r="P21" s="3"/>
      <c r="Q21" s="3"/>
    </row>
    <row r="22" spans="2:19" x14ac:dyDescent="0.3">
      <c r="B22" t="s">
        <v>74</v>
      </c>
      <c r="C22" s="2">
        <f>C21/25</f>
        <v>4719.5600000000004</v>
      </c>
      <c r="E22" s="8"/>
      <c r="F22" t="s">
        <v>51</v>
      </c>
      <c r="G22" s="21">
        <v>396</v>
      </c>
    </row>
    <row r="23" spans="2:19" x14ac:dyDescent="0.3">
      <c r="F23" t="s">
        <v>53</v>
      </c>
      <c r="G23">
        <f>0.25*G21</f>
        <v>24</v>
      </c>
    </row>
    <row r="24" spans="2:19" x14ac:dyDescent="0.3">
      <c r="B24" s="8" t="s">
        <v>98</v>
      </c>
      <c r="C24" s="1">
        <f>C22+28000</f>
        <v>32719.56</v>
      </c>
      <c r="F24" t="s">
        <v>54</v>
      </c>
      <c r="G24">
        <f>(G22-G21)/G23</f>
        <v>12.5</v>
      </c>
    </row>
    <row r="25" spans="2:19" x14ac:dyDescent="0.3">
      <c r="B25" t="s">
        <v>99</v>
      </c>
      <c r="C25" s="1">
        <v>5629.68</v>
      </c>
      <c r="F25" t="s">
        <v>55</v>
      </c>
      <c r="G25">
        <f>G24-1</f>
        <v>11.5</v>
      </c>
      <c r="K25" s="1"/>
    </row>
    <row r="26" spans="2:19" x14ac:dyDescent="0.3">
      <c r="B26" t="s">
        <v>100</v>
      </c>
      <c r="C26" s="1">
        <f>C24-C25</f>
        <v>27089.88</v>
      </c>
      <c r="F26" t="s">
        <v>94</v>
      </c>
      <c r="G26" s="39">
        <f>G25*F13</f>
        <v>1150000</v>
      </c>
      <c r="K26" s="5"/>
    </row>
    <row r="27" spans="2:19" x14ac:dyDescent="0.3">
      <c r="B27" t="s">
        <v>101</v>
      </c>
      <c r="C27" s="5">
        <f>3660791-'COSTS WITH BIOMASS'!C19</f>
        <v>797598.53496266156</v>
      </c>
      <c r="E27" s="8" t="s">
        <v>93</v>
      </c>
      <c r="F27" t="s">
        <v>52</v>
      </c>
      <c r="G27">
        <v>60</v>
      </c>
      <c r="K27" s="3"/>
    </row>
    <row r="28" spans="2:19" x14ac:dyDescent="0.3">
      <c r="B28" t="s">
        <v>102</v>
      </c>
      <c r="C28">
        <f>C27/C26</f>
        <v>29.44267508614514</v>
      </c>
      <c r="F28" t="s">
        <v>51</v>
      </c>
      <c r="G28">
        <v>130</v>
      </c>
    </row>
    <row r="29" spans="2:19" x14ac:dyDescent="0.3">
      <c r="F29" t="s">
        <v>53</v>
      </c>
      <c r="G29">
        <f>0.25*G27</f>
        <v>15</v>
      </c>
    </row>
    <row r="30" spans="2:19" x14ac:dyDescent="0.3">
      <c r="F30" t="s">
        <v>54</v>
      </c>
      <c r="G30">
        <f>(G28-G27)/G29</f>
        <v>4.666666666666667</v>
      </c>
    </row>
    <row r="31" spans="2:19" x14ac:dyDescent="0.3">
      <c r="F31" t="s">
        <v>55</v>
      </c>
      <c r="G31">
        <f>G30-1</f>
        <v>3.666666666666667</v>
      </c>
    </row>
    <row r="32" spans="2:19" x14ac:dyDescent="0.3">
      <c r="F32" t="s">
        <v>94</v>
      </c>
      <c r="G32" s="39">
        <f>G31*F13</f>
        <v>366666.66666666669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4" workbookViewId="0">
      <selection activeCell="L19" sqref="L19"/>
    </sheetView>
  </sheetViews>
  <sheetFormatPr defaultRowHeight="14.4" x14ac:dyDescent="0.3"/>
  <cols>
    <col min="1" max="1" width="20.88671875" customWidth="1"/>
    <col min="2" max="2" width="12.44140625" bestFit="1" customWidth="1"/>
    <col min="4" max="4" width="10.109375" customWidth="1"/>
    <col min="5" max="5" width="11" bestFit="1" customWidth="1"/>
    <col min="6" max="6" width="12.44140625" bestFit="1" customWidth="1"/>
    <col min="8" max="8" width="20.21875" customWidth="1"/>
    <col min="9" max="9" width="11" bestFit="1" customWidth="1"/>
    <col min="10" max="10" width="13.21875" customWidth="1"/>
  </cols>
  <sheetData>
    <row r="1" spans="1:18" x14ac:dyDescent="0.3">
      <c r="A1" s="8" t="s">
        <v>57</v>
      </c>
    </row>
    <row r="2" spans="1:18" x14ac:dyDescent="0.3">
      <c r="A2" t="s">
        <v>58</v>
      </c>
    </row>
    <row r="3" spans="1:18" x14ac:dyDescent="0.3">
      <c r="A3" s="8" t="s">
        <v>0</v>
      </c>
      <c r="H3" s="8" t="s">
        <v>1</v>
      </c>
    </row>
    <row r="4" spans="1:18" x14ac:dyDescent="0.3">
      <c r="A4" t="s">
        <v>59</v>
      </c>
      <c r="B4" s="1">
        <v>745.29</v>
      </c>
      <c r="C4" t="s">
        <v>2</v>
      </c>
      <c r="H4" t="s">
        <v>64</v>
      </c>
      <c r="I4" s="5">
        <v>1000</v>
      </c>
      <c r="J4" t="s">
        <v>4</v>
      </c>
      <c r="K4" s="7" t="s">
        <v>3</v>
      </c>
    </row>
    <row r="5" spans="1:18" x14ac:dyDescent="0.3">
      <c r="A5" t="s">
        <v>88</v>
      </c>
      <c r="B5">
        <f>552-96</f>
        <v>456</v>
      </c>
      <c r="H5" t="s">
        <v>89</v>
      </c>
      <c r="I5" s="16">
        <f>150-60</f>
        <v>90</v>
      </c>
    </row>
    <row r="6" spans="1:18" x14ac:dyDescent="0.3">
      <c r="A6" t="s">
        <v>62</v>
      </c>
      <c r="B6" s="1">
        <f>456*B4</f>
        <v>339852.24</v>
      </c>
      <c r="H6" t="s">
        <v>67</v>
      </c>
      <c r="I6" s="1">
        <f>I5*I4</f>
        <v>90000</v>
      </c>
    </row>
    <row r="7" spans="1:18" x14ac:dyDescent="0.3">
      <c r="A7" t="s">
        <v>63</v>
      </c>
      <c r="B7" s="35">
        <f>B6/552</f>
        <v>615.67434782608689</v>
      </c>
      <c r="H7" t="s">
        <v>68</v>
      </c>
      <c r="I7" s="35">
        <f>I6/150</f>
        <v>600</v>
      </c>
    </row>
    <row r="9" spans="1:18" x14ac:dyDescent="0.3">
      <c r="D9" s="8" t="s">
        <v>69</v>
      </c>
      <c r="I9" s="38">
        <v>672850</v>
      </c>
      <c r="J9" t="s">
        <v>71</v>
      </c>
    </row>
    <row r="11" spans="1:18" x14ac:dyDescent="0.3">
      <c r="A11" s="8" t="s">
        <v>47</v>
      </c>
    </row>
    <row r="12" spans="1:18" x14ac:dyDescent="0.3">
      <c r="A12" s="10" t="s">
        <v>5</v>
      </c>
      <c r="B12" s="19">
        <v>44200</v>
      </c>
      <c r="D12" s="8" t="s">
        <v>48</v>
      </c>
      <c r="E12" s="25">
        <v>100000</v>
      </c>
      <c r="F12" t="s">
        <v>90</v>
      </c>
      <c r="I12" s="24"/>
      <c r="J12" s="23"/>
      <c r="K12" s="23"/>
      <c r="L12" s="23"/>
      <c r="M12" s="23"/>
      <c r="N12" s="23"/>
      <c r="O12" s="23"/>
      <c r="P12" s="23"/>
      <c r="Q12" s="23"/>
      <c r="R12" s="23"/>
    </row>
    <row r="13" spans="1:18" x14ac:dyDescent="0.3">
      <c r="A13" s="10" t="s">
        <v>20</v>
      </c>
      <c r="B13" s="19">
        <v>201252</v>
      </c>
      <c r="D13" s="8" t="s">
        <v>91</v>
      </c>
      <c r="E13" t="s">
        <v>52</v>
      </c>
      <c r="F13">
        <v>196.4</v>
      </c>
      <c r="G13" t="s">
        <v>50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x14ac:dyDescent="0.3">
      <c r="A14" s="10" t="s">
        <v>26</v>
      </c>
      <c r="B14" s="19">
        <v>182000</v>
      </c>
      <c r="E14" t="s">
        <v>51</v>
      </c>
      <c r="F14">
        <v>373.4</v>
      </c>
      <c r="G14" t="s">
        <v>50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8" x14ac:dyDescent="0.3">
      <c r="A15" s="10" t="s">
        <v>72</v>
      </c>
      <c r="B15" s="25">
        <f>I9</f>
        <v>672850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 x14ac:dyDescent="0.3">
      <c r="A16" s="10" t="s">
        <v>48</v>
      </c>
      <c r="B16" s="25">
        <f>F19+F25+F31</f>
        <v>2560488.7983706719</v>
      </c>
      <c r="E16" t="s">
        <v>53</v>
      </c>
      <c r="F16">
        <f>0.25*F13</f>
        <v>49.1</v>
      </c>
      <c r="I16" s="23"/>
      <c r="J16" s="43"/>
      <c r="K16" s="23"/>
      <c r="L16" s="23"/>
      <c r="M16" s="23"/>
      <c r="N16" s="43"/>
      <c r="O16" s="23"/>
      <c r="P16" s="23"/>
      <c r="Q16" s="23"/>
      <c r="R16" s="23"/>
    </row>
    <row r="17" spans="1:18" x14ac:dyDescent="0.3">
      <c r="A17" s="36" t="s">
        <v>56</v>
      </c>
      <c r="B17" s="30">
        <f>SUM(B12:B16)</f>
        <v>3660790.7983706719</v>
      </c>
      <c r="E17" t="s">
        <v>54</v>
      </c>
      <c r="F17">
        <f>(F14-F13)/F16</f>
        <v>3.6048879837067203</v>
      </c>
      <c r="I17" s="23"/>
      <c r="J17" s="43"/>
      <c r="K17" s="23"/>
      <c r="L17" s="23"/>
      <c r="M17" s="23"/>
      <c r="N17" s="43"/>
      <c r="O17" s="23"/>
      <c r="P17" s="23"/>
      <c r="Q17" s="43"/>
      <c r="R17" s="23"/>
    </row>
    <row r="18" spans="1:18" x14ac:dyDescent="0.3">
      <c r="E18" t="s">
        <v>55</v>
      </c>
      <c r="F18">
        <f>F17-1</f>
        <v>2.6048879837067203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18" x14ac:dyDescent="0.3">
      <c r="A19" s="8" t="s">
        <v>96</v>
      </c>
      <c r="B19" s="5">
        <v>140742</v>
      </c>
      <c r="D19" s="8"/>
      <c r="E19" t="s">
        <v>92</v>
      </c>
      <c r="F19" s="39">
        <f>F18*E12</f>
        <v>260488.79837067201</v>
      </c>
      <c r="I19" s="24"/>
      <c r="J19" s="43"/>
      <c r="K19" s="23"/>
      <c r="L19" s="23"/>
      <c r="M19" s="23"/>
      <c r="N19" s="23"/>
      <c r="O19" s="23"/>
      <c r="P19" s="23"/>
      <c r="Q19" s="23"/>
      <c r="R19" s="23"/>
    </row>
    <row r="20" spans="1:18" x14ac:dyDescent="0.3">
      <c r="A20" s="8" t="s">
        <v>97</v>
      </c>
      <c r="B20" s="1">
        <f>B19/25</f>
        <v>5629.68</v>
      </c>
      <c r="C20" s="8"/>
      <c r="D20" s="8" t="s">
        <v>0</v>
      </c>
      <c r="E20" t="s">
        <v>52</v>
      </c>
      <c r="F20">
        <v>96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18" x14ac:dyDescent="0.3">
      <c r="B21" s="5"/>
      <c r="E21" t="s">
        <v>51</v>
      </c>
      <c r="F21">
        <v>552</v>
      </c>
    </row>
    <row r="22" spans="1:18" x14ac:dyDescent="0.3">
      <c r="B22" s="5"/>
      <c r="E22" t="s">
        <v>53</v>
      </c>
      <c r="F22">
        <f>0.25*96</f>
        <v>24</v>
      </c>
    </row>
    <row r="23" spans="1:18" x14ac:dyDescent="0.3">
      <c r="E23" t="s">
        <v>54</v>
      </c>
      <c r="F23">
        <f>(F21-F20)/F22</f>
        <v>19</v>
      </c>
    </row>
    <row r="24" spans="1:18" x14ac:dyDescent="0.3">
      <c r="E24" t="s">
        <v>55</v>
      </c>
      <c r="F24">
        <f>F23-1</f>
        <v>18</v>
      </c>
    </row>
    <row r="25" spans="1:18" x14ac:dyDescent="0.3">
      <c r="E25" t="s">
        <v>92</v>
      </c>
      <c r="F25" s="39">
        <f>F24*E12</f>
        <v>1800000</v>
      </c>
    </row>
    <row r="26" spans="1:18" x14ac:dyDescent="0.3">
      <c r="D26" s="8" t="s">
        <v>93</v>
      </c>
      <c r="E26" t="s">
        <v>52</v>
      </c>
      <c r="F26">
        <v>60</v>
      </c>
    </row>
    <row r="27" spans="1:18" x14ac:dyDescent="0.3">
      <c r="E27" t="s">
        <v>51</v>
      </c>
      <c r="F27">
        <v>150</v>
      </c>
    </row>
    <row r="28" spans="1:18" x14ac:dyDescent="0.3">
      <c r="E28" t="s">
        <v>53</v>
      </c>
      <c r="F28">
        <f>0.25*F26</f>
        <v>15</v>
      </c>
    </row>
    <row r="29" spans="1:18" x14ac:dyDescent="0.3">
      <c r="E29" t="s">
        <v>54</v>
      </c>
      <c r="F29">
        <f>(F27-F26)/F28</f>
        <v>6</v>
      </c>
    </row>
    <row r="30" spans="1:18" x14ac:dyDescent="0.3">
      <c r="E30" t="s">
        <v>55</v>
      </c>
      <c r="F30">
        <f>F29-1</f>
        <v>5</v>
      </c>
    </row>
    <row r="31" spans="1:18" x14ac:dyDescent="0.3">
      <c r="E31" t="s">
        <v>92</v>
      </c>
      <c r="F31" s="39">
        <f>F30*E12</f>
        <v>500000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COMPARISON WITH BIOMASS</vt:lpstr>
      <vt:lpstr>COMPARISON WITHOUT BIOMASS</vt:lpstr>
      <vt:lpstr>COSTS WITH BIOMASS</vt:lpstr>
      <vt:lpstr>COSTS WITHOUT BIOMASS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Byres</dc:creator>
  <cp:lastModifiedBy>Jack Byres</cp:lastModifiedBy>
  <dcterms:created xsi:type="dcterms:W3CDTF">2016-03-16T16:40:02Z</dcterms:created>
  <dcterms:modified xsi:type="dcterms:W3CDTF">2016-05-01T13:14:50Z</dcterms:modified>
</cp:coreProperties>
</file>