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bookViews>
    <workbookView xWindow="960" yWindow="0" windowWidth="19440" windowHeight="13740"/>
  </bookViews>
  <sheets>
    <sheet name="Raw Data" sheetId="2" r:id="rId1"/>
  </sheets>
  <calcPr calcId="162912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" i="2" l="1"/>
  <c r="X12" i="2"/>
  <c r="V23" i="2"/>
  <c r="Z13" i="2"/>
  <c r="BW12" i="2"/>
  <c r="Z34" i="2"/>
  <c r="BW33" i="2"/>
  <c r="U67" i="2"/>
  <c r="Z78" i="2"/>
  <c r="BW77" i="2"/>
  <c r="U90" i="2"/>
  <c r="Z101" i="2"/>
  <c r="BW100" i="2"/>
  <c r="Y13" i="2"/>
  <c r="BE12" i="2"/>
  <c r="Y34" i="2"/>
  <c r="BE33" i="2"/>
  <c r="U45" i="2"/>
  <c r="Y56" i="2"/>
  <c r="BE55" i="2"/>
  <c r="Y78" i="2"/>
  <c r="BE77" i="2"/>
  <c r="Y101" i="2"/>
  <c r="BE100" i="2"/>
  <c r="BI95" i="2"/>
  <c r="W97" i="2"/>
  <c r="BC96" i="2"/>
  <c r="X97" i="2"/>
  <c r="BD96" i="2"/>
  <c r="Y97" i="2"/>
  <c r="BE96" i="2"/>
  <c r="Z97" i="2"/>
  <c r="BF96" i="2"/>
  <c r="AA97" i="2"/>
  <c r="BG96" i="2"/>
  <c r="AB97" i="2"/>
  <c r="BH96" i="2"/>
  <c r="BI96" i="2"/>
  <c r="W98" i="2"/>
  <c r="BC97" i="2"/>
  <c r="X98" i="2"/>
  <c r="BD97" i="2"/>
  <c r="Y98" i="2"/>
  <c r="BE97" i="2"/>
  <c r="Z98" i="2"/>
  <c r="BF97" i="2"/>
  <c r="AA98" i="2"/>
  <c r="BG97" i="2"/>
  <c r="AB98" i="2"/>
  <c r="BH97" i="2"/>
  <c r="BI97" i="2"/>
  <c r="W99" i="2"/>
  <c r="BC98" i="2"/>
  <c r="X99" i="2"/>
  <c r="BD98" i="2"/>
  <c r="Y99" i="2"/>
  <c r="BE98" i="2"/>
  <c r="Z99" i="2"/>
  <c r="BF98" i="2"/>
  <c r="AA99" i="2"/>
  <c r="BG98" i="2"/>
  <c r="AB99" i="2"/>
  <c r="BH98" i="2"/>
  <c r="BI98" i="2"/>
  <c r="W100" i="2"/>
  <c r="BC99" i="2"/>
  <c r="X100" i="2"/>
  <c r="BD99" i="2"/>
  <c r="Y100" i="2"/>
  <c r="BE99" i="2"/>
  <c r="Z100" i="2"/>
  <c r="BF99" i="2"/>
  <c r="AA100" i="2"/>
  <c r="BG99" i="2"/>
  <c r="AB100" i="2"/>
  <c r="BH99" i="2"/>
  <c r="BI99" i="2"/>
  <c r="W101" i="2"/>
  <c r="BC100" i="2"/>
  <c r="X101" i="2"/>
  <c r="BD100" i="2"/>
  <c r="BF100" i="2"/>
  <c r="AA101" i="2"/>
  <c r="BG100" i="2"/>
  <c r="AB101" i="2"/>
  <c r="BH100" i="2"/>
  <c r="BI100" i="2"/>
  <c r="BC101" i="2"/>
  <c r="X102" i="2"/>
  <c r="BD101" i="2"/>
  <c r="Y102" i="2"/>
  <c r="BE101" i="2"/>
  <c r="Z102" i="2"/>
  <c r="BF101" i="2"/>
  <c r="AA102" i="2"/>
  <c r="BG101" i="2"/>
  <c r="AB102" i="2"/>
  <c r="BH101" i="2"/>
  <c r="BI101" i="2"/>
  <c r="BC102" i="2"/>
  <c r="X103" i="2"/>
  <c r="BD102" i="2"/>
  <c r="Y103" i="2"/>
  <c r="BE102" i="2"/>
  <c r="Z103" i="2"/>
  <c r="BF102" i="2"/>
  <c r="AA103" i="2"/>
  <c r="BG102" i="2"/>
  <c r="AB103" i="2"/>
  <c r="BH102" i="2"/>
  <c r="BI102" i="2"/>
  <c r="BC103" i="2"/>
  <c r="X104" i="2"/>
  <c r="BD103" i="2"/>
  <c r="Y104" i="2"/>
  <c r="BE103" i="2"/>
  <c r="Z104" i="2"/>
  <c r="BF103" i="2"/>
  <c r="AA104" i="2"/>
  <c r="BG103" i="2"/>
  <c r="AB104" i="2"/>
  <c r="BH103" i="2"/>
  <c r="BI103" i="2"/>
  <c r="BC104" i="2"/>
  <c r="BD104" i="2"/>
  <c r="BE104" i="2"/>
  <c r="Z105" i="2"/>
  <c r="BF104" i="2"/>
  <c r="AA105" i="2"/>
  <c r="BG104" i="2"/>
  <c r="AB105" i="2"/>
  <c r="BH104" i="2"/>
  <c r="BI104" i="2"/>
  <c r="BC105" i="2"/>
  <c r="BD105" i="2"/>
  <c r="Y106" i="2"/>
  <c r="BE105" i="2"/>
  <c r="Z106" i="2"/>
  <c r="BF105" i="2"/>
  <c r="AA106" i="2"/>
  <c r="BG105" i="2"/>
  <c r="AB106" i="2"/>
  <c r="BH105" i="2"/>
  <c r="BI105" i="2"/>
  <c r="BI106" i="2"/>
  <c r="BI109" i="2"/>
  <c r="BI111" i="2"/>
  <c r="BI72" i="2"/>
  <c r="W74" i="2"/>
  <c r="BC73" i="2"/>
  <c r="X74" i="2"/>
  <c r="BD73" i="2"/>
  <c r="Y74" i="2"/>
  <c r="BE73" i="2"/>
  <c r="Z74" i="2"/>
  <c r="BF73" i="2"/>
  <c r="AA74" i="2"/>
  <c r="BG73" i="2"/>
  <c r="AB74" i="2"/>
  <c r="BH73" i="2"/>
  <c r="BI73" i="2"/>
  <c r="W75" i="2"/>
  <c r="BC74" i="2"/>
  <c r="X75" i="2"/>
  <c r="BD74" i="2"/>
  <c r="Y75" i="2"/>
  <c r="BE74" i="2"/>
  <c r="Z75" i="2"/>
  <c r="BF74" i="2"/>
  <c r="AA75" i="2"/>
  <c r="BG74" i="2"/>
  <c r="AB75" i="2"/>
  <c r="BH74" i="2"/>
  <c r="BI74" i="2"/>
  <c r="W76" i="2"/>
  <c r="BC75" i="2"/>
  <c r="X76" i="2"/>
  <c r="BD75" i="2"/>
  <c r="Y76" i="2"/>
  <c r="BE75" i="2"/>
  <c r="Z76" i="2"/>
  <c r="BF75" i="2"/>
  <c r="AA76" i="2"/>
  <c r="BG75" i="2"/>
  <c r="AB76" i="2"/>
  <c r="BH75" i="2"/>
  <c r="BI75" i="2"/>
  <c r="W77" i="2"/>
  <c r="BC76" i="2"/>
  <c r="X77" i="2"/>
  <c r="BD76" i="2"/>
  <c r="Y77" i="2"/>
  <c r="BE76" i="2"/>
  <c r="Z77" i="2"/>
  <c r="BF76" i="2"/>
  <c r="AA77" i="2"/>
  <c r="BG76" i="2"/>
  <c r="AB77" i="2"/>
  <c r="BH76" i="2"/>
  <c r="BI76" i="2"/>
  <c r="W78" i="2"/>
  <c r="BC77" i="2"/>
  <c r="X78" i="2"/>
  <c r="BD77" i="2"/>
  <c r="BF77" i="2"/>
  <c r="AA78" i="2"/>
  <c r="BG77" i="2"/>
  <c r="AB78" i="2"/>
  <c r="BH77" i="2"/>
  <c r="BI77" i="2"/>
  <c r="W79" i="2"/>
  <c r="BC78" i="2"/>
  <c r="X79" i="2"/>
  <c r="BD78" i="2"/>
  <c r="Y79" i="2"/>
  <c r="BE78" i="2"/>
  <c r="Z79" i="2"/>
  <c r="BF78" i="2"/>
  <c r="AA79" i="2"/>
  <c r="BG78" i="2"/>
  <c r="AB79" i="2"/>
  <c r="BH78" i="2"/>
  <c r="BI78" i="2"/>
  <c r="BC79" i="2"/>
  <c r="X80" i="2"/>
  <c r="BD79" i="2"/>
  <c r="Y80" i="2"/>
  <c r="BE79" i="2"/>
  <c r="Z80" i="2"/>
  <c r="BF79" i="2"/>
  <c r="AA80" i="2"/>
  <c r="BG79" i="2"/>
  <c r="AB80" i="2"/>
  <c r="BH79" i="2"/>
  <c r="BI79" i="2"/>
  <c r="W81" i="2"/>
  <c r="BC80" i="2"/>
  <c r="BD80" i="2"/>
  <c r="Y81" i="2"/>
  <c r="BE80" i="2"/>
  <c r="Z81" i="2"/>
  <c r="BF80" i="2"/>
  <c r="AA81" i="2"/>
  <c r="BG80" i="2"/>
  <c r="AB81" i="2"/>
  <c r="BH80" i="2"/>
  <c r="BI80" i="2"/>
  <c r="BC81" i="2"/>
  <c r="X82" i="2"/>
  <c r="BD81" i="2"/>
  <c r="Y82" i="2"/>
  <c r="BE81" i="2"/>
  <c r="Z82" i="2"/>
  <c r="BF81" i="2"/>
  <c r="AA82" i="2"/>
  <c r="BG81" i="2"/>
  <c r="AB82" i="2"/>
  <c r="BH81" i="2"/>
  <c r="BI81" i="2"/>
  <c r="BC82" i="2"/>
  <c r="BD82" i="2"/>
  <c r="Y83" i="2"/>
  <c r="BE82" i="2"/>
  <c r="Z83" i="2"/>
  <c r="BF82" i="2"/>
  <c r="AA83" i="2"/>
  <c r="BG82" i="2"/>
  <c r="AB83" i="2"/>
  <c r="BH82" i="2"/>
  <c r="BI82" i="2"/>
  <c r="BI83" i="2"/>
  <c r="BI86" i="2"/>
  <c r="BI88" i="2"/>
  <c r="BI50" i="2"/>
  <c r="W52" i="2"/>
  <c r="BC51" i="2"/>
  <c r="X52" i="2"/>
  <c r="BD51" i="2"/>
  <c r="Y52" i="2"/>
  <c r="BE51" i="2"/>
  <c r="Z52" i="2"/>
  <c r="BF51" i="2"/>
  <c r="AA52" i="2"/>
  <c r="BG51" i="2"/>
  <c r="AB52" i="2"/>
  <c r="BH51" i="2"/>
  <c r="BI51" i="2"/>
  <c r="W53" i="2"/>
  <c r="BC52" i="2"/>
  <c r="X53" i="2"/>
  <c r="BD52" i="2"/>
  <c r="Y53" i="2"/>
  <c r="BE52" i="2"/>
  <c r="Z53" i="2"/>
  <c r="BF52" i="2"/>
  <c r="AA53" i="2"/>
  <c r="BG52" i="2"/>
  <c r="AB53" i="2"/>
  <c r="BH52" i="2"/>
  <c r="BI52" i="2"/>
  <c r="W54" i="2"/>
  <c r="BC53" i="2"/>
  <c r="X54" i="2"/>
  <c r="BD53" i="2"/>
  <c r="Y54" i="2"/>
  <c r="BE53" i="2"/>
  <c r="Z54" i="2"/>
  <c r="BF53" i="2"/>
  <c r="AA54" i="2"/>
  <c r="BG53" i="2"/>
  <c r="AB54" i="2"/>
  <c r="BH53" i="2"/>
  <c r="BI53" i="2"/>
  <c r="W55" i="2"/>
  <c r="BC54" i="2"/>
  <c r="X55" i="2"/>
  <c r="BD54" i="2"/>
  <c r="Y55" i="2"/>
  <c r="BE54" i="2"/>
  <c r="Z55" i="2"/>
  <c r="BF54" i="2"/>
  <c r="AA55" i="2"/>
  <c r="BG54" i="2"/>
  <c r="AB55" i="2"/>
  <c r="BH54" i="2"/>
  <c r="BI54" i="2"/>
  <c r="W56" i="2"/>
  <c r="BC55" i="2"/>
  <c r="X56" i="2"/>
  <c r="BD55" i="2"/>
  <c r="Z56" i="2"/>
  <c r="BF55" i="2"/>
  <c r="AA56" i="2"/>
  <c r="BG55" i="2"/>
  <c r="AB56" i="2"/>
  <c r="BH55" i="2"/>
  <c r="BI55" i="2"/>
  <c r="BC56" i="2"/>
  <c r="X57" i="2"/>
  <c r="BD56" i="2"/>
  <c r="Y57" i="2"/>
  <c r="BE56" i="2"/>
  <c r="Z57" i="2"/>
  <c r="BF56" i="2"/>
  <c r="AA57" i="2"/>
  <c r="BG56" i="2"/>
  <c r="AB57" i="2"/>
  <c r="BH56" i="2"/>
  <c r="BI56" i="2"/>
  <c r="BC57" i="2"/>
  <c r="BD57" i="2"/>
  <c r="Y58" i="2"/>
  <c r="BE57" i="2"/>
  <c r="Z58" i="2"/>
  <c r="BF57" i="2"/>
  <c r="AA58" i="2"/>
  <c r="BG57" i="2"/>
  <c r="AB58" i="2"/>
  <c r="BH57" i="2"/>
  <c r="BI57" i="2"/>
  <c r="BC58" i="2"/>
  <c r="BD58" i="2"/>
  <c r="Y59" i="2"/>
  <c r="BE58" i="2"/>
  <c r="Z59" i="2"/>
  <c r="BF58" i="2"/>
  <c r="AA59" i="2"/>
  <c r="BG58" i="2"/>
  <c r="AB59" i="2"/>
  <c r="BH58" i="2"/>
  <c r="BI58" i="2"/>
  <c r="BC59" i="2"/>
  <c r="BD59" i="2"/>
  <c r="Y60" i="2"/>
  <c r="BE59" i="2"/>
  <c r="Z60" i="2"/>
  <c r="BF59" i="2"/>
  <c r="AA60" i="2"/>
  <c r="BG59" i="2"/>
  <c r="AB60" i="2"/>
  <c r="BH59" i="2"/>
  <c r="BI59" i="2"/>
  <c r="BC60" i="2"/>
  <c r="BD60" i="2"/>
  <c r="BE60" i="2"/>
  <c r="Z61" i="2"/>
  <c r="BF60" i="2"/>
  <c r="AA61" i="2"/>
  <c r="BG60" i="2"/>
  <c r="AB61" i="2"/>
  <c r="BH60" i="2"/>
  <c r="BI60" i="2"/>
  <c r="BI61" i="2"/>
  <c r="BI64" i="2"/>
  <c r="BI66" i="2"/>
  <c r="BI28" i="2"/>
  <c r="W30" i="2"/>
  <c r="BC29" i="2"/>
  <c r="X30" i="2"/>
  <c r="BD29" i="2"/>
  <c r="Y30" i="2"/>
  <c r="BE29" i="2"/>
  <c r="Z30" i="2"/>
  <c r="BF29" i="2"/>
  <c r="AA30" i="2"/>
  <c r="BG29" i="2"/>
  <c r="AB30" i="2"/>
  <c r="BH29" i="2"/>
  <c r="BI29" i="2"/>
  <c r="W31" i="2"/>
  <c r="BC30" i="2"/>
  <c r="X31" i="2"/>
  <c r="BD30" i="2"/>
  <c r="Y31" i="2"/>
  <c r="BE30" i="2"/>
  <c r="Z31" i="2"/>
  <c r="BF30" i="2"/>
  <c r="AA31" i="2"/>
  <c r="BG30" i="2"/>
  <c r="AB31" i="2"/>
  <c r="BH30" i="2"/>
  <c r="BI30" i="2"/>
  <c r="W32" i="2"/>
  <c r="BC31" i="2"/>
  <c r="X32" i="2"/>
  <c r="BD31" i="2"/>
  <c r="Y32" i="2"/>
  <c r="BE31" i="2"/>
  <c r="Z32" i="2"/>
  <c r="BF31" i="2"/>
  <c r="AA32" i="2"/>
  <c r="BG31" i="2"/>
  <c r="AB32" i="2"/>
  <c r="BH31" i="2"/>
  <c r="BI31" i="2"/>
  <c r="W33" i="2"/>
  <c r="BC32" i="2"/>
  <c r="X33" i="2"/>
  <c r="BD32" i="2"/>
  <c r="Y33" i="2"/>
  <c r="BE32" i="2"/>
  <c r="Z33" i="2"/>
  <c r="BF32" i="2"/>
  <c r="AA33" i="2"/>
  <c r="BG32" i="2"/>
  <c r="AB33" i="2"/>
  <c r="BH32" i="2"/>
  <c r="BI32" i="2"/>
  <c r="W34" i="2"/>
  <c r="BC33" i="2"/>
  <c r="X34" i="2"/>
  <c r="BD33" i="2"/>
  <c r="BF33" i="2"/>
  <c r="AA34" i="2"/>
  <c r="BG33" i="2"/>
  <c r="AB34" i="2"/>
  <c r="BH33" i="2"/>
  <c r="BI33" i="2"/>
  <c r="BC34" i="2"/>
  <c r="X35" i="2"/>
  <c r="BD34" i="2"/>
  <c r="Y35" i="2"/>
  <c r="BE34" i="2"/>
  <c r="Z35" i="2"/>
  <c r="BF34" i="2"/>
  <c r="AA35" i="2"/>
  <c r="BG34" i="2"/>
  <c r="AB35" i="2"/>
  <c r="BH34" i="2"/>
  <c r="BI34" i="2"/>
  <c r="BC35" i="2"/>
  <c r="BD35" i="2"/>
  <c r="Y36" i="2"/>
  <c r="BE35" i="2"/>
  <c r="Z36" i="2"/>
  <c r="BF35" i="2"/>
  <c r="AA36" i="2"/>
  <c r="BG35" i="2"/>
  <c r="AB36" i="2"/>
  <c r="BH35" i="2"/>
  <c r="BI35" i="2"/>
  <c r="BC36" i="2"/>
  <c r="BD36" i="2"/>
  <c r="BE36" i="2"/>
  <c r="Z37" i="2"/>
  <c r="BF36" i="2"/>
  <c r="AA37" i="2"/>
  <c r="BG36" i="2"/>
  <c r="AB37" i="2"/>
  <c r="BH36" i="2"/>
  <c r="BI36" i="2"/>
  <c r="BC37" i="2"/>
  <c r="BD37" i="2"/>
  <c r="BE37" i="2"/>
  <c r="Z38" i="2"/>
  <c r="BF37" i="2"/>
  <c r="AA38" i="2"/>
  <c r="BG37" i="2"/>
  <c r="AB38" i="2"/>
  <c r="BH37" i="2"/>
  <c r="BI37" i="2"/>
  <c r="BC38" i="2"/>
  <c r="BD38" i="2"/>
  <c r="BE38" i="2"/>
  <c r="Z39" i="2"/>
  <c r="BF38" i="2"/>
  <c r="AA39" i="2"/>
  <c r="BG38" i="2"/>
  <c r="AB39" i="2"/>
  <c r="BH38" i="2"/>
  <c r="BI38" i="2"/>
  <c r="BI39" i="2"/>
  <c r="BI42" i="2"/>
  <c r="BI44" i="2"/>
  <c r="BI7" i="2"/>
  <c r="W9" i="2"/>
  <c r="BC8" i="2"/>
  <c r="X9" i="2"/>
  <c r="BD8" i="2"/>
  <c r="Y9" i="2"/>
  <c r="BE8" i="2"/>
  <c r="Z9" i="2"/>
  <c r="BF8" i="2"/>
  <c r="AA9" i="2"/>
  <c r="BG8" i="2"/>
  <c r="AB9" i="2"/>
  <c r="BH8" i="2"/>
  <c r="BI8" i="2"/>
  <c r="W10" i="2"/>
  <c r="BC9" i="2"/>
  <c r="X10" i="2"/>
  <c r="BD9" i="2"/>
  <c r="Y10" i="2"/>
  <c r="BE9" i="2"/>
  <c r="Z10" i="2"/>
  <c r="BF9" i="2"/>
  <c r="AA10" i="2"/>
  <c r="BG9" i="2"/>
  <c r="AB10" i="2"/>
  <c r="BH9" i="2"/>
  <c r="BI9" i="2"/>
  <c r="W11" i="2"/>
  <c r="BC10" i="2"/>
  <c r="X11" i="2"/>
  <c r="BD10" i="2"/>
  <c r="Y11" i="2"/>
  <c r="BE10" i="2"/>
  <c r="Z11" i="2"/>
  <c r="BF10" i="2"/>
  <c r="AA11" i="2"/>
  <c r="BG10" i="2"/>
  <c r="AB11" i="2"/>
  <c r="BH10" i="2"/>
  <c r="BI10" i="2"/>
  <c r="W12" i="2"/>
  <c r="BC11" i="2"/>
  <c r="BD11" i="2"/>
  <c r="Y12" i="2"/>
  <c r="BE11" i="2"/>
  <c r="Z12" i="2"/>
  <c r="BF11" i="2"/>
  <c r="AA12" i="2"/>
  <c r="BG11" i="2"/>
  <c r="AB12" i="2"/>
  <c r="BH11" i="2"/>
  <c r="BI11" i="2"/>
  <c r="W13" i="2"/>
  <c r="BC12" i="2"/>
  <c r="X13" i="2"/>
  <c r="BD12" i="2"/>
  <c r="BF12" i="2"/>
  <c r="AA13" i="2"/>
  <c r="BG12" i="2"/>
  <c r="AB13" i="2"/>
  <c r="BH12" i="2"/>
  <c r="BI12" i="2"/>
  <c r="W14" i="2"/>
  <c r="BC13" i="2"/>
  <c r="X14" i="2"/>
  <c r="BD13" i="2"/>
  <c r="Y14" i="2"/>
  <c r="BE13" i="2"/>
  <c r="Z14" i="2"/>
  <c r="BF13" i="2"/>
  <c r="AA14" i="2"/>
  <c r="BG13" i="2"/>
  <c r="AB14" i="2"/>
  <c r="BH13" i="2"/>
  <c r="BI13" i="2"/>
  <c r="BC14" i="2"/>
  <c r="BD14" i="2"/>
  <c r="Y15" i="2"/>
  <c r="BE14" i="2"/>
  <c r="Z15" i="2"/>
  <c r="BF14" i="2"/>
  <c r="AA15" i="2"/>
  <c r="BG14" i="2"/>
  <c r="AB15" i="2"/>
  <c r="BH14" i="2"/>
  <c r="BI14" i="2"/>
  <c r="BC15" i="2"/>
  <c r="BD15" i="2"/>
  <c r="BE15" i="2"/>
  <c r="Z16" i="2"/>
  <c r="BF15" i="2"/>
  <c r="AA16" i="2"/>
  <c r="BG15" i="2"/>
  <c r="AB16" i="2"/>
  <c r="BH15" i="2"/>
  <c r="BI15" i="2"/>
  <c r="BC16" i="2"/>
  <c r="BD16" i="2"/>
  <c r="BE16" i="2"/>
  <c r="Z17" i="2"/>
  <c r="BF16" i="2"/>
  <c r="AA17" i="2"/>
  <c r="BG16" i="2"/>
  <c r="AB17" i="2"/>
  <c r="BH16" i="2"/>
  <c r="BI16" i="2"/>
  <c r="BC17" i="2"/>
  <c r="BD17" i="2"/>
  <c r="BE17" i="2"/>
  <c r="Z18" i="2"/>
  <c r="BF17" i="2"/>
  <c r="AA18" i="2"/>
  <c r="BG17" i="2"/>
  <c r="AB18" i="2"/>
  <c r="BH17" i="2"/>
  <c r="BI17" i="2"/>
  <c r="BI18" i="2"/>
  <c r="BI21" i="2"/>
  <c r="BI23" i="2"/>
  <c r="BQ95" i="2"/>
  <c r="BR95" i="2"/>
  <c r="BS95" i="2"/>
  <c r="BT95" i="2"/>
  <c r="X96" i="2"/>
  <c r="BU95" i="2"/>
  <c r="BV95" i="2"/>
  <c r="BW95" i="2"/>
  <c r="BX95" i="2"/>
  <c r="BY95" i="2"/>
  <c r="AC96" i="2"/>
  <c r="BZ95" i="2"/>
  <c r="CA95" i="2"/>
  <c r="BQ96" i="2"/>
  <c r="BR96" i="2"/>
  <c r="V97" i="2"/>
  <c r="BS96" i="2"/>
  <c r="BT96" i="2"/>
  <c r="BU96" i="2"/>
  <c r="BV96" i="2"/>
  <c r="BW96" i="2"/>
  <c r="BX96" i="2"/>
  <c r="BY96" i="2"/>
  <c r="AC97" i="2"/>
  <c r="BZ96" i="2"/>
  <c r="CA96" i="2"/>
  <c r="BQ97" i="2"/>
  <c r="U98" i="2"/>
  <c r="BR97" i="2"/>
  <c r="V98" i="2"/>
  <c r="BS97" i="2"/>
  <c r="BT97" i="2"/>
  <c r="BU97" i="2"/>
  <c r="BV97" i="2"/>
  <c r="BW97" i="2"/>
  <c r="BX97" i="2"/>
  <c r="BY97" i="2"/>
  <c r="AC98" i="2"/>
  <c r="BZ97" i="2"/>
  <c r="CA97" i="2"/>
  <c r="BQ98" i="2"/>
  <c r="BR98" i="2"/>
  <c r="V99" i="2"/>
  <c r="BS98" i="2"/>
  <c r="BT98" i="2"/>
  <c r="BU98" i="2"/>
  <c r="BV98" i="2"/>
  <c r="BW98" i="2"/>
  <c r="BX98" i="2"/>
  <c r="BY98" i="2"/>
  <c r="AC99" i="2"/>
  <c r="BZ98" i="2"/>
  <c r="CA98" i="2"/>
  <c r="BQ99" i="2"/>
  <c r="BR99" i="2"/>
  <c r="BS99" i="2"/>
  <c r="BT99" i="2"/>
  <c r="BU99" i="2"/>
  <c r="BV99" i="2"/>
  <c r="BW99" i="2"/>
  <c r="BX99" i="2"/>
  <c r="BY99" i="2"/>
  <c r="AC100" i="2"/>
  <c r="BZ99" i="2"/>
  <c r="CA99" i="2"/>
  <c r="BQ100" i="2"/>
  <c r="BR100" i="2"/>
  <c r="BS100" i="2"/>
  <c r="BT100" i="2"/>
  <c r="BU100" i="2"/>
  <c r="BV100" i="2"/>
  <c r="BX100" i="2"/>
  <c r="BY100" i="2"/>
  <c r="AC101" i="2"/>
  <c r="BZ100" i="2"/>
  <c r="CA100" i="2"/>
  <c r="BQ101" i="2"/>
  <c r="BR101" i="2"/>
  <c r="BS101" i="2"/>
  <c r="BT101" i="2"/>
  <c r="BU101" i="2"/>
  <c r="BV101" i="2"/>
  <c r="BW101" i="2"/>
  <c r="BX101" i="2"/>
  <c r="BY101" i="2"/>
  <c r="AC102" i="2"/>
  <c r="BZ101" i="2"/>
  <c r="CA101" i="2"/>
  <c r="BQ102" i="2"/>
  <c r="BR102" i="2"/>
  <c r="BS102" i="2"/>
  <c r="BT102" i="2"/>
  <c r="BU102" i="2"/>
  <c r="BV102" i="2"/>
  <c r="BW102" i="2"/>
  <c r="BX102" i="2"/>
  <c r="BY102" i="2"/>
  <c r="AC103" i="2"/>
  <c r="BZ102" i="2"/>
  <c r="CA102" i="2"/>
  <c r="BQ103" i="2"/>
  <c r="BR103" i="2"/>
  <c r="BS103" i="2"/>
  <c r="BT103" i="2"/>
  <c r="BU103" i="2"/>
  <c r="BV103" i="2"/>
  <c r="BW103" i="2"/>
  <c r="BX103" i="2"/>
  <c r="BY103" i="2"/>
  <c r="AC104" i="2"/>
  <c r="BZ103" i="2"/>
  <c r="CA103" i="2"/>
  <c r="BQ104" i="2"/>
  <c r="BR104" i="2"/>
  <c r="BS104" i="2"/>
  <c r="BT104" i="2"/>
  <c r="BU104" i="2"/>
  <c r="BV104" i="2"/>
  <c r="BW104" i="2"/>
  <c r="BX104" i="2"/>
  <c r="BY104" i="2"/>
  <c r="AC105" i="2"/>
  <c r="BZ104" i="2"/>
  <c r="CA104" i="2"/>
  <c r="BQ105" i="2"/>
  <c r="BR105" i="2"/>
  <c r="BS105" i="2"/>
  <c r="BT105" i="2"/>
  <c r="BU105" i="2"/>
  <c r="BV105" i="2"/>
  <c r="BW105" i="2"/>
  <c r="BX105" i="2"/>
  <c r="BY105" i="2"/>
  <c r="AC106" i="2"/>
  <c r="BZ105" i="2"/>
  <c r="CA105" i="2"/>
  <c r="CA106" i="2"/>
  <c r="CA109" i="2"/>
  <c r="CA111" i="2"/>
  <c r="BQ72" i="2"/>
  <c r="U73" i="2"/>
  <c r="BR72" i="2"/>
  <c r="V73" i="2"/>
  <c r="BS72" i="2"/>
  <c r="W73" i="2"/>
  <c r="BT72" i="2"/>
  <c r="X73" i="2"/>
  <c r="BU72" i="2"/>
  <c r="Y73" i="2"/>
  <c r="BV72" i="2"/>
  <c r="Z73" i="2"/>
  <c r="BW72" i="2"/>
  <c r="AA73" i="2"/>
  <c r="BX72" i="2"/>
  <c r="AB73" i="2"/>
  <c r="BY72" i="2"/>
  <c r="AC73" i="2"/>
  <c r="BZ72" i="2"/>
  <c r="CA72" i="2"/>
  <c r="BQ73" i="2"/>
  <c r="U74" i="2"/>
  <c r="BR73" i="2"/>
  <c r="V74" i="2"/>
  <c r="BS73" i="2"/>
  <c r="BT73" i="2"/>
  <c r="BU73" i="2"/>
  <c r="BV73" i="2"/>
  <c r="BW73" i="2"/>
  <c r="BX73" i="2"/>
  <c r="BY73" i="2"/>
  <c r="AC74" i="2"/>
  <c r="BZ73" i="2"/>
  <c r="CA73" i="2"/>
  <c r="BQ74" i="2"/>
  <c r="U75" i="2"/>
  <c r="BR74" i="2"/>
  <c r="V75" i="2"/>
  <c r="BS74" i="2"/>
  <c r="BT74" i="2"/>
  <c r="BU74" i="2"/>
  <c r="BV74" i="2"/>
  <c r="BW74" i="2"/>
  <c r="BX74" i="2"/>
  <c r="BY74" i="2"/>
  <c r="AC75" i="2"/>
  <c r="BZ74" i="2"/>
  <c r="CA74" i="2"/>
  <c r="BQ75" i="2"/>
  <c r="BR75" i="2"/>
  <c r="V76" i="2"/>
  <c r="BS75" i="2"/>
  <c r="BT75" i="2"/>
  <c r="BU75" i="2"/>
  <c r="BV75" i="2"/>
  <c r="BW75" i="2"/>
  <c r="BX75" i="2"/>
  <c r="BY75" i="2"/>
  <c r="AC76" i="2"/>
  <c r="BZ75" i="2"/>
  <c r="CA75" i="2"/>
  <c r="BQ76" i="2"/>
  <c r="BR76" i="2"/>
  <c r="V77" i="2"/>
  <c r="BS76" i="2"/>
  <c r="BT76" i="2"/>
  <c r="BU76" i="2"/>
  <c r="BV76" i="2"/>
  <c r="BW76" i="2"/>
  <c r="BX76" i="2"/>
  <c r="BY76" i="2"/>
  <c r="AC77" i="2"/>
  <c r="BZ76" i="2"/>
  <c r="CA76" i="2"/>
  <c r="BQ77" i="2"/>
  <c r="BR77" i="2"/>
  <c r="V78" i="2"/>
  <c r="BS77" i="2"/>
  <c r="BT77" i="2"/>
  <c r="BU77" i="2"/>
  <c r="BV77" i="2"/>
  <c r="BX77" i="2"/>
  <c r="BY77" i="2"/>
  <c r="AC78" i="2"/>
  <c r="BZ77" i="2"/>
  <c r="CA77" i="2"/>
  <c r="BQ78" i="2"/>
  <c r="BR78" i="2"/>
  <c r="V79" i="2"/>
  <c r="BS78" i="2"/>
  <c r="BT78" i="2"/>
  <c r="BU78" i="2"/>
  <c r="BV78" i="2"/>
  <c r="BW78" i="2"/>
  <c r="BX78" i="2"/>
  <c r="BY78" i="2"/>
  <c r="AC79" i="2"/>
  <c r="BZ78" i="2"/>
  <c r="CA78" i="2"/>
  <c r="BQ79" i="2"/>
  <c r="BR79" i="2"/>
  <c r="BS79" i="2"/>
  <c r="BT79" i="2"/>
  <c r="BU79" i="2"/>
  <c r="BV79" i="2"/>
  <c r="BW79" i="2"/>
  <c r="BX79" i="2"/>
  <c r="BY79" i="2"/>
  <c r="AC80" i="2"/>
  <c r="BZ79" i="2"/>
  <c r="CA79" i="2"/>
  <c r="BQ80" i="2"/>
  <c r="BR80" i="2"/>
  <c r="BS80" i="2"/>
  <c r="BT80" i="2"/>
  <c r="BU80" i="2"/>
  <c r="BV80" i="2"/>
  <c r="BW80" i="2"/>
  <c r="BX80" i="2"/>
  <c r="BY80" i="2"/>
  <c r="AC81" i="2"/>
  <c r="BZ80" i="2"/>
  <c r="CA80" i="2"/>
  <c r="BQ81" i="2"/>
  <c r="BR81" i="2"/>
  <c r="BS81" i="2"/>
  <c r="BT81" i="2"/>
  <c r="BU81" i="2"/>
  <c r="BV81" i="2"/>
  <c r="BW81" i="2"/>
  <c r="BX81" i="2"/>
  <c r="BY81" i="2"/>
  <c r="AC82" i="2"/>
  <c r="BZ81" i="2"/>
  <c r="CA81" i="2"/>
  <c r="BQ82" i="2"/>
  <c r="BR82" i="2"/>
  <c r="BS82" i="2"/>
  <c r="BT82" i="2"/>
  <c r="BU82" i="2"/>
  <c r="BV82" i="2"/>
  <c r="BW82" i="2"/>
  <c r="BX82" i="2"/>
  <c r="BY82" i="2"/>
  <c r="AC83" i="2"/>
  <c r="BZ82" i="2"/>
  <c r="CA82" i="2"/>
  <c r="CA83" i="2"/>
  <c r="CA86" i="2"/>
  <c r="CA88" i="2"/>
  <c r="BQ50" i="2"/>
  <c r="U51" i="2"/>
  <c r="BR50" i="2"/>
  <c r="V51" i="2"/>
  <c r="BS50" i="2"/>
  <c r="W51" i="2"/>
  <c r="BT50" i="2"/>
  <c r="X51" i="2"/>
  <c r="BU50" i="2"/>
  <c r="BV50" i="2"/>
  <c r="BW50" i="2"/>
  <c r="AA51" i="2"/>
  <c r="BX50" i="2"/>
  <c r="AB51" i="2"/>
  <c r="BY50" i="2"/>
  <c r="AC51" i="2"/>
  <c r="BZ50" i="2"/>
  <c r="CA50" i="2"/>
  <c r="BQ51" i="2"/>
  <c r="U52" i="2"/>
  <c r="BR51" i="2"/>
  <c r="V52" i="2"/>
  <c r="BS51" i="2"/>
  <c r="BT51" i="2"/>
  <c r="BU51" i="2"/>
  <c r="BV51" i="2"/>
  <c r="BW51" i="2"/>
  <c r="BX51" i="2"/>
  <c r="BY51" i="2"/>
  <c r="AC52" i="2"/>
  <c r="BZ51" i="2"/>
  <c r="CA51" i="2"/>
  <c r="BQ52" i="2"/>
  <c r="U53" i="2"/>
  <c r="BR52" i="2"/>
  <c r="V53" i="2"/>
  <c r="BS52" i="2"/>
  <c r="BT52" i="2"/>
  <c r="BU52" i="2"/>
  <c r="BV52" i="2"/>
  <c r="BW52" i="2"/>
  <c r="BX52" i="2"/>
  <c r="BY52" i="2"/>
  <c r="AC53" i="2"/>
  <c r="BZ52" i="2"/>
  <c r="CA52" i="2"/>
  <c r="BQ53" i="2"/>
  <c r="BR53" i="2"/>
  <c r="V54" i="2"/>
  <c r="BS53" i="2"/>
  <c r="BT53" i="2"/>
  <c r="BU53" i="2"/>
  <c r="BV53" i="2"/>
  <c r="BW53" i="2"/>
  <c r="BX53" i="2"/>
  <c r="BY53" i="2"/>
  <c r="AC54" i="2"/>
  <c r="BZ53" i="2"/>
  <c r="CA53" i="2"/>
  <c r="BQ54" i="2"/>
  <c r="BR54" i="2"/>
  <c r="V55" i="2"/>
  <c r="BS54" i="2"/>
  <c r="BT54" i="2"/>
  <c r="BU54" i="2"/>
  <c r="BV54" i="2"/>
  <c r="BW54" i="2"/>
  <c r="BX54" i="2"/>
  <c r="BY54" i="2"/>
  <c r="AC55" i="2"/>
  <c r="BZ54" i="2"/>
  <c r="CA54" i="2"/>
  <c r="BQ55" i="2"/>
  <c r="BR55" i="2"/>
  <c r="BS55" i="2"/>
  <c r="BT55" i="2"/>
  <c r="BU55" i="2"/>
  <c r="BV55" i="2"/>
  <c r="BW55" i="2"/>
  <c r="BX55" i="2"/>
  <c r="BY55" i="2"/>
  <c r="AC56" i="2"/>
  <c r="BZ55" i="2"/>
  <c r="CA55" i="2"/>
  <c r="BQ56" i="2"/>
  <c r="BR56" i="2"/>
  <c r="BS56" i="2"/>
  <c r="BT56" i="2"/>
  <c r="BU56" i="2"/>
  <c r="BV56" i="2"/>
  <c r="BW56" i="2"/>
  <c r="BX56" i="2"/>
  <c r="BY56" i="2"/>
  <c r="AC57" i="2"/>
  <c r="BZ56" i="2"/>
  <c r="CA56" i="2"/>
  <c r="BQ57" i="2"/>
  <c r="BR57" i="2"/>
  <c r="BS57" i="2"/>
  <c r="BT57" i="2"/>
  <c r="BU57" i="2"/>
  <c r="BV57" i="2"/>
  <c r="BW57" i="2"/>
  <c r="BX57" i="2"/>
  <c r="BY57" i="2"/>
  <c r="AC58" i="2"/>
  <c r="BZ57" i="2"/>
  <c r="CA57" i="2"/>
  <c r="BQ58" i="2"/>
  <c r="BR58" i="2"/>
  <c r="BS58" i="2"/>
  <c r="BT58" i="2"/>
  <c r="BU58" i="2"/>
  <c r="BV58" i="2"/>
  <c r="BW58" i="2"/>
  <c r="BX58" i="2"/>
  <c r="BY58" i="2"/>
  <c r="AC59" i="2"/>
  <c r="BZ58" i="2"/>
  <c r="CA58" i="2"/>
  <c r="BQ59" i="2"/>
  <c r="BR59" i="2"/>
  <c r="BS59" i="2"/>
  <c r="BT59" i="2"/>
  <c r="BU59" i="2"/>
  <c r="BV59" i="2"/>
  <c r="BW59" i="2"/>
  <c r="BX59" i="2"/>
  <c r="BY59" i="2"/>
  <c r="AC60" i="2"/>
  <c r="BZ59" i="2"/>
  <c r="CA59" i="2"/>
  <c r="BQ60" i="2"/>
  <c r="BR60" i="2"/>
  <c r="BS60" i="2"/>
  <c r="BT60" i="2"/>
  <c r="BU60" i="2"/>
  <c r="BV60" i="2"/>
  <c r="BW60" i="2"/>
  <c r="BX60" i="2"/>
  <c r="BY60" i="2"/>
  <c r="AC61" i="2"/>
  <c r="BZ60" i="2"/>
  <c r="CA60" i="2"/>
  <c r="CA61" i="2"/>
  <c r="CA64" i="2"/>
  <c r="CA66" i="2"/>
  <c r="BQ28" i="2"/>
  <c r="BR28" i="2"/>
  <c r="BS28" i="2"/>
  <c r="BT28" i="2"/>
  <c r="X29" i="2"/>
  <c r="BU28" i="2"/>
  <c r="BV28" i="2"/>
  <c r="BW28" i="2"/>
  <c r="AA29" i="2"/>
  <c r="BX28" i="2"/>
  <c r="BY28" i="2"/>
  <c r="AC29" i="2"/>
  <c r="BZ28" i="2"/>
  <c r="CA28" i="2"/>
  <c r="BQ29" i="2"/>
  <c r="U30" i="2"/>
  <c r="BR29" i="2"/>
  <c r="V30" i="2"/>
  <c r="BS29" i="2"/>
  <c r="BT29" i="2"/>
  <c r="BU29" i="2"/>
  <c r="BV29" i="2"/>
  <c r="BW29" i="2"/>
  <c r="BX29" i="2"/>
  <c r="BY29" i="2"/>
  <c r="AC30" i="2"/>
  <c r="BZ29" i="2"/>
  <c r="CA29" i="2"/>
  <c r="BQ30" i="2"/>
  <c r="BR30" i="2"/>
  <c r="V31" i="2"/>
  <c r="BS30" i="2"/>
  <c r="BT30" i="2"/>
  <c r="BU30" i="2"/>
  <c r="BV30" i="2"/>
  <c r="BW30" i="2"/>
  <c r="BX30" i="2"/>
  <c r="BY30" i="2"/>
  <c r="AC31" i="2"/>
  <c r="BZ30" i="2"/>
  <c r="CA30" i="2"/>
  <c r="BQ31" i="2"/>
  <c r="BR31" i="2"/>
  <c r="V32" i="2"/>
  <c r="BS31" i="2"/>
  <c r="BT31" i="2"/>
  <c r="BU31" i="2"/>
  <c r="BV31" i="2"/>
  <c r="BW31" i="2"/>
  <c r="BX31" i="2"/>
  <c r="BY31" i="2"/>
  <c r="AC32" i="2"/>
  <c r="BZ31" i="2"/>
  <c r="CA31" i="2"/>
  <c r="BQ32" i="2"/>
  <c r="BR32" i="2"/>
  <c r="V33" i="2"/>
  <c r="BS32" i="2"/>
  <c r="BT32" i="2"/>
  <c r="BU32" i="2"/>
  <c r="BV32" i="2"/>
  <c r="BW32" i="2"/>
  <c r="BX32" i="2"/>
  <c r="BY32" i="2"/>
  <c r="AC33" i="2"/>
  <c r="BZ32" i="2"/>
  <c r="CA32" i="2"/>
  <c r="BQ33" i="2"/>
  <c r="BR33" i="2"/>
  <c r="BS33" i="2"/>
  <c r="BT33" i="2"/>
  <c r="BU33" i="2"/>
  <c r="BV33" i="2"/>
  <c r="BX33" i="2"/>
  <c r="BY33" i="2"/>
  <c r="AC34" i="2"/>
  <c r="BZ33" i="2"/>
  <c r="CA33" i="2"/>
  <c r="BQ34" i="2"/>
  <c r="BR34" i="2"/>
  <c r="BS34" i="2"/>
  <c r="BT34" i="2"/>
  <c r="BU34" i="2"/>
  <c r="BV34" i="2"/>
  <c r="BW34" i="2"/>
  <c r="BX34" i="2"/>
  <c r="BY34" i="2"/>
  <c r="AC35" i="2"/>
  <c r="BZ34" i="2"/>
  <c r="CA34" i="2"/>
  <c r="BQ35" i="2"/>
  <c r="BR35" i="2"/>
  <c r="BS35" i="2"/>
  <c r="BT35" i="2"/>
  <c r="BU35" i="2"/>
  <c r="BV35" i="2"/>
  <c r="BW35" i="2"/>
  <c r="BX35" i="2"/>
  <c r="BY35" i="2"/>
  <c r="AC36" i="2"/>
  <c r="BZ35" i="2"/>
  <c r="CA35" i="2"/>
  <c r="BQ36" i="2"/>
  <c r="BR36" i="2"/>
  <c r="BS36" i="2"/>
  <c r="BT36" i="2"/>
  <c r="BU36" i="2"/>
  <c r="BV36" i="2"/>
  <c r="BW36" i="2"/>
  <c r="BX36" i="2"/>
  <c r="BY36" i="2"/>
  <c r="AC37" i="2"/>
  <c r="BZ36" i="2"/>
  <c r="CA36" i="2"/>
  <c r="BQ37" i="2"/>
  <c r="BR37" i="2"/>
  <c r="BS37" i="2"/>
  <c r="BT37" i="2"/>
  <c r="BU37" i="2"/>
  <c r="BV37" i="2"/>
  <c r="BW37" i="2"/>
  <c r="BX37" i="2"/>
  <c r="BY37" i="2"/>
  <c r="AC38" i="2"/>
  <c r="BZ37" i="2"/>
  <c r="CA37" i="2"/>
  <c r="BQ38" i="2"/>
  <c r="BR38" i="2"/>
  <c r="BS38" i="2"/>
  <c r="BT38" i="2"/>
  <c r="BU38" i="2"/>
  <c r="BV38" i="2"/>
  <c r="BW38" i="2"/>
  <c r="BX38" i="2"/>
  <c r="BY38" i="2"/>
  <c r="AC39" i="2"/>
  <c r="BZ38" i="2"/>
  <c r="CA38" i="2"/>
  <c r="CA39" i="2"/>
  <c r="CA42" i="2"/>
  <c r="CA44" i="2"/>
  <c r="BQ7" i="2"/>
  <c r="BR7" i="2"/>
  <c r="BS7" i="2"/>
  <c r="W8" i="2"/>
  <c r="BT7" i="2"/>
  <c r="BU7" i="2"/>
  <c r="BV7" i="2"/>
  <c r="BW7" i="2"/>
  <c r="BX7" i="2"/>
  <c r="BY7" i="2"/>
  <c r="AC8" i="2"/>
  <c r="BZ7" i="2"/>
  <c r="CA7" i="2"/>
  <c r="BQ8" i="2"/>
  <c r="U9" i="2"/>
  <c r="BR8" i="2"/>
  <c r="V9" i="2"/>
  <c r="BS8" i="2"/>
  <c r="BT8" i="2"/>
  <c r="BU8" i="2"/>
  <c r="BV8" i="2"/>
  <c r="BW8" i="2"/>
  <c r="BX8" i="2"/>
  <c r="BY8" i="2"/>
  <c r="AC9" i="2"/>
  <c r="BZ8" i="2"/>
  <c r="CA8" i="2"/>
  <c r="BQ9" i="2"/>
  <c r="BR9" i="2"/>
  <c r="V10" i="2"/>
  <c r="BS9" i="2"/>
  <c r="BT9" i="2"/>
  <c r="BU9" i="2"/>
  <c r="BV9" i="2"/>
  <c r="BW9" i="2"/>
  <c r="BX9" i="2"/>
  <c r="BY9" i="2"/>
  <c r="AC10" i="2"/>
  <c r="BZ9" i="2"/>
  <c r="CA9" i="2"/>
  <c r="BQ10" i="2"/>
  <c r="BR10" i="2"/>
  <c r="V11" i="2"/>
  <c r="BS10" i="2"/>
  <c r="BT10" i="2"/>
  <c r="BU10" i="2"/>
  <c r="BV10" i="2"/>
  <c r="BW10" i="2"/>
  <c r="BX10" i="2"/>
  <c r="BY10" i="2"/>
  <c r="AC11" i="2"/>
  <c r="BZ10" i="2"/>
  <c r="CA10" i="2"/>
  <c r="BQ11" i="2"/>
  <c r="BR11" i="2"/>
  <c r="V12" i="2"/>
  <c r="BS11" i="2"/>
  <c r="BT11" i="2"/>
  <c r="BU11" i="2"/>
  <c r="BV11" i="2"/>
  <c r="BW11" i="2"/>
  <c r="BX11" i="2"/>
  <c r="BY11" i="2"/>
  <c r="AC12" i="2"/>
  <c r="BZ11" i="2"/>
  <c r="CA11" i="2"/>
  <c r="BQ12" i="2"/>
  <c r="BR12" i="2"/>
  <c r="BS12" i="2"/>
  <c r="BT12" i="2"/>
  <c r="BU12" i="2"/>
  <c r="BV12" i="2"/>
  <c r="BX12" i="2"/>
  <c r="BY12" i="2"/>
  <c r="AC13" i="2"/>
  <c r="BZ12" i="2"/>
  <c r="CA12" i="2"/>
  <c r="BQ13" i="2"/>
  <c r="BR13" i="2"/>
  <c r="BS13" i="2"/>
  <c r="BT13" i="2"/>
  <c r="BU13" i="2"/>
  <c r="BV13" i="2"/>
  <c r="BW13" i="2"/>
  <c r="BX13" i="2"/>
  <c r="BY13" i="2"/>
  <c r="AC14" i="2"/>
  <c r="BZ13" i="2"/>
  <c r="CA13" i="2"/>
  <c r="BQ14" i="2"/>
  <c r="BR14" i="2"/>
  <c r="BS14" i="2"/>
  <c r="BT14" i="2"/>
  <c r="BU14" i="2"/>
  <c r="BV14" i="2"/>
  <c r="BW14" i="2"/>
  <c r="BX14" i="2"/>
  <c r="BY14" i="2"/>
  <c r="AC15" i="2"/>
  <c r="BZ14" i="2"/>
  <c r="CA14" i="2"/>
  <c r="BQ15" i="2"/>
  <c r="BR15" i="2"/>
  <c r="BS15" i="2"/>
  <c r="BT15" i="2"/>
  <c r="BU15" i="2"/>
  <c r="BV15" i="2"/>
  <c r="BW15" i="2"/>
  <c r="BX15" i="2"/>
  <c r="BY15" i="2"/>
  <c r="AC16" i="2"/>
  <c r="BZ15" i="2"/>
  <c r="CA15" i="2"/>
  <c r="BQ16" i="2"/>
  <c r="BR16" i="2"/>
  <c r="BS16" i="2"/>
  <c r="BT16" i="2"/>
  <c r="BU16" i="2"/>
  <c r="BV16" i="2"/>
  <c r="BW16" i="2"/>
  <c r="BX16" i="2"/>
  <c r="BY16" i="2"/>
  <c r="AC17" i="2"/>
  <c r="BZ16" i="2"/>
  <c r="CA16" i="2"/>
  <c r="BQ17" i="2"/>
  <c r="BR17" i="2"/>
  <c r="BS17" i="2"/>
  <c r="BT17" i="2"/>
  <c r="BU17" i="2"/>
  <c r="BV17" i="2"/>
  <c r="BW17" i="2"/>
  <c r="BX17" i="2"/>
  <c r="BY17" i="2"/>
  <c r="AC18" i="2"/>
  <c r="BZ17" i="2"/>
  <c r="CA17" i="2"/>
  <c r="CA18" i="2"/>
  <c r="CA21" i="2"/>
  <c r="CA23" i="2"/>
  <c r="BP96" i="2"/>
  <c r="BP97" i="2"/>
  <c r="BP98" i="2"/>
  <c r="BP99" i="2"/>
  <c r="BP100" i="2"/>
  <c r="BP101" i="2"/>
  <c r="BP102" i="2"/>
  <c r="BP103" i="2"/>
  <c r="BP104" i="2"/>
  <c r="BP105" i="2"/>
  <c r="BP95" i="2"/>
  <c r="BP73" i="2"/>
  <c r="BP74" i="2"/>
  <c r="BP75" i="2"/>
  <c r="BP76" i="2"/>
  <c r="BP77" i="2"/>
  <c r="BP78" i="2"/>
  <c r="BP79" i="2"/>
  <c r="BP80" i="2"/>
  <c r="BP81" i="2"/>
  <c r="BP82" i="2"/>
  <c r="BP72" i="2"/>
  <c r="BP51" i="2"/>
  <c r="BP52" i="2"/>
  <c r="BP53" i="2"/>
  <c r="BP54" i="2"/>
  <c r="BP55" i="2"/>
  <c r="BP56" i="2"/>
  <c r="BP57" i="2"/>
  <c r="BP58" i="2"/>
  <c r="BP59" i="2"/>
  <c r="BP60" i="2"/>
  <c r="BP50" i="2"/>
  <c r="BP29" i="2"/>
  <c r="BP30" i="2"/>
  <c r="BP31" i="2"/>
  <c r="BP32" i="2"/>
  <c r="BP33" i="2"/>
  <c r="BP34" i="2"/>
  <c r="BP35" i="2"/>
  <c r="BP36" i="2"/>
  <c r="BP37" i="2"/>
  <c r="BP38" i="2"/>
  <c r="BP28" i="2"/>
  <c r="BP8" i="2"/>
  <c r="BP9" i="2"/>
  <c r="BP10" i="2"/>
  <c r="BP11" i="2"/>
  <c r="BP12" i="2"/>
  <c r="BP13" i="2"/>
  <c r="BP14" i="2"/>
  <c r="BP15" i="2"/>
  <c r="BP16" i="2"/>
  <c r="BP17" i="2"/>
  <c r="BP7" i="2"/>
  <c r="AG43" i="2"/>
  <c r="AC107" i="2"/>
  <c r="AC84" i="2"/>
  <c r="AC62" i="2"/>
  <c r="AC40" i="2"/>
  <c r="AC19" i="2"/>
</calcChain>
</file>

<file path=xl/sharedStrings.xml><?xml version="1.0" encoding="utf-8"?>
<sst xmlns="http://schemas.openxmlformats.org/spreadsheetml/2006/main" count="203" uniqueCount="29">
  <si>
    <t>Years In Hours</t>
  </si>
  <si>
    <t>Aquabuoy Performance Matrix</t>
  </si>
  <si>
    <t>Aquabuoy Power Output</t>
  </si>
  <si>
    <t>A</t>
  </si>
  <si>
    <t>Pelamis Power Output</t>
  </si>
  <si>
    <t xml:space="preserve">Spain - Bay Of Bicay </t>
  </si>
  <si>
    <t>North of Gijon</t>
  </si>
  <si>
    <t>Tp (s)</t>
  </si>
  <si>
    <t>Aquabuoy</t>
  </si>
  <si>
    <t>&lt;=1.0</t>
  </si>
  <si>
    <t>&gt;10</t>
  </si>
  <si>
    <t>Total (KWh/(5*Annum))</t>
  </si>
  <si>
    <t>Hs (m)</t>
  </si>
  <si>
    <t>Total (Hours)</t>
  </si>
  <si>
    <t>&lt;=0.5</t>
  </si>
  <si>
    <t>&gt;5</t>
  </si>
  <si>
    <t>Total</t>
  </si>
  <si>
    <t>KWh/Annum</t>
  </si>
  <si>
    <t>MWh/Annum</t>
  </si>
  <si>
    <t>Spain - Canary Islands</t>
  </si>
  <si>
    <t>North of Santa Cruz De Tenerife</t>
  </si>
  <si>
    <t>Pelamis Performance Matrix</t>
  </si>
  <si>
    <t>Pelamis</t>
  </si>
  <si>
    <t>France - Brest</t>
  </si>
  <si>
    <t>East of Brest</t>
  </si>
  <si>
    <t>Scotland - Tiree</t>
  </si>
  <si>
    <t>East of Tiree</t>
  </si>
  <si>
    <t>Scotland - North Uist</t>
  </si>
  <si>
    <t>Southeast of Uist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</si>
</sst>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6" xfId="0" applyBorder="1"/>
    <xf numFmtId="0" fontId="0" fillId="0" borderId="3" xfId="0" applyBorder="1"/>
    <xf numFmtId="164" fontId="0" fillId="0" borderId="1" xfId="1" applyFont="1" applyBorder="1"/>
    <xf numFmtId="164" fontId="0" fillId="0" borderId="1" xfId="0" applyNumberFormat="1" applyBorder="1"/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vertical="center"/>
    </xf>
    <xf numFmtId="0" fontId="2" fillId="2" borderId="0" xfId="2"/>
    <xf numFmtId="1" fontId="0" fillId="0" borderId="0" xfId="0" applyNumberFormat="1" applyBorder="1" applyAlignment="1"/>
    <xf numFmtId="1" fontId="0" fillId="0" borderId="3" xfId="0" applyNumberFormat="1" applyBorder="1" applyAlignment="1"/>
    <xf numFmtId="1" fontId="0" fillId="0" borderId="6" xfId="0" applyNumberFormat="1" applyBorder="1" applyAlignment="1"/>
    <xf numFmtId="164" fontId="0" fillId="0" borderId="11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164" fontId="0" fillId="0" borderId="0" xfId="0" applyNumberFormat="1"/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</cellXfs>
  <cellStyles count="209">
    <cellStyle name="Comma" xfId="1" builtinId="3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6" builtinId="9" hidden="1"/>
    <cellStyle name="Followed Hyperlink" xfId="130" builtinId="9" hidden="1"/>
    <cellStyle name="Followed Hyperlink" xfId="134" builtinId="9" hidden="1"/>
    <cellStyle name="Followed Hyperlink" xfId="138" builtinId="9" hidden="1"/>
    <cellStyle name="Followed Hyperlink" xfId="142" builtinId="9" hidden="1"/>
    <cellStyle name="Followed Hyperlink" xfId="146" builtinId="9" hidden="1"/>
    <cellStyle name="Followed Hyperlink" xfId="150" builtinId="9" hidden="1"/>
    <cellStyle name="Followed Hyperlink" xfId="154" builtinId="9" hidden="1"/>
    <cellStyle name="Followed Hyperlink" xfId="158" builtinId="9" hidden="1"/>
    <cellStyle name="Followed Hyperlink" xfId="162" builtinId="9" hidden="1"/>
    <cellStyle name="Followed Hyperlink" xfId="166" builtinId="9" hidden="1"/>
    <cellStyle name="Followed Hyperlink" xfId="170" builtinId="9" hidden="1"/>
    <cellStyle name="Followed Hyperlink" xfId="174" builtinId="9" hidden="1"/>
    <cellStyle name="Followed Hyperlink" xfId="178" builtinId="9" hidden="1"/>
    <cellStyle name="Followed Hyperlink" xfId="182" builtinId="9" hidden="1"/>
    <cellStyle name="Followed Hyperlink" xfId="186" builtinId="9" hidden="1"/>
    <cellStyle name="Followed Hyperlink" xfId="190" builtinId="9" hidden="1"/>
    <cellStyle name="Followed Hyperlink" xfId="194" builtinId="9" hidden="1"/>
    <cellStyle name="Followed Hyperlink" xfId="198" builtinId="9" hidden="1"/>
    <cellStyle name="Followed Hyperlink" xfId="202" builtinId="9" hidden="1"/>
    <cellStyle name="Followed Hyperlink" xfId="206" builtinId="9" hidden="1"/>
    <cellStyle name="Followed Hyperlink" xfId="208" builtinId="9" hidden="1"/>
    <cellStyle name="Followed Hyperlink" xfId="204" builtinId="9" hidden="1"/>
    <cellStyle name="Followed Hyperlink" xfId="200" builtinId="9" hidden="1"/>
    <cellStyle name="Followed Hyperlink" xfId="196" builtinId="9" hidden="1"/>
    <cellStyle name="Followed Hyperlink" xfId="192" builtinId="9" hidden="1"/>
    <cellStyle name="Followed Hyperlink" xfId="188" builtinId="9" hidden="1"/>
    <cellStyle name="Followed Hyperlink" xfId="184" builtinId="9" hidden="1"/>
    <cellStyle name="Followed Hyperlink" xfId="180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60" builtinId="9" hidden="1"/>
    <cellStyle name="Followed Hyperlink" xfId="156" builtinId="9" hidden="1"/>
    <cellStyle name="Followed Hyperlink" xfId="152" builtinId="9" hidden="1"/>
    <cellStyle name="Followed Hyperlink" xfId="148" builtinId="9" hidden="1"/>
    <cellStyle name="Followed Hyperlink" xfId="144" builtinId="9" hidden="1"/>
    <cellStyle name="Followed Hyperlink" xfId="140" builtinId="9" hidden="1"/>
    <cellStyle name="Followed Hyperlink" xfId="136" builtinId="9" hidden="1"/>
    <cellStyle name="Followed Hyperlink" xfId="132" builtinId="9" hidden="1"/>
    <cellStyle name="Followed Hyperlink" xfId="128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Good" xfId="2" builtinId="26"/>
    <cellStyle name="Hyperlink" xfId="97" builtinId="8" hidden="1"/>
    <cellStyle name="Hyperlink" xfId="99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13" builtinId="8" hidden="1"/>
    <cellStyle name="Hyperlink" xfId="115" builtinId="8" hidden="1"/>
    <cellStyle name="Hyperlink" xfId="119" builtinId="8" hidden="1"/>
    <cellStyle name="Hyperlink" xfId="121" builtinId="8" hidden="1"/>
    <cellStyle name="Hyperlink" xfId="123" builtinId="8" hidden="1"/>
    <cellStyle name="Hyperlink" xfId="127" builtinId="8" hidden="1"/>
    <cellStyle name="Hyperlink" xfId="129" builtinId="8" hidden="1"/>
    <cellStyle name="Hyperlink" xfId="131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51" builtinId="8" hidden="1"/>
    <cellStyle name="Hyperlink" xfId="153" builtinId="8" hidden="1"/>
    <cellStyle name="Hyperlink" xfId="155" builtinId="8" hidden="1"/>
    <cellStyle name="Hyperlink" xfId="159" builtinId="8" hidden="1"/>
    <cellStyle name="Hyperlink" xfId="161" builtinId="8" hidden="1"/>
    <cellStyle name="Hyperlink" xfId="163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79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93" builtinId="8" hidden="1"/>
    <cellStyle name="Hyperlink" xfId="195" builtinId="8" hidden="1"/>
    <cellStyle name="Hyperlink" xfId="19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5" builtinId="8" hidden="1"/>
    <cellStyle name="Hyperlink" xfId="197" builtinId="8" hidden="1"/>
    <cellStyle name="Hyperlink" xfId="189" builtinId="8" hidden="1"/>
    <cellStyle name="Hyperlink" xfId="181" builtinId="8" hidden="1"/>
    <cellStyle name="Hyperlink" xfId="173" builtinId="8" hidden="1"/>
    <cellStyle name="Hyperlink" xfId="165" builtinId="8" hidden="1"/>
    <cellStyle name="Hyperlink" xfId="157" builtinId="8" hidden="1"/>
    <cellStyle name="Hyperlink" xfId="149" builtinId="8" hidden="1"/>
    <cellStyle name="Hyperlink" xfId="141" builtinId="8" hidden="1"/>
    <cellStyle name="Hyperlink" xfId="133" builtinId="8" hidden="1"/>
    <cellStyle name="Hyperlink" xfId="125" builtinId="8" hidden="1"/>
    <cellStyle name="Hyperlink" xfId="117" builtinId="8" hidden="1"/>
    <cellStyle name="Hyperlink" xfId="109" builtinId="8" hidden="1"/>
    <cellStyle name="Hyperlink" xfId="10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85" builtinId="8" hidden="1"/>
    <cellStyle name="Hyperlink" xfId="69" builtinId="8" hidden="1"/>
    <cellStyle name="Hyperlink" xfId="53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3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7" builtinId="8" hidden="1"/>
    <cellStyle name="Hyperlink" xfId="9" builtinId="8" hidden="1"/>
    <cellStyle name="Hyperlink" xfId="5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152400</xdr:rowOff>
    </xdr:from>
    <xdr:to>
      <xdr:col>12</xdr:col>
      <xdr:colOff>0</xdr:colOff>
      <xdr:row>21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85800"/>
          <a:ext cx="7404100" cy="30734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25</xdr:row>
      <xdr:rowOff>38100</xdr:rowOff>
    </xdr:from>
    <xdr:to>
      <xdr:col>12</xdr:col>
      <xdr:colOff>0</xdr:colOff>
      <xdr:row>42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4483100"/>
          <a:ext cx="7366000" cy="3035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19050</xdr:rowOff>
    </xdr:from>
    <xdr:to>
      <xdr:col>12</xdr:col>
      <xdr:colOff>0</xdr:colOff>
      <xdr:row>64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100" y="8382000"/>
          <a:ext cx="7353300" cy="3022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11</xdr:col>
      <xdr:colOff>581025</xdr:colOff>
      <xdr:row>85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100" y="12268200"/>
          <a:ext cx="7366000" cy="30226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92</xdr:row>
      <xdr:rowOff>0</xdr:rowOff>
    </xdr:from>
    <xdr:to>
      <xdr:col>11</xdr:col>
      <xdr:colOff>581025</xdr:colOff>
      <xdr:row>109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400" y="16357600"/>
          <a:ext cx="73406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D112"/>
  <sheetViews>
    <sheetView showGridLines="0" tabSelected="1" zoomScale="70" zoomScaleNormal="70" zoomScalePageLayoutView="85" workbookViewId="0">
      <selection activeCell="C3" sqref="C3"/>
    </sheetView>
  </sheetViews>
  <sheetFormatPr defaultColWidth="8.88671875" defaultRowHeight="14.4" x14ac:dyDescent="0.3"/>
  <cols>
    <col min="23" max="23" width="9.109375" bestFit="1" customWidth="1"/>
    <col min="27" max="27" width="9.88671875" bestFit="1" customWidth="1"/>
    <col min="28" max="28" width="9.44140625" bestFit="1" customWidth="1"/>
    <col min="55" max="56" width="10.6640625" customWidth="1"/>
    <col min="57" max="57" width="11.109375" customWidth="1"/>
    <col min="58" max="58" width="11.6640625" customWidth="1"/>
    <col min="59" max="59" width="11" customWidth="1"/>
    <col min="60" max="60" width="14" customWidth="1"/>
    <col min="62" max="62" width="10.33203125" customWidth="1"/>
    <col min="63" max="63" width="11.109375" customWidth="1"/>
    <col min="80" max="80" width="10.33203125" customWidth="1"/>
    <col min="81" max="81" width="11" bestFit="1" customWidth="1"/>
  </cols>
  <sheetData>
    <row r="2" spans="2:80" x14ac:dyDescent="0.3">
      <c r="U2" s="2" t="s">
        <v>0</v>
      </c>
      <c r="AG2" s="2" t="s">
        <v>1</v>
      </c>
      <c r="AH2" s="2"/>
      <c r="AI2" s="2"/>
      <c r="AV2" s="2" t="s">
        <v>2</v>
      </c>
      <c r="BB2" t="s">
        <v>3</v>
      </c>
      <c r="BN2" s="2" t="s">
        <v>4</v>
      </c>
    </row>
    <row r="3" spans="2:80" x14ac:dyDescent="0.3">
      <c r="B3" t="s">
        <v>5</v>
      </c>
      <c r="E3" t="s">
        <v>6</v>
      </c>
      <c r="U3">
        <f>(5*8760)</f>
        <v>43800</v>
      </c>
      <c r="AV3" s="2" t="s">
        <v>5</v>
      </c>
      <c r="AW3" s="2"/>
      <c r="AX3" s="2"/>
      <c r="AY3" s="2" t="s">
        <v>6</v>
      </c>
      <c r="AZ3" s="2"/>
      <c r="BN3" s="2" t="s">
        <v>5</v>
      </c>
      <c r="BO3" s="2"/>
      <c r="BP3" s="2"/>
      <c r="BQ3" s="2" t="s">
        <v>6</v>
      </c>
      <c r="BR3" s="2"/>
    </row>
    <row r="5" spans="2:80" x14ac:dyDescent="0.3">
      <c r="P5" s="28" t="s">
        <v>7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G5" s="28" t="s">
        <v>8</v>
      </c>
      <c r="AH5" s="28"/>
      <c r="AI5" s="27" t="s">
        <v>7</v>
      </c>
      <c r="AJ5" s="27"/>
      <c r="AK5" s="27"/>
      <c r="AL5" s="27"/>
      <c r="AM5" s="27"/>
      <c r="AN5" s="27"/>
      <c r="AO5" s="27"/>
      <c r="AP5" s="27"/>
      <c r="AQ5" s="27"/>
      <c r="AR5" s="27"/>
      <c r="AS5" s="27"/>
      <c r="AV5" s="28" t="s">
        <v>8</v>
      </c>
      <c r="AW5" s="28"/>
      <c r="AX5" s="33" t="s">
        <v>7</v>
      </c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5"/>
      <c r="BN5" s="28" t="s">
        <v>8</v>
      </c>
      <c r="BO5" s="28"/>
      <c r="BP5" s="33" t="s">
        <v>7</v>
      </c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5"/>
    </row>
    <row r="6" spans="2:80" x14ac:dyDescent="0.3"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G6" s="28"/>
      <c r="AH6" s="28"/>
      <c r="AI6" s="11" t="s">
        <v>9</v>
      </c>
      <c r="AJ6" s="3">
        <v>2</v>
      </c>
      <c r="AK6" s="3">
        <v>3</v>
      </c>
      <c r="AL6" s="3">
        <v>4</v>
      </c>
      <c r="AM6" s="3">
        <v>5</v>
      </c>
      <c r="AN6" s="3">
        <v>6</v>
      </c>
      <c r="AO6" s="3">
        <v>7</v>
      </c>
      <c r="AP6" s="3">
        <v>8</v>
      </c>
      <c r="AQ6" s="3">
        <v>9</v>
      </c>
      <c r="AR6" s="3">
        <v>10</v>
      </c>
      <c r="AS6" s="3" t="s">
        <v>10</v>
      </c>
      <c r="AV6" s="28"/>
      <c r="AW6" s="28"/>
      <c r="AX6" s="11" t="s">
        <v>9</v>
      </c>
      <c r="AY6" s="3">
        <v>2</v>
      </c>
      <c r="AZ6" s="3">
        <v>3</v>
      </c>
      <c r="BA6" s="3">
        <v>4</v>
      </c>
      <c r="BB6" s="3">
        <v>5</v>
      </c>
      <c r="BC6" s="3">
        <v>6</v>
      </c>
      <c r="BD6" s="3">
        <v>7</v>
      </c>
      <c r="BE6" s="3">
        <v>8</v>
      </c>
      <c r="BF6" s="3">
        <v>9</v>
      </c>
      <c r="BG6" s="3">
        <v>10</v>
      </c>
      <c r="BH6" s="3" t="s">
        <v>10</v>
      </c>
      <c r="BI6" s="27" t="s">
        <v>11</v>
      </c>
      <c r="BJ6" s="27"/>
      <c r="BN6" s="28"/>
      <c r="BO6" s="28"/>
      <c r="BP6" s="11" t="s">
        <v>9</v>
      </c>
      <c r="BQ6" s="3">
        <v>2</v>
      </c>
      <c r="BR6" s="3">
        <v>3</v>
      </c>
      <c r="BS6" s="3">
        <v>4</v>
      </c>
      <c r="BT6" s="3">
        <v>5</v>
      </c>
      <c r="BU6" s="3">
        <v>6</v>
      </c>
      <c r="BV6" s="3">
        <v>7</v>
      </c>
      <c r="BW6" s="3">
        <v>8</v>
      </c>
      <c r="BX6" s="3">
        <v>9</v>
      </c>
      <c r="BY6" s="3">
        <v>10</v>
      </c>
      <c r="BZ6" s="3" t="s">
        <v>10</v>
      </c>
      <c r="CA6" s="27" t="s">
        <v>11</v>
      </c>
      <c r="CB6" s="27"/>
    </row>
    <row r="7" spans="2:80" x14ac:dyDescent="0.3">
      <c r="P7" s="28" t="s">
        <v>12</v>
      </c>
      <c r="Q7" s="28"/>
      <c r="R7" s="3" t="s">
        <v>9</v>
      </c>
      <c r="S7" s="3">
        <v>2</v>
      </c>
      <c r="T7" s="3">
        <v>3</v>
      </c>
      <c r="U7" s="3">
        <v>4</v>
      </c>
      <c r="V7" s="3">
        <v>5</v>
      </c>
      <c r="W7" s="3">
        <v>6</v>
      </c>
      <c r="X7" s="3">
        <v>7</v>
      </c>
      <c r="Y7" s="3">
        <v>8</v>
      </c>
      <c r="Z7" s="3">
        <v>9</v>
      </c>
      <c r="AA7" s="3">
        <v>10</v>
      </c>
      <c r="AB7" s="3" t="s">
        <v>10</v>
      </c>
      <c r="AC7" s="27" t="s">
        <v>13</v>
      </c>
      <c r="AD7" s="27"/>
      <c r="AG7" s="28" t="s">
        <v>12</v>
      </c>
      <c r="AH7" s="10" t="s">
        <v>14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V7" s="30" t="s">
        <v>12</v>
      </c>
      <c r="AW7" s="10" t="s">
        <v>14</v>
      </c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27">
        <f>SUM(AY7:BH7)</f>
        <v>0</v>
      </c>
      <c r="BJ7" s="27"/>
      <c r="BN7" s="30" t="s">
        <v>12</v>
      </c>
      <c r="BO7" s="10" t="s">
        <v>14</v>
      </c>
      <c r="BP7" s="3">
        <f>AI28*S8</f>
        <v>0</v>
      </c>
      <c r="BQ7" s="3">
        <f t="shared" ref="BQ7:BZ17" si="0">AJ28*T8</f>
        <v>0</v>
      </c>
      <c r="BR7" s="3">
        <f t="shared" si="0"/>
        <v>0</v>
      </c>
      <c r="BS7" s="3">
        <f t="shared" si="0"/>
        <v>0</v>
      </c>
      <c r="BT7" s="3">
        <f t="shared" si="0"/>
        <v>0</v>
      </c>
      <c r="BU7" s="3">
        <f t="shared" si="0"/>
        <v>0</v>
      </c>
      <c r="BV7" s="3">
        <f t="shared" si="0"/>
        <v>0</v>
      </c>
      <c r="BW7" s="3">
        <f t="shared" si="0"/>
        <v>0</v>
      </c>
      <c r="BX7" s="3">
        <f t="shared" si="0"/>
        <v>0</v>
      </c>
      <c r="BY7" s="3">
        <f t="shared" si="0"/>
        <v>0</v>
      </c>
      <c r="BZ7" s="3">
        <f t="shared" si="0"/>
        <v>0</v>
      </c>
      <c r="CA7" s="27">
        <f>SUM(BQ7:BZ7)</f>
        <v>0</v>
      </c>
      <c r="CB7" s="27"/>
    </row>
    <row r="8" spans="2:80" x14ac:dyDescent="0.3">
      <c r="P8" s="28"/>
      <c r="Q8" s="28"/>
      <c r="R8" s="3" t="s">
        <v>14</v>
      </c>
      <c r="S8" s="3"/>
      <c r="T8" s="3"/>
      <c r="U8" s="3"/>
      <c r="V8" s="3"/>
      <c r="W8" s="7">
        <f>0.00095*U3</f>
        <v>41.61</v>
      </c>
      <c r="X8" s="3"/>
      <c r="Y8" s="3"/>
      <c r="Z8" s="3"/>
      <c r="AA8" s="3"/>
      <c r="AB8" s="3"/>
      <c r="AC8" s="27">
        <f>SUM(S8:AB8)</f>
        <v>41.61</v>
      </c>
      <c r="AD8" s="27"/>
      <c r="AG8" s="28"/>
      <c r="AH8" s="12">
        <v>1</v>
      </c>
      <c r="AI8" s="3"/>
      <c r="AJ8" s="3"/>
      <c r="AK8" s="3"/>
      <c r="AL8" s="3"/>
      <c r="AM8" s="3"/>
      <c r="AN8" s="3">
        <v>6</v>
      </c>
      <c r="AO8" s="3">
        <v>8</v>
      </c>
      <c r="AP8" s="3">
        <v>11</v>
      </c>
      <c r="AQ8" s="3">
        <v>12</v>
      </c>
      <c r="AR8" s="3">
        <v>11</v>
      </c>
      <c r="AS8" s="3">
        <v>5</v>
      </c>
      <c r="AV8" s="31"/>
      <c r="AW8" s="12">
        <v>1</v>
      </c>
      <c r="AX8" s="3"/>
      <c r="AY8" s="3"/>
      <c r="AZ8" s="3"/>
      <c r="BA8" s="3"/>
      <c r="BB8" s="3"/>
      <c r="BC8" s="8">
        <f>AN8*W9</f>
        <v>4407.1559999999999</v>
      </c>
      <c r="BD8" s="8">
        <f t="shared" ref="BD8:BH17" si="1">AO8*X9</f>
        <v>3486.48</v>
      </c>
      <c r="BE8" s="8">
        <f t="shared" si="1"/>
        <v>8802.4860000000008</v>
      </c>
      <c r="BF8" s="8">
        <f t="shared" si="1"/>
        <v>8851.1039999999994</v>
      </c>
      <c r="BG8" s="8">
        <f t="shared" si="1"/>
        <v>7453.4459999999999</v>
      </c>
      <c r="BH8" s="8">
        <f t="shared" si="1"/>
        <v>4224.51</v>
      </c>
      <c r="BI8" s="27">
        <f t="shared" ref="BI8:BI16" si="2">SUM(AY8:BH8)</f>
        <v>37225.182000000008</v>
      </c>
      <c r="BJ8" s="27"/>
      <c r="BN8" s="31"/>
      <c r="BO8" s="12">
        <v>1</v>
      </c>
      <c r="BP8" s="3">
        <f t="shared" ref="BP8:BP17" si="3">AI29*S9</f>
        <v>0</v>
      </c>
      <c r="BQ8" s="3">
        <f t="shared" si="0"/>
        <v>0</v>
      </c>
      <c r="BR8" s="3">
        <f t="shared" si="0"/>
        <v>0</v>
      </c>
      <c r="BS8" s="3">
        <f t="shared" si="0"/>
        <v>0</v>
      </c>
      <c r="BT8" s="3">
        <f t="shared" si="0"/>
        <v>0</v>
      </c>
      <c r="BU8" s="3">
        <f t="shared" si="0"/>
        <v>11113.155000000001</v>
      </c>
      <c r="BV8" s="3">
        <f t="shared" si="0"/>
        <v>28408.023000000005</v>
      </c>
      <c r="BW8" s="3">
        <f t="shared" si="0"/>
        <v>28028.495999999999</v>
      </c>
      <c r="BX8" s="3">
        <f t="shared" si="0"/>
        <v>24393.096000000001</v>
      </c>
      <c r="BY8" s="3">
        <f t="shared" si="0"/>
        <v>25769.511000000002</v>
      </c>
      <c r="BZ8" s="3">
        <f t="shared" si="0"/>
        <v>52711.635599999994</v>
      </c>
      <c r="CA8" s="27">
        <f t="shared" ref="CA8:CA16" si="4">SUM(BQ8:BZ8)</f>
        <v>170423.9166</v>
      </c>
      <c r="CB8" s="27"/>
    </row>
    <row r="9" spans="2:80" x14ac:dyDescent="0.3">
      <c r="P9" s="28"/>
      <c r="Q9" s="28"/>
      <c r="R9" s="10">
        <v>1</v>
      </c>
      <c r="S9" s="3"/>
      <c r="T9" s="3"/>
      <c r="U9" s="7">
        <f>0.00075*U3</f>
        <v>32.85</v>
      </c>
      <c r="V9" s="7">
        <f>0.00552*U3</f>
        <v>241.77599999999998</v>
      </c>
      <c r="W9" s="7">
        <f>0.01677*U3</f>
        <v>734.52599999999995</v>
      </c>
      <c r="X9" s="7">
        <f>0.00995*U3</f>
        <v>435.81</v>
      </c>
      <c r="Y9" s="7">
        <f>0.01827*U3</f>
        <v>800.22600000000011</v>
      </c>
      <c r="Z9" s="7">
        <f>0.01684*U3</f>
        <v>737.59199999999998</v>
      </c>
      <c r="AA9" s="7">
        <f>0.01547*U3</f>
        <v>677.58600000000001</v>
      </c>
      <c r="AB9" s="7">
        <f>0.01929*U3</f>
        <v>844.90200000000004</v>
      </c>
      <c r="AC9" s="27">
        <f t="shared" ref="AC9:AC17" si="5">SUM(S9:AB9)</f>
        <v>4505.268</v>
      </c>
      <c r="AD9" s="27"/>
      <c r="AG9" s="28"/>
      <c r="AH9" s="10">
        <v>1.5</v>
      </c>
      <c r="AI9" s="3"/>
      <c r="AJ9" s="3"/>
      <c r="AK9" s="3"/>
      <c r="AL9" s="3"/>
      <c r="AM9" s="3"/>
      <c r="AN9" s="3">
        <v>13</v>
      </c>
      <c r="AO9" s="3">
        <v>17</v>
      </c>
      <c r="AP9" s="3">
        <v>25</v>
      </c>
      <c r="AQ9" s="3">
        <v>26</v>
      </c>
      <c r="AR9" s="3">
        <v>26</v>
      </c>
      <c r="AS9" s="3">
        <v>15.2</v>
      </c>
      <c r="AV9" s="31"/>
      <c r="AW9" s="10">
        <v>1.5</v>
      </c>
      <c r="AX9" s="3"/>
      <c r="AY9" s="3"/>
      <c r="AZ9" s="3"/>
      <c r="BA9" s="3"/>
      <c r="BB9" s="3"/>
      <c r="BC9" s="8">
        <f t="shared" ref="BC9:BC17" si="6">AN9*W10</f>
        <v>10556.675999999999</v>
      </c>
      <c r="BD9" s="8">
        <f t="shared" si="1"/>
        <v>9538.3259999999991</v>
      </c>
      <c r="BE9" s="8">
        <f t="shared" si="1"/>
        <v>23881.95</v>
      </c>
      <c r="BF9" s="8">
        <f t="shared" si="1"/>
        <v>45403.955999999998</v>
      </c>
      <c r="BG9" s="8">
        <f t="shared" si="1"/>
        <v>51769.847999999998</v>
      </c>
      <c r="BH9" s="8">
        <f t="shared" si="1"/>
        <v>56090.28</v>
      </c>
      <c r="BI9" s="27">
        <f t="shared" si="2"/>
        <v>197241.03599999999</v>
      </c>
      <c r="BJ9" s="27"/>
      <c r="BN9" s="31"/>
      <c r="BO9" s="10">
        <v>1.5</v>
      </c>
      <c r="BP9" s="3">
        <f t="shared" si="3"/>
        <v>0</v>
      </c>
      <c r="BQ9" s="3">
        <f t="shared" si="0"/>
        <v>0</v>
      </c>
      <c r="BR9" s="3">
        <f t="shared" si="0"/>
        <v>0</v>
      </c>
      <c r="BS9" s="3">
        <f t="shared" si="0"/>
        <v>0</v>
      </c>
      <c r="BT9" s="3">
        <f t="shared" si="0"/>
        <v>25985.664000000001</v>
      </c>
      <c r="BU9" s="3">
        <f t="shared" si="0"/>
        <v>32261.984999999997</v>
      </c>
      <c r="BV9" s="3">
        <f t="shared" si="0"/>
        <v>75944.600999999995</v>
      </c>
      <c r="BW9" s="3">
        <f t="shared" si="0"/>
        <v>150182.31599999999</v>
      </c>
      <c r="BX9" s="3">
        <f t="shared" si="0"/>
        <v>160287.41399999999</v>
      </c>
      <c r="BY9" s="3">
        <f t="shared" si="0"/>
        <v>252775.27499999999</v>
      </c>
      <c r="BZ9" s="3">
        <f t="shared" si="0"/>
        <v>453919.37280000001</v>
      </c>
      <c r="CA9" s="27">
        <f t="shared" si="4"/>
        <v>1151356.6277999999</v>
      </c>
      <c r="CB9" s="27"/>
    </row>
    <row r="10" spans="2:80" x14ac:dyDescent="0.3">
      <c r="P10" s="28"/>
      <c r="Q10" s="28"/>
      <c r="R10" s="10">
        <v>1.5</v>
      </c>
      <c r="S10" s="3"/>
      <c r="T10" s="3"/>
      <c r="U10" s="7"/>
      <c r="V10" s="7">
        <f>0.00654*U3</f>
        <v>286.452</v>
      </c>
      <c r="W10" s="7">
        <f>0.01854*U3</f>
        <v>812.05200000000002</v>
      </c>
      <c r="X10" s="7">
        <f>0.01281*U3</f>
        <v>561.07799999999997</v>
      </c>
      <c r="Y10" s="7">
        <f>0.02181*U3</f>
        <v>955.27800000000002</v>
      </c>
      <c r="Z10" s="7">
        <f>0.03987*U3</f>
        <v>1746.306</v>
      </c>
      <c r="AA10" s="7">
        <f>0.04546*U3</f>
        <v>1991.1479999999999</v>
      </c>
      <c r="AB10" s="7">
        <f>0.08425*U3</f>
        <v>3690.15</v>
      </c>
      <c r="AC10" s="27">
        <f t="shared" si="5"/>
        <v>10042.464</v>
      </c>
      <c r="AD10" s="27"/>
      <c r="AG10" s="28"/>
      <c r="AH10" s="10">
        <v>2</v>
      </c>
      <c r="AI10" s="3"/>
      <c r="AJ10" s="3"/>
      <c r="AK10" s="3"/>
      <c r="AL10" s="3"/>
      <c r="AM10" s="3"/>
      <c r="AN10" s="3">
        <v>24</v>
      </c>
      <c r="AO10" s="3">
        <v>30</v>
      </c>
      <c r="AP10" s="3">
        <v>44</v>
      </c>
      <c r="AQ10" s="3">
        <v>47</v>
      </c>
      <c r="AR10" s="3">
        <v>47</v>
      </c>
      <c r="AS10" s="3">
        <v>27.6</v>
      </c>
      <c r="AV10" s="31"/>
      <c r="AW10" s="10">
        <v>2</v>
      </c>
      <c r="AX10" s="3"/>
      <c r="AY10" s="3"/>
      <c r="AZ10" s="3"/>
      <c r="BA10" s="3"/>
      <c r="BB10" s="3"/>
      <c r="BC10" s="8">
        <f t="shared" si="6"/>
        <v>13108.464</v>
      </c>
      <c r="BD10" s="8">
        <f t="shared" si="1"/>
        <v>18356.579999999998</v>
      </c>
      <c r="BE10" s="8">
        <f t="shared" si="1"/>
        <v>21681</v>
      </c>
      <c r="BF10" s="8">
        <f t="shared" si="1"/>
        <v>29190.947999999997</v>
      </c>
      <c r="BG10" s="8">
        <f t="shared" si="1"/>
        <v>48685.890000000007</v>
      </c>
      <c r="BH10" s="8">
        <f t="shared" si="1"/>
        <v>160515.0864</v>
      </c>
      <c r="BI10" s="27">
        <f t="shared" si="2"/>
        <v>291537.96840000001</v>
      </c>
      <c r="BJ10" s="27"/>
      <c r="BN10" s="31"/>
      <c r="BO10" s="10">
        <v>2</v>
      </c>
      <c r="BP10" s="3">
        <f t="shared" si="3"/>
        <v>0</v>
      </c>
      <c r="BQ10" s="3">
        <f t="shared" si="0"/>
        <v>0</v>
      </c>
      <c r="BR10" s="3">
        <f t="shared" si="0"/>
        <v>0</v>
      </c>
      <c r="BS10" s="3">
        <f t="shared" si="0"/>
        <v>0</v>
      </c>
      <c r="BT10" s="3">
        <f t="shared" si="0"/>
        <v>31132.602000000003</v>
      </c>
      <c r="BU10" s="3">
        <f t="shared" si="0"/>
        <v>62106.428999999996</v>
      </c>
      <c r="BV10" s="3">
        <f t="shared" si="0"/>
        <v>69970.5</v>
      </c>
      <c r="BW10" s="3">
        <f t="shared" si="0"/>
        <v>94715.31</v>
      </c>
      <c r="BX10" s="3">
        <f t="shared" si="0"/>
        <v>147611.47500000001</v>
      </c>
      <c r="BY10" s="3">
        <f t="shared" si="0"/>
        <v>706615.326</v>
      </c>
      <c r="BZ10" s="3">
        <f t="shared" si="0"/>
        <v>731868.30359999987</v>
      </c>
      <c r="CA10" s="27">
        <f t="shared" si="4"/>
        <v>1844019.9455999997</v>
      </c>
      <c r="CB10" s="27"/>
    </row>
    <row r="11" spans="2:80" x14ac:dyDescent="0.3">
      <c r="P11" s="28"/>
      <c r="Q11" s="28"/>
      <c r="R11" s="10">
        <v>2</v>
      </c>
      <c r="S11" s="3"/>
      <c r="T11" s="3"/>
      <c r="U11" s="3"/>
      <c r="V11" s="7">
        <f>0.00109*U3</f>
        <v>47.742000000000004</v>
      </c>
      <c r="W11" s="7">
        <f>0.01247*U3</f>
        <v>546.18600000000004</v>
      </c>
      <c r="X11" s="7">
        <f>0.01397*U3</f>
        <v>611.88599999999997</v>
      </c>
      <c r="Y11" s="7">
        <f>0.01125*U3</f>
        <v>492.75</v>
      </c>
      <c r="Z11" s="7">
        <f>0.01418*U3</f>
        <v>621.08399999999995</v>
      </c>
      <c r="AA11" s="7">
        <f>0.02365*U3</f>
        <v>1035.8700000000001</v>
      </c>
      <c r="AB11" s="7">
        <f>0.13278*U3</f>
        <v>5815.7640000000001</v>
      </c>
      <c r="AC11" s="27">
        <f t="shared" si="5"/>
        <v>9171.2819999999992</v>
      </c>
      <c r="AD11" s="27"/>
      <c r="AG11" s="28"/>
      <c r="AH11" s="10">
        <v>2.5</v>
      </c>
      <c r="AI11" s="3"/>
      <c r="AJ11" s="3"/>
      <c r="AK11" s="3"/>
      <c r="AL11" s="3"/>
      <c r="AM11" s="3"/>
      <c r="AN11" s="3">
        <v>37</v>
      </c>
      <c r="AO11" s="3">
        <v>47</v>
      </c>
      <c r="AP11" s="3">
        <v>69</v>
      </c>
      <c r="AQ11" s="3">
        <v>73</v>
      </c>
      <c r="AR11" s="3">
        <v>73</v>
      </c>
      <c r="AS11" s="3">
        <v>43.2</v>
      </c>
      <c r="AV11" s="31"/>
      <c r="AW11" s="10">
        <v>2.5</v>
      </c>
      <c r="AX11" s="3"/>
      <c r="AY11" s="3"/>
      <c r="AZ11" s="3"/>
      <c r="BA11" s="3"/>
      <c r="BB11" s="3"/>
      <c r="BC11" s="8">
        <f t="shared" si="6"/>
        <v>4083.9120000000003</v>
      </c>
      <c r="BD11" s="8">
        <f t="shared" si="1"/>
        <v>16983.45</v>
      </c>
      <c r="BE11" s="8">
        <f t="shared" si="1"/>
        <v>30886.884000000002</v>
      </c>
      <c r="BF11" s="8">
        <f t="shared" si="1"/>
        <v>32037.947999999997</v>
      </c>
      <c r="BG11" s="8">
        <f t="shared" si="1"/>
        <v>32677.428000000004</v>
      </c>
      <c r="BH11" s="8">
        <f t="shared" si="1"/>
        <v>220417.71840000001</v>
      </c>
      <c r="BI11" s="27">
        <f t="shared" si="2"/>
        <v>337087.34039999999</v>
      </c>
      <c r="BJ11" s="27"/>
      <c r="BN11" s="31"/>
      <c r="BO11" s="10">
        <v>2.5</v>
      </c>
      <c r="BP11" s="3">
        <f t="shared" si="3"/>
        <v>0</v>
      </c>
      <c r="BQ11" s="3">
        <f t="shared" si="0"/>
        <v>0</v>
      </c>
      <c r="BR11" s="3">
        <f t="shared" si="0"/>
        <v>0</v>
      </c>
      <c r="BS11" s="3">
        <f t="shared" si="0"/>
        <v>0</v>
      </c>
      <c r="BT11" s="3">
        <f t="shared" si="0"/>
        <v>9823.4639999999999</v>
      </c>
      <c r="BU11" s="3">
        <f t="shared" si="0"/>
        <v>57454.65</v>
      </c>
      <c r="BV11" s="3">
        <f t="shared" si="0"/>
        <v>99151.374000000011</v>
      </c>
      <c r="BW11" s="3">
        <f t="shared" si="0"/>
        <v>104452.488</v>
      </c>
      <c r="BX11" s="3">
        <f t="shared" si="0"/>
        <v>99822.828000000009</v>
      </c>
      <c r="BY11" s="3">
        <f t="shared" si="0"/>
        <v>969429.77999999991</v>
      </c>
      <c r="BZ11" s="3">
        <f t="shared" si="0"/>
        <v>863900.24999999988</v>
      </c>
      <c r="CA11" s="27">
        <f t="shared" si="4"/>
        <v>2204034.8339999998</v>
      </c>
      <c r="CB11" s="27"/>
    </row>
    <row r="12" spans="2:80" x14ac:dyDescent="0.3">
      <c r="P12" s="28"/>
      <c r="Q12" s="28"/>
      <c r="R12" s="10">
        <v>2.5</v>
      </c>
      <c r="S12" s="3"/>
      <c r="T12" s="3"/>
      <c r="U12" s="3"/>
      <c r="V12" s="7">
        <f>U3*0.00007</f>
        <v>3.0659999999999998</v>
      </c>
      <c r="W12" s="7">
        <f>U3*0.00252</f>
        <v>110.376</v>
      </c>
      <c r="X12" s="7">
        <f>0.00825*U3</f>
        <v>361.35</v>
      </c>
      <c r="Y12" s="7">
        <f>0.01022*U3</f>
        <v>447.63600000000002</v>
      </c>
      <c r="Z12" s="7">
        <f>U3*0.01002</f>
        <v>438.87599999999998</v>
      </c>
      <c r="AA12" s="8">
        <f>Y12</f>
        <v>447.63600000000002</v>
      </c>
      <c r="AB12" s="7">
        <f>U3*0.11649</f>
        <v>5102.2619999999997</v>
      </c>
      <c r="AC12" s="27">
        <f t="shared" si="5"/>
        <v>6911.2019999999993</v>
      </c>
      <c r="AD12" s="27"/>
      <c r="AG12" s="28"/>
      <c r="AH12" s="10">
        <v>3</v>
      </c>
      <c r="AI12" s="3"/>
      <c r="AJ12" s="3"/>
      <c r="AK12" s="3"/>
      <c r="AL12" s="3"/>
      <c r="AM12" s="3"/>
      <c r="AN12" s="3">
        <v>54</v>
      </c>
      <c r="AO12" s="3">
        <v>68</v>
      </c>
      <c r="AP12" s="3">
        <v>99</v>
      </c>
      <c r="AQ12" s="3">
        <v>106</v>
      </c>
      <c r="AR12" s="3">
        <v>106</v>
      </c>
      <c r="AS12" s="3">
        <v>62</v>
      </c>
      <c r="AV12" s="31"/>
      <c r="AW12" s="10">
        <v>3</v>
      </c>
      <c r="AX12" s="3"/>
      <c r="AY12" s="3"/>
      <c r="AZ12" s="3"/>
      <c r="BA12" s="3"/>
      <c r="BB12" s="3"/>
      <c r="BC12" s="8">
        <f t="shared" si="6"/>
        <v>165.56399999999999</v>
      </c>
      <c r="BD12" s="8">
        <f t="shared" si="1"/>
        <v>11585.976000000001</v>
      </c>
      <c r="BE12" s="8">
        <f t="shared" si="1"/>
        <v>34559.514000000003</v>
      </c>
      <c r="BF12" s="8">
        <f t="shared" si="1"/>
        <v>22796.148000000001</v>
      </c>
      <c r="BG12" s="8">
        <f t="shared" si="1"/>
        <v>30085.344000000001</v>
      </c>
      <c r="BH12" s="8">
        <f t="shared" si="1"/>
        <v>226942.69200000004</v>
      </c>
      <c r="BI12" s="27">
        <f t="shared" si="2"/>
        <v>326135.23800000001</v>
      </c>
      <c r="BJ12" s="27"/>
      <c r="BN12" s="31"/>
      <c r="BO12" s="10">
        <v>3</v>
      </c>
      <c r="BP12" s="3">
        <f t="shared" si="3"/>
        <v>0</v>
      </c>
      <c r="BQ12" s="3">
        <f t="shared" si="0"/>
        <v>0</v>
      </c>
      <c r="BR12" s="3">
        <f t="shared" si="0"/>
        <v>0</v>
      </c>
      <c r="BS12" s="3">
        <f t="shared" si="0"/>
        <v>0</v>
      </c>
      <c r="BT12" s="3">
        <f t="shared" si="0"/>
        <v>395.51399999999995</v>
      </c>
      <c r="BU12" s="3">
        <f t="shared" si="0"/>
        <v>39017.478000000003</v>
      </c>
      <c r="BV12" s="3">
        <f t="shared" si="0"/>
        <v>111183.891</v>
      </c>
      <c r="BW12" s="3">
        <f t="shared" si="0"/>
        <v>72259.488000000012</v>
      </c>
      <c r="BX12" s="3">
        <f t="shared" si="0"/>
        <v>86140.584000000003</v>
      </c>
      <c r="BY12" s="3">
        <f t="shared" si="0"/>
        <v>926072.59800000011</v>
      </c>
      <c r="BZ12" s="3">
        <f t="shared" si="0"/>
        <v>831016.30500000005</v>
      </c>
      <c r="CA12" s="27">
        <f t="shared" si="4"/>
        <v>2066085.858</v>
      </c>
      <c r="CB12" s="27"/>
    </row>
    <row r="13" spans="2:80" ht="15.6" x14ac:dyDescent="0.3">
      <c r="M13" s="14"/>
      <c r="N13" s="14"/>
      <c r="O13" s="14"/>
      <c r="P13" s="28"/>
      <c r="Q13" s="28"/>
      <c r="R13" s="10">
        <v>3</v>
      </c>
      <c r="S13" s="3"/>
      <c r="T13" s="3"/>
      <c r="U13" s="3"/>
      <c r="V13" s="3"/>
      <c r="W13" s="7">
        <f>0.00007*U3</f>
        <v>3.0659999999999998</v>
      </c>
      <c r="X13" s="7">
        <f>U3*0.00389</f>
        <v>170.38200000000001</v>
      </c>
      <c r="Y13" s="7">
        <f>U3*0.00797</f>
        <v>349.08600000000001</v>
      </c>
      <c r="Z13" s="7">
        <f>U3*0.00491</f>
        <v>215.05800000000002</v>
      </c>
      <c r="AA13" s="7">
        <f>U3*0.00648</f>
        <v>283.82400000000001</v>
      </c>
      <c r="AB13" s="7">
        <f>U3*0.08357</f>
        <v>3660.3660000000004</v>
      </c>
      <c r="AC13" s="27">
        <f t="shared" si="5"/>
        <v>4681.7820000000002</v>
      </c>
      <c r="AD13" s="27"/>
      <c r="AG13" s="28"/>
      <c r="AH13" s="10">
        <v>3.5</v>
      </c>
      <c r="AI13" s="3"/>
      <c r="AJ13" s="3"/>
      <c r="AK13" s="3"/>
      <c r="AL13" s="3"/>
      <c r="AM13" s="3"/>
      <c r="AN13" s="3">
        <v>93</v>
      </c>
      <c r="AO13" s="3">
        <v>135</v>
      </c>
      <c r="AP13" s="3">
        <v>152</v>
      </c>
      <c r="AQ13" s="3">
        <v>126</v>
      </c>
      <c r="AR13" s="3">
        <v>126</v>
      </c>
      <c r="AS13" s="3">
        <v>70</v>
      </c>
      <c r="AV13" s="31"/>
      <c r="AW13" s="10">
        <v>3.5</v>
      </c>
      <c r="AX13" s="3"/>
      <c r="AY13" s="3"/>
      <c r="AZ13" s="3"/>
      <c r="BA13" s="3"/>
      <c r="BB13" s="3"/>
      <c r="BC13" s="8">
        <f t="shared" si="6"/>
        <v>285.13799999999998</v>
      </c>
      <c r="BD13" s="8">
        <f t="shared" si="1"/>
        <v>3252.15</v>
      </c>
      <c r="BE13" s="8">
        <f t="shared" si="1"/>
        <v>18574.703999999998</v>
      </c>
      <c r="BF13" s="8">
        <f t="shared" si="1"/>
        <v>18432.792000000001</v>
      </c>
      <c r="BG13" s="8">
        <f t="shared" si="1"/>
        <v>21799.260000000002</v>
      </c>
      <c r="BH13" s="8">
        <f t="shared" si="1"/>
        <v>169059.24</v>
      </c>
      <c r="BI13" s="27">
        <f t="shared" si="2"/>
        <v>231403.28399999999</v>
      </c>
      <c r="BJ13" s="27"/>
      <c r="BN13" s="31"/>
      <c r="BO13" s="10">
        <v>3.5</v>
      </c>
      <c r="BP13" s="3">
        <f t="shared" si="3"/>
        <v>0</v>
      </c>
      <c r="BQ13" s="3">
        <f t="shared" si="0"/>
        <v>0</v>
      </c>
      <c r="BR13" s="3">
        <f t="shared" si="0"/>
        <v>0</v>
      </c>
      <c r="BS13" s="3">
        <f t="shared" si="0"/>
        <v>0</v>
      </c>
      <c r="BT13" s="3">
        <f t="shared" si="0"/>
        <v>0</v>
      </c>
      <c r="BU13" s="3">
        <f t="shared" si="0"/>
        <v>7516.08</v>
      </c>
      <c r="BV13" s="3">
        <f t="shared" si="0"/>
        <v>51996.951000000001</v>
      </c>
      <c r="BW13" s="3">
        <f t="shared" si="0"/>
        <v>63198.144</v>
      </c>
      <c r="BX13" s="3">
        <f t="shared" si="0"/>
        <v>67560.405000000013</v>
      </c>
      <c r="BY13" s="3">
        <f t="shared" si="0"/>
        <v>830805.40800000005</v>
      </c>
      <c r="BZ13" s="3">
        <f t="shared" si="0"/>
        <v>662695.40159999998</v>
      </c>
      <c r="CA13" s="27">
        <f t="shared" si="4"/>
        <v>1683772.3896000001</v>
      </c>
      <c r="CB13" s="27"/>
    </row>
    <row r="14" spans="2:80" x14ac:dyDescent="0.3">
      <c r="P14" s="28"/>
      <c r="Q14" s="28"/>
      <c r="R14" s="10">
        <v>3.5</v>
      </c>
      <c r="S14" s="3"/>
      <c r="T14" s="3"/>
      <c r="U14" s="3"/>
      <c r="V14" s="3"/>
      <c r="W14" s="7">
        <f>U3*0.00007</f>
        <v>3.0659999999999998</v>
      </c>
      <c r="X14" s="7">
        <f>U3*0.00055</f>
        <v>24.09</v>
      </c>
      <c r="Y14" s="7">
        <f>U3*0.00279</f>
        <v>122.202</v>
      </c>
      <c r="Z14" s="7">
        <f>U3*0.00334</f>
        <v>146.292</v>
      </c>
      <c r="AA14" s="7">
        <f>U3*0.00395</f>
        <v>173.01000000000002</v>
      </c>
      <c r="AB14" s="7">
        <f>U3*0.05514</f>
        <v>2415.1320000000001</v>
      </c>
      <c r="AC14" s="27">
        <f t="shared" si="5"/>
        <v>2883.7919999999999</v>
      </c>
      <c r="AD14" s="27"/>
      <c r="AG14" s="28"/>
      <c r="AH14" s="10">
        <v>4</v>
      </c>
      <c r="AI14" s="3"/>
      <c r="AJ14" s="3"/>
      <c r="AK14" s="3"/>
      <c r="AL14" s="3"/>
      <c r="AM14" s="3"/>
      <c r="AN14" s="3">
        <v>122</v>
      </c>
      <c r="AO14" s="3">
        <v>176</v>
      </c>
      <c r="AP14" s="3">
        <v>198</v>
      </c>
      <c r="AQ14" s="3">
        <v>164</v>
      </c>
      <c r="AR14" s="3">
        <v>164</v>
      </c>
      <c r="AS14" s="3">
        <v>100</v>
      </c>
      <c r="AV14" s="31"/>
      <c r="AW14" s="10">
        <v>4</v>
      </c>
      <c r="AX14" s="3"/>
      <c r="AY14" s="3"/>
      <c r="AZ14" s="3"/>
      <c r="BA14" s="3"/>
      <c r="BB14" s="3"/>
      <c r="BC14" s="8">
        <f t="shared" si="6"/>
        <v>0</v>
      </c>
      <c r="BD14" s="8">
        <f t="shared" si="1"/>
        <v>0</v>
      </c>
      <c r="BE14" s="8">
        <f t="shared" si="1"/>
        <v>4769.82</v>
      </c>
      <c r="BF14" s="8">
        <f t="shared" si="1"/>
        <v>20041.128000000001</v>
      </c>
      <c r="BG14" s="8">
        <f t="shared" si="1"/>
        <v>15659.376000000002</v>
      </c>
      <c r="BH14" s="8">
        <f t="shared" si="1"/>
        <v>163286.39999999999</v>
      </c>
      <c r="BI14" s="27">
        <f t="shared" si="2"/>
        <v>203756.72399999999</v>
      </c>
      <c r="BJ14" s="27"/>
      <c r="BN14" s="31"/>
      <c r="BO14" s="10">
        <v>4</v>
      </c>
      <c r="BP14" s="3">
        <f t="shared" si="3"/>
        <v>0</v>
      </c>
      <c r="BQ14" s="3">
        <f t="shared" si="0"/>
        <v>0</v>
      </c>
      <c r="BR14" s="3">
        <f t="shared" si="0"/>
        <v>0</v>
      </c>
      <c r="BS14" s="3">
        <f t="shared" si="0"/>
        <v>0</v>
      </c>
      <c r="BT14" s="3">
        <f t="shared" si="0"/>
        <v>0</v>
      </c>
      <c r="BU14" s="3">
        <f t="shared" si="0"/>
        <v>0</v>
      </c>
      <c r="BV14" s="3">
        <f t="shared" si="0"/>
        <v>12550.89</v>
      </c>
      <c r="BW14" s="3">
        <f t="shared" si="0"/>
        <v>65744.675999999992</v>
      </c>
      <c r="BX14" s="3">
        <f t="shared" si="0"/>
        <v>46500.708000000006</v>
      </c>
      <c r="BY14" s="3">
        <f t="shared" si="0"/>
        <v>663759.21600000001</v>
      </c>
      <c r="BZ14" s="3">
        <f t="shared" si="0"/>
        <v>538396.60800000001</v>
      </c>
      <c r="CA14" s="27">
        <f t="shared" si="4"/>
        <v>1326952.098</v>
      </c>
      <c r="CB14" s="27"/>
    </row>
    <row r="15" spans="2:80" x14ac:dyDescent="0.3">
      <c r="P15" s="28"/>
      <c r="Q15" s="28"/>
      <c r="R15" s="10">
        <v>4</v>
      </c>
      <c r="S15" s="3"/>
      <c r="T15" s="3"/>
      <c r="U15" s="3"/>
      <c r="V15" s="3"/>
      <c r="W15" s="7"/>
      <c r="X15" s="7"/>
      <c r="Y15" s="7">
        <f>U3*0.00055</f>
        <v>24.09</v>
      </c>
      <c r="Z15" s="7">
        <f>U3*0.00279</f>
        <v>122.202</v>
      </c>
      <c r="AA15" s="7">
        <f>U3*0.00218</f>
        <v>95.484000000000009</v>
      </c>
      <c r="AB15" s="7">
        <f>U3*0.03728</f>
        <v>1632.864</v>
      </c>
      <c r="AC15" s="27">
        <f t="shared" si="5"/>
        <v>1874.64</v>
      </c>
      <c r="AD15" s="27"/>
      <c r="AG15" s="28"/>
      <c r="AH15" s="10">
        <v>4.5</v>
      </c>
      <c r="AI15" s="3"/>
      <c r="AJ15" s="3"/>
      <c r="AK15" s="3"/>
      <c r="AL15" s="3"/>
      <c r="AM15" s="3"/>
      <c r="AN15" s="3">
        <v>223</v>
      </c>
      <c r="AO15" s="3">
        <v>250</v>
      </c>
      <c r="AP15" s="3">
        <v>239</v>
      </c>
      <c r="AQ15" s="3">
        <v>173</v>
      </c>
      <c r="AR15" s="3">
        <v>173</v>
      </c>
      <c r="AS15" s="3">
        <v>115</v>
      </c>
      <c r="AV15" s="31"/>
      <c r="AW15" s="10">
        <v>4.5</v>
      </c>
      <c r="AX15" s="3"/>
      <c r="AY15" s="3"/>
      <c r="AZ15" s="3"/>
      <c r="BA15" s="3"/>
      <c r="BB15" s="3"/>
      <c r="BC15" s="8">
        <f t="shared" si="6"/>
        <v>0</v>
      </c>
      <c r="BD15" s="8">
        <f t="shared" si="1"/>
        <v>0</v>
      </c>
      <c r="BE15" s="8">
        <f>AP15*Y16</f>
        <v>0</v>
      </c>
      <c r="BF15" s="8">
        <f t="shared" si="1"/>
        <v>5683.05</v>
      </c>
      <c r="BG15" s="8">
        <f t="shared" si="1"/>
        <v>13411.998000000001</v>
      </c>
      <c r="BH15" s="8">
        <f t="shared" si="1"/>
        <v>124615.38</v>
      </c>
      <c r="BI15" s="27">
        <f t="shared" si="2"/>
        <v>143710.42800000001</v>
      </c>
      <c r="BJ15" s="27"/>
      <c r="BN15" s="31"/>
      <c r="BO15" s="10">
        <v>4.5</v>
      </c>
      <c r="BP15" s="3">
        <f t="shared" si="3"/>
        <v>0</v>
      </c>
      <c r="BQ15" s="3">
        <f t="shared" si="0"/>
        <v>0</v>
      </c>
      <c r="BR15" s="3">
        <f t="shared" si="0"/>
        <v>0</v>
      </c>
      <c r="BS15" s="3">
        <f t="shared" si="0"/>
        <v>0</v>
      </c>
      <c r="BT15" s="3">
        <f t="shared" si="0"/>
        <v>0</v>
      </c>
      <c r="BU15" s="3">
        <f t="shared" si="0"/>
        <v>0</v>
      </c>
      <c r="BV15" s="3">
        <f t="shared" si="0"/>
        <v>0</v>
      </c>
      <c r="BW15" s="3">
        <f t="shared" si="0"/>
        <v>20958.3</v>
      </c>
      <c r="BX15" s="3">
        <f t="shared" si="0"/>
        <v>44654.97600000001</v>
      </c>
      <c r="BY15" s="3">
        <f t="shared" si="0"/>
        <v>542347.80599999998</v>
      </c>
      <c r="BZ15" s="3">
        <f t="shared" si="0"/>
        <v>412761.65159999998</v>
      </c>
      <c r="CA15" s="27">
        <f t="shared" si="4"/>
        <v>1020722.7335999999</v>
      </c>
      <c r="CB15" s="27"/>
    </row>
    <row r="16" spans="2:80" x14ac:dyDescent="0.3">
      <c r="P16" s="28"/>
      <c r="Q16" s="28"/>
      <c r="R16" s="10">
        <v>4.5</v>
      </c>
      <c r="S16" s="3"/>
      <c r="T16" s="3"/>
      <c r="U16" s="3"/>
      <c r="V16" s="3"/>
      <c r="W16" s="7"/>
      <c r="X16" s="7"/>
      <c r="Y16" s="7"/>
      <c r="Z16" s="7">
        <f>U3*0.00075</f>
        <v>32.85</v>
      </c>
      <c r="AA16" s="7">
        <f>U3*0.00177</f>
        <v>77.52600000000001</v>
      </c>
      <c r="AB16" s="7">
        <f>U3*0.02474</f>
        <v>1083.6120000000001</v>
      </c>
      <c r="AC16" s="27">
        <f t="shared" si="5"/>
        <v>1193.9880000000001</v>
      </c>
      <c r="AD16" s="27"/>
      <c r="AG16" s="28"/>
      <c r="AH16" s="10">
        <v>5</v>
      </c>
      <c r="AI16" s="3"/>
      <c r="AJ16" s="3"/>
      <c r="AK16" s="3"/>
      <c r="AL16" s="3"/>
      <c r="AM16" s="3"/>
      <c r="AN16" s="3">
        <v>250</v>
      </c>
      <c r="AO16" s="3">
        <v>250</v>
      </c>
      <c r="AP16" s="3">
        <v>250</v>
      </c>
      <c r="AQ16" s="3">
        <v>214</v>
      </c>
      <c r="AR16" s="3">
        <v>214</v>
      </c>
      <c r="AS16" s="3">
        <v>142</v>
      </c>
      <c r="AV16" s="31"/>
      <c r="AW16" s="10">
        <v>5</v>
      </c>
      <c r="AX16" s="3"/>
      <c r="AY16" s="3"/>
      <c r="AZ16" s="3"/>
      <c r="BA16" s="3"/>
      <c r="BB16" s="3"/>
      <c r="BC16" s="8">
        <f t="shared" si="6"/>
        <v>0</v>
      </c>
      <c r="BD16" s="8">
        <f t="shared" si="1"/>
        <v>0</v>
      </c>
      <c r="BE16" s="8">
        <f t="shared" si="1"/>
        <v>0</v>
      </c>
      <c r="BF16" s="8">
        <f t="shared" si="1"/>
        <v>1874.6399999999999</v>
      </c>
      <c r="BG16" s="8">
        <f t="shared" si="1"/>
        <v>5717.652</v>
      </c>
      <c r="BH16" s="8">
        <f t="shared" si="1"/>
        <v>103431.948</v>
      </c>
      <c r="BI16" s="27">
        <f t="shared" si="2"/>
        <v>111024.24</v>
      </c>
      <c r="BJ16" s="27"/>
      <c r="BN16" s="31"/>
      <c r="BO16" s="10">
        <v>5</v>
      </c>
      <c r="BP16" s="3">
        <f t="shared" si="3"/>
        <v>0</v>
      </c>
      <c r="BQ16" s="3">
        <f t="shared" si="0"/>
        <v>0</v>
      </c>
      <c r="BR16" s="3">
        <f t="shared" si="0"/>
        <v>0</v>
      </c>
      <c r="BS16" s="3">
        <f t="shared" si="0"/>
        <v>0</v>
      </c>
      <c r="BT16" s="3">
        <f t="shared" si="0"/>
        <v>0</v>
      </c>
      <c r="BU16" s="3">
        <f t="shared" si="0"/>
        <v>0</v>
      </c>
      <c r="BV16" s="3">
        <f t="shared" si="0"/>
        <v>0</v>
      </c>
      <c r="BW16" s="3">
        <f t="shared" si="0"/>
        <v>6298.44</v>
      </c>
      <c r="BX16" s="3">
        <f t="shared" si="0"/>
        <v>18128.163</v>
      </c>
      <c r="BY16" s="3">
        <f t="shared" si="0"/>
        <v>423925.30800000002</v>
      </c>
      <c r="BZ16" s="3">
        <f t="shared" si="0"/>
        <v>312576.42239999998</v>
      </c>
      <c r="CA16" s="27">
        <f t="shared" si="4"/>
        <v>760928.3334</v>
      </c>
      <c r="CB16" s="27"/>
    </row>
    <row r="17" spans="2:81" x14ac:dyDescent="0.3">
      <c r="P17" s="28"/>
      <c r="Q17" s="28"/>
      <c r="R17" s="10">
        <v>5</v>
      </c>
      <c r="S17" s="3"/>
      <c r="T17" s="3"/>
      <c r="U17" s="3"/>
      <c r="V17" s="3"/>
      <c r="W17" s="7"/>
      <c r="X17" s="7"/>
      <c r="Y17" s="7"/>
      <c r="Z17" s="7">
        <f>U3*0.0002</f>
        <v>8.76</v>
      </c>
      <c r="AA17" s="7">
        <f>U3*0.00061</f>
        <v>26.718</v>
      </c>
      <c r="AB17" s="7">
        <f>U3*0.01663</f>
        <v>728.39400000000001</v>
      </c>
      <c r="AC17" s="27">
        <f t="shared" si="5"/>
        <v>763.87199999999996</v>
      </c>
      <c r="AD17" s="27"/>
      <c r="AG17" s="28"/>
      <c r="AH17" s="10" t="s">
        <v>15</v>
      </c>
      <c r="AI17" s="3"/>
      <c r="AJ17" s="3"/>
      <c r="AK17" s="3"/>
      <c r="AL17" s="3"/>
      <c r="AM17" s="3"/>
      <c r="AN17" s="3">
        <v>250</v>
      </c>
      <c r="AO17" s="3">
        <v>250</v>
      </c>
      <c r="AP17" s="3">
        <v>250</v>
      </c>
      <c r="AQ17" s="3">
        <v>250</v>
      </c>
      <c r="AR17" s="3">
        <v>250</v>
      </c>
      <c r="AS17" s="3">
        <v>172</v>
      </c>
      <c r="AV17" s="31"/>
      <c r="AW17" s="10" t="s">
        <v>15</v>
      </c>
      <c r="AX17" s="3"/>
      <c r="AY17" s="3"/>
      <c r="AZ17" s="3"/>
      <c r="BA17" s="3"/>
      <c r="BB17" s="3"/>
      <c r="BC17" s="8">
        <f t="shared" si="6"/>
        <v>0</v>
      </c>
      <c r="BD17" s="8">
        <f t="shared" si="1"/>
        <v>0</v>
      </c>
      <c r="BE17" s="8">
        <f t="shared" si="1"/>
        <v>0</v>
      </c>
      <c r="BF17" s="8">
        <f t="shared" si="1"/>
        <v>766.5</v>
      </c>
      <c r="BG17" s="8">
        <f t="shared" si="1"/>
        <v>4489.5</v>
      </c>
      <c r="BH17" s="8">
        <f t="shared" si="1"/>
        <v>293735.06400000001</v>
      </c>
      <c r="BI17" s="27">
        <f>SUM(AY17:BH17)+1</f>
        <v>298992.06400000001</v>
      </c>
      <c r="BJ17" s="27"/>
      <c r="BN17" s="31"/>
      <c r="BO17" s="10" t="s">
        <v>15</v>
      </c>
      <c r="BP17" s="3">
        <f t="shared" si="3"/>
        <v>0</v>
      </c>
      <c r="BQ17" s="3">
        <f t="shared" si="0"/>
        <v>0</v>
      </c>
      <c r="BR17" s="3">
        <f t="shared" si="0"/>
        <v>0</v>
      </c>
      <c r="BS17" s="3">
        <f t="shared" si="0"/>
        <v>0</v>
      </c>
      <c r="BT17" s="3">
        <f t="shared" si="0"/>
        <v>0</v>
      </c>
      <c r="BU17" s="3">
        <f t="shared" si="0"/>
        <v>0</v>
      </c>
      <c r="BV17" s="3">
        <f t="shared" si="0"/>
        <v>0</v>
      </c>
      <c r="BW17" s="3">
        <f t="shared" si="0"/>
        <v>2299.5</v>
      </c>
      <c r="BX17" s="3">
        <f t="shared" si="0"/>
        <v>13468.499999999998</v>
      </c>
      <c r="BY17" s="3">
        <f t="shared" si="0"/>
        <v>1250423.3364000001</v>
      </c>
      <c r="BZ17" s="3">
        <f t="shared" si="0"/>
        <v>1055861.3743999999</v>
      </c>
      <c r="CA17" s="27">
        <f>SUM(BQ17:BZ17)+1</f>
        <v>2322053.7108</v>
      </c>
      <c r="CB17" s="27"/>
    </row>
    <row r="18" spans="2:81" x14ac:dyDescent="0.3">
      <c r="P18" s="28"/>
      <c r="Q18" s="28"/>
      <c r="R18" s="10" t="s">
        <v>15</v>
      </c>
      <c r="S18" s="3"/>
      <c r="T18" s="3"/>
      <c r="U18" s="3"/>
      <c r="V18" s="3"/>
      <c r="W18" s="7"/>
      <c r="X18" s="7"/>
      <c r="Y18" s="7"/>
      <c r="Z18" s="7">
        <f>U3*0.00007</f>
        <v>3.0659999999999998</v>
      </c>
      <c r="AA18" s="7">
        <f>U3*0.00041</f>
        <v>17.957999999999998</v>
      </c>
      <c r="AB18" s="7">
        <f>U3*0.03899</f>
        <v>1707.7619999999999</v>
      </c>
      <c r="AC18" s="27">
        <f>SUM(S18:AB18)+1</f>
        <v>1729.7859999999998</v>
      </c>
      <c r="AD18" s="27"/>
      <c r="AG18" s="1"/>
      <c r="AV18" s="31"/>
      <c r="AW18" s="25" t="s">
        <v>16</v>
      </c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16"/>
      <c r="BI18" s="29">
        <f>SUM(BI7:BJ17)</f>
        <v>2178113.5048000002</v>
      </c>
      <c r="BJ18" s="29"/>
      <c r="BN18" s="31"/>
      <c r="BO18" s="25" t="s">
        <v>16</v>
      </c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16"/>
      <c r="CA18" s="29">
        <f>SUM(CA7:CB17)</f>
        <v>14550350.447399998</v>
      </c>
      <c r="CB18" s="29"/>
    </row>
    <row r="19" spans="2:81" x14ac:dyDescent="0.3">
      <c r="P19" s="28"/>
      <c r="Q19" s="28"/>
      <c r="R19" s="28" t="s">
        <v>16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29">
        <f>SUM(AC8:AD18)</f>
        <v>43799.686000000002</v>
      </c>
      <c r="AD19" s="29"/>
      <c r="AG19" s="1"/>
      <c r="AV19" s="31"/>
      <c r="AW19" s="13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15"/>
      <c r="BI19" s="29"/>
      <c r="BJ19" s="29"/>
      <c r="BN19" s="31"/>
      <c r="BO19" s="13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15"/>
      <c r="CA19" s="29"/>
      <c r="CB19" s="29"/>
    </row>
    <row r="20" spans="2:81" x14ac:dyDescent="0.3">
      <c r="P20" s="28"/>
      <c r="Q20" s="28"/>
      <c r="R20" s="28"/>
      <c r="S20" s="4"/>
      <c r="T20" s="4"/>
      <c r="U20" s="4"/>
      <c r="V20" s="4"/>
      <c r="W20" s="4"/>
      <c r="X20" s="4"/>
      <c r="Y20" s="4"/>
      <c r="Z20" s="4"/>
      <c r="AA20" s="4"/>
      <c r="AB20" s="4"/>
      <c r="AC20" s="29"/>
      <c r="AD20" s="29"/>
      <c r="AG20" s="1"/>
      <c r="AV20" s="32"/>
      <c r="AW20" s="26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17"/>
      <c r="BI20" s="29"/>
      <c r="BJ20" s="29"/>
      <c r="BN20" s="32"/>
      <c r="BO20" s="26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17"/>
      <c r="CA20" s="29"/>
      <c r="CB20" s="29"/>
    </row>
    <row r="21" spans="2:81" x14ac:dyDescent="0.3">
      <c r="P21" s="28"/>
      <c r="Q21" s="28"/>
      <c r="R21" s="28"/>
      <c r="S21" s="5"/>
      <c r="T21" s="5"/>
      <c r="U21" s="5"/>
      <c r="V21" s="5"/>
      <c r="W21" s="5"/>
      <c r="X21" s="5"/>
      <c r="Y21" s="5"/>
      <c r="Z21" s="5"/>
      <c r="AA21" s="5"/>
      <c r="AB21" s="5"/>
      <c r="AC21" s="29"/>
      <c r="AD21" s="29"/>
      <c r="AG21" s="1"/>
      <c r="BI21" s="36">
        <f>BI18/5</f>
        <v>435622.70096000005</v>
      </c>
      <c r="BJ21" s="37"/>
      <c r="BK21" s="40" t="s">
        <v>17</v>
      </c>
      <c r="CA21" s="36">
        <f>CA18/5</f>
        <v>2910070.0894799996</v>
      </c>
      <c r="CB21" s="37"/>
      <c r="CC21" s="40" t="s">
        <v>17</v>
      </c>
    </row>
    <row r="22" spans="2:81" x14ac:dyDescent="0.3">
      <c r="BI22" s="38"/>
      <c r="BJ22" s="39"/>
      <c r="BK22" s="41"/>
      <c r="CA22" s="38"/>
      <c r="CB22" s="39"/>
      <c r="CC22" s="41"/>
    </row>
    <row r="23" spans="2:81" x14ac:dyDescent="0.3">
      <c r="V23" s="24">
        <f>(X12/4)/365</f>
        <v>0.24750000000000003</v>
      </c>
      <c r="BI23" s="42">
        <f>BI21*0.001</f>
        <v>435.62270096000003</v>
      </c>
      <c r="BJ23" s="43"/>
      <c r="BK23" s="46" t="s">
        <v>18</v>
      </c>
      <c r="CA23" s="42">
        <f>CA21*0.001</f>
        <v>2910.0700894799998</v>
      </c>
      <c r="CB23" s="43"/>
      <c r="CC23" s="46" t="s">
        <v>18</v>
      </c>
    </row>
    <row r="24" spans="2:81" x14ac:dyDescent="0.3">
      <c r="B24" t="s">
        <v>19</v>
      </c>
      <c r="E24" t="s">
        <v>20</v>
      </c>
      <c r="AG24" s="2" t="s">
        <v>21</v>
      </c>
      <c r="AV24" s="9" t="s">
        <v>19</v>
      </c>
      <c r="AW24" s="9"/>
      <c r="AX24" s="9"/>
      <c r="AY24" s="9" t="s">
        <v>20</v>
      </c>
      <c r="AZ24" s="2"/>
      <c r="BA24" s="2"/>
      <c r="BI24" s="44"/>
      <c r="BJ24" s="45"/>
      <c r="BK24" s="47"/>
      <c r="BN24" s="9" t="s">
        <v>19</v>
      </c>
      <c r="BO24" s="9"/>
      <c r="BP24" s="9"/>
      <c r="BQ24" s="9" t="s">
        <v>20</v>
      </c>
      <c r="BR24" s="2"/>
      <c r="BS24" s="2"/>
      <c r="CA24" s="44"/>
      <c r="CB24" s="45"/>
      <c r="CC24" s="47"/>
    </row>
    <row r="26" spans="2:81" x14ac:dyDescent="0.3">
      <c r="P26" s="28" t="s">
        <v>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G26" s="28" t="s">
        <v>22</v>
      </c>
      <c r="AH26" s="28"/>
      <c r="AI26" s="27" t="s">
        <v>7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V26" s="28" t="s">
        <v>8</v>
      </c>
      <c r="AW26" s="28"/>
      <c r="AX26" s="33" t="s">
        <v>7</v>
      </c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5"/>
      <c r="BN26" s="28" t="s">
        <v>8</v>
      </c>
      <c r="BO26" s="28"/>
      <c r="BP26" s="33" t="s">
        <v>7</v>
      </c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5"/>
    </row>
    <row r="27" spans="2:81" x14ac:dyDescent="0.3"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G27" s="28"/>
      <c r="AH27" s="28"/>
      <c r="AI27" s="11" t="s">
        <v>9</v>
      </c>
      <c r="AJ27" s="3">
        <v>2</v>
      </c>
      <c r="AK27" s="3">
        <v>3</v>
      </c>
      <c r="AL27" s="3">
        <v>4</v>
      </c>
      <c r="AM27" s="3">
        <v>5</v>
      </c>
      <c r="AN27" s="3">
        <v>6</v>
      </c>
      <c r="AO27" s="3">
        <v>7</v>
      </c>
      <c r="AP27" s="3">
        <v>8</v>
      </c>
      <c r="AQ27" s="3">
        <v>9</v>
      </c>
      <c r="AR27" s="3">
        <v>10</v>
      </c>
      <c r="AS27" s="3" t="s">
        <v>10</v>
      </c>
      <c r="AV27" s="28"/>
      <c r="AW27" s="28"/>
      <c r="AX27" s="11" t="s">
        <v>9</v>
      </c>
      <c r="AY27" s="3">
        <v>2</v>
      </c>
      <c r="AZ27" s="3">
        <v>3</v>
      </c>
      <c r="BA27" s="3">
        <v>4</v>
      </c>
      <c r="BB27" s="3">
        <v>5</v>
      </c>
      <c r="BC27" s="3">
        <v>6</v>
      </c>
      <c r="BD27" s="3">
        <v>7</v>
      </c>
      <c r="BE27" s="3">
        <v>8</v>
      </c>
      <c r="BF27" s="3">
        <v>9</v>
      </c>
      <c r="BG27" s="3">
        <v>10</v>
      </c>
      <c r="BH27" s="3" t="s">
        <v>10</v>
      </c>
      <c r="BI27" s="27" t="s">
        <v>11</v>
      </c>
      <c r="BJ27" s="27"/>
      <c r="BN27" s="28"/>
      <c r="BO27" s="28"/>
      <c r="BP27" s="11" t="s">
        <v>9</v>
      </c>
      <c r="BQ27" s="3">
        <v>2</v>
      </c>
      <c r="BR27" s="3">
        <v>3</v>
      </c>
      <c r="BS27" s="3">
        <v>4</v>
      </c>
      <c r="BT27" s="3">
        <v>5</v>
      </c>
      <c r="BU27" s="3">
        <v>6</v>
      </c>
      <c r="BV27" s="3">
        <v>7</v>
      </c>
      <c r="BW27" s="3">
        <v>8</v>
      </c>
      <c r="BX27" s="3">
        <v>9</v>
      </c>
      <c r="BY27" s="3">
        <v>10</v>
      </c>
      <c r="BZ27" s="3" t="s">
        <v>10</v>
      </c>
      <c r="CA27" s="27" t="s">
        <v>11</v>
      </c>
      <c r="CB27" s="27"/>
    </row>
    <row r="28" spans="2:81" x14ac:dyDescent="0.3">
      <c r="P28" s="28" t="s">
        <v>12</v>
      </c>
      <c r="Q28" s="28"/>
      <c r="R28" s="3" t="s">
        <v>9</v>
      </c>
      <c r="S28" s="3">
        <v>2</v>
      </c>
      <c r="T28" s="3">
        <v>3</v>
      </c>
      <c r="U28" s="3">
        <v>4</v>
      </c>
      <c r="V28" s="3">
        <v>5</v>
      </c>
      <c r="W28" s="3">
        <v>6</v>
      </c>
      <c r="X28" s="3">
        <v>7</v>
      </c>
      <c r="Y28" s="3">
        <v>8</v>
      </c>
      <c r="Z28" s="3">
        <v>9</v>
      </c>
      <c r="AA28" s="3">
        <v>10</v>
      </c>
      <c r="AB28" s="3" t="s">
        <v>10</v>
      </c>
      <c r="AC28" s="27" t="s">
        <v>13</v>
      </c>
      <c r="AD28" s="27"/>
      <c r="AG28" s="28" t="s">
        <v>12</v>
      </c>
      <c r="AH28" s="10" t="s">
        <v>14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V28" s="30" t="s">
        <v>12</v>
      </c>
      <c r="AW28" s="10" t="s">
        <v>14</v>
      </c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27">
        <f>SUM(AY28:BH28)</f>
        <v>0</v>
      </c>
      <c r="BJ28" s="27"/>
      <c r="BN28" s="30" t="s">
        <v>12</v>
      </c>
      <c r="BO28" s="10" t="s">
        <v>14</v>
      </c>
      <c r="BP28" s="3">
        <f>AI28*S29</f>
        <v>0</v>
      </c>
      <c r="BQ28" s="3">
        <f t="shared" ref="BQ28:BZ38" si="7">AJ28*T29</f>
        <v>0</v>
      </c>
      <c r="BR28" s="3">
        <f t="shared" si="7"/>
        <v>0</v>
      </c>
      <c r="BS28" s="3">
        <f t="shared" si="7"/>
        <v>0</v>
      </c>
      <c r="BT28" s="3">
        <f t="shared" si="7"/>
        <v>0</v>
      </c>
      <c r="BU28" s="3">
        <f t="shared" si="7"/>
        <v>0</v>
      </c>
      <c r="BV28" s="3">
        <f t="shared" si="7"/>
        <v>0</v>
      </c>
      <c r="BW28" s="3">
        <f t="shared" si="7"/>
        <v>0</v>
      </c>
      <c r="BX28" s="3">
        <f t="shared" si="7"/>
        <v>0</v>
      </c>
      <c r="BY28" s="3">
        <f t="shared" si="7"/>
        <v>0</v>
      </c>
      <c r="BZ28" s="3">
        <f t="shared" si="7"/>
        <v>0</v>
      </c>
      <c r="CA28" s="27">
        <f>SUM(BQ28:BZ28)</f>
        <v>0</v>
      </c>
      <c r="CB28" s="27"/>
    </row>
    <row r="29" spans="2:81" x14ac:dyDescent="0.3">
      <c r="P29" s="28"/>
      <c r="Q29" s="28"/>
      <c r="R29" s="10" t="s">
        <v>14</v>
      </c>
      <c r="S29" s="3"/>
      <c r="T29" s="3"/>
      <c r="U29" s="3"/>
      <c r="V29" s="7"/>
      <c r="W29" s="7">
        <v>0</v>
      </c>
      <c r="X29" s="7">
        <f>U3*0.00041</f>
        <v>17.957999999999998</v>
      </c>
      <c r="Y29" s="7"/>
      <c r="Z29" s="7"/>
      <c r="AA29" s="7">
        <f>U3*0.00014</f>
        <v>6.1319999999999997</v>
      </c>
      <c r="AB29" s="7"/>
      <c r="AC29" s="27">
        <f>SUM(S29:AB29)</f>
        <v>24.089999999999996</v>
      </c>
      <c r="AD29" s="27"/>
      <c r="AG29" s="28"/>
      <c r="AH29" s="12">
        <v>1</v>
      </c>
      <c r="AI29" s="3"/>
      <c r="AJ29" s="3"/>
      <c r="AK29" s="3"/>
      <c r="AL29" s="3"/>
      <c r="AM29" s="3"/>
      <c r="AN29" s="3">
        <v>25.5</v>
      </c>
      <c r="AO29" s="3">
        <v>35.5</v>
      </c>
      <c r="AP29" s="3">
        <v>38</v>
      </c>
      <c r="AQ29" s="3">
        <v>36</v>
      </c>
      <c r="AR29" s="3">
        <v>30.5</v>
      </c>
      <c r="AS29" s="3">
        <v>11.7</v>
      </c>
      <c r="AV29" s="31"/>
      <c r="AW29" s="12">
        <v>1</v>
      </c>
      <c r="AX29" s="3"/>
      <c r="AY29" s="3"/>
      <c r="AZ29" s="3"/>
      <c r="BA29" s="3"/>
      <c r="BB29" s="3"/>
      <c r="BC29" s="8">
        <f>AN8*W30</f>
        <v>1395.4679999999998</v>
      </c>
      <c r="BD29" s="8">
        <f t="shared" ref="BD29:BH38" si="8">AO8*X30</f>
        <v>2694.576</v>
      </c>
      <c r="BE29" s="8">
        <f t="shared" si="8"/>
        <v>4394.0159999999996</v>
      </c>
      <c r="BF29" s="8">
        <f t="shared" si="8"/>
        <v>3794.8319999999999</v>
      </c>
      <c r="BG29" s="8">
        <f t="shared" si="8"/>
        <v>2163.2820000000002</v>
      </c>
      <c r="BH29" s="8">
        <f t="shared" si="8"/>
        <v>1342.4700000000003</v>
      </c>
      <c r="BI29" s="27">
        <f t="shared" ref="BI29:BI37" si="9">SUM(AY29:BH29)</f>
        <v>15784.644</v>
      </c>
      <c r="BJ29" s="27"/>
      <c r="BN29" s="31"/>
      <c r="BO29" s="12">
        <v>1</v>
      </c>
      <c r="BP29" s="3">
        <f t="shared" ref="BP29:BP38" si="10">AI29*S30</f>
        <v>0</v>
      </c>
      <c r="BQ29" s="3">
        <f t="shared" si="7"/>
        <v>0</v>
      </c>
      <c r="BR29" s="3">
        <f t="shared" si="7"/>
        <v>0</v>
      </c>
      <c r="BS29" s="3">
        <f t="shared" si="7"/>
        <v>0</v>
      </c>
      <c r="BT29" s="3">
        <f t="shared" si="7"/>
        <v>0</v>
      </c>
      <c r="BU29" s="3">
        <f t="shared" si="7"/>
        <v>8588.9609999999993</v>
      </c>
      <c r="BV29" s="3">
        <f t="shared" si="7"/>
        <v>14180.687999999998</v>
      </c>
      <c r="BW29" s="3">
        <f t="shared" si="7"/>
        <v>12016.967999999999</v>
      </c>
      <c r="BX29" s="3">
        <f t="shared" si="7"/>
        <v>7079.8320000000003</v>
      </c>
      <c r="BY29" s="3">
        <f t="shared" si="7"/>
        <v>8189.0670000000009</v>
      </c>
      <c r="BZ29" s="3">
        <f t="shared" si="7"/>
        <v>20592.093599999997</v>
      </c>
      <c r="CA29" s="27">
        <f t="shared" ref="CA29:CA37" si="11">SUM(BQ29:BZ29)</f>
        <v>70647.609599999996</v>
      </c>
      <c r="CB29" s="27"/>
    </row>
    <row r="30" spans="2:81" x14ac:dyDescent="0.3">
      <c r="P30" s="28"/>
      <c r="Q30" s="28"/>
      <c r="R30" s="10">
        <v>1</v>
      </c>
      <c r="S30" s="3"/>
      <c r="T30" s="3"/>
      <c r="U30" s="7">
        <f>0.00075*U24</f>
        <v>0</v>
      </c>
      <c r="V30" s="7">
        <f>U3*0.0002</f>
        <v>8.76</v>
      </c>
      <c r="W30" s="7">
        <f>U3*0.00531</f>
        <v>232.57799999999997</v>
      </c>
      <c r="X30" s="7">
        <f>U3*0.00769</f>
        <v>336.822</v>
      </c>
      <c r="Y30" s="7">
        <f>U3*0.00912</f>
        <v>399.45599999999996</v>
      </c>
      <c r="Z30" s="7">
        <f>U3*0.00722</f>
        <v>316.23599999999999</v>
      </c>
      <c r="AA30" s="7">
        <f>U3*0.00449</f>
        <v>196.66200000000001</v>
      </c>
      <c r="AB30" s="7">
        <f>U3*0.00613</f>
        <v>268.49400000000003</v>
      </c>
      <c r="AC30" s="27">
        <f>SUM(S30:AB30)+1</f>
        <v>1760.0079999999998</v>
      </c>
      <c r="AD30" s="27"/>
      <c r="AG30" s="28"/>
      <c r="AH30" s="10">
        <v>1.5</v>
      </c>
      <c r="AI30" s="3"/>
      <c r="AJ30" s="3"/>
      <c r="AK30" s="3"/>
      <c r="AL30" s="3"/>
      <c r="AM30" s="3">
        <v>32</v>
      </c>
      <c r="AN30" s="3">
        <v>57.5</v>
      </c>
      <c r="AO30" s="3">
        <v>79.5</v>
      </c>
      <c r="AP30" s="3">
        <v>86</v>
      </c>
      <c r="AQ30" s="3">
        <v>80.5</v>
      </c>
      <c r="AR30" s="3">
        <v>68.5</v>
      </c>
      <c r="AS30" s="3">
        <v>45.2</v>
      </c>
      <c r="AV30" s="31"/>
      <c r="AW30" s="10">
        <v>1.5</v>
      </c>
      <c r="AX30" s="3"/>
      <c r="AY30" s="3"/>
      <c r="AZ30" s="3"/>
      <c r="BA30" s="3"/>
      <c r="BB30" s="3"/>
      <c r="BC30" s="8">
        <f t="shared" ref="BC30:BC38" si="12">AN9*W31</f>
        <v>9884.7840000000015</v>
      </c>
      <c r="BD30" s="8">
        <f t="shared" si="8"/>
        <v>28138.433999999997</v>
      </c>
      <c r="BE30" s="8">
        <f t="shared" si="8"/>
        <v>50775.15</v>
      </c>
      <c r="BF30" s="8">
        <f t="shared" si="8"/>
        <v>59172.047999999995</v>
      </c>
      <c r="BG30" s="8">
        <f t="shared" si="8"/>
        <v>49936.380000000005</v>
      </c>
      <c r="BH30" s="8">
        <f t="shared" si="8"/>
        <v>50777.515200000002</v>
      </c>
      <c r="BI30" s="27">
        <f t="shared" si="9"/>
        <v>248684.3112</v>
      </c>
      <c r="BJ30" s="27"/>
      <c r="BN30" s="31"/>
      <c r="BO30" s="10">
        <v>1.5</v>
      </c>
      <c r="BP30" s="3">
        <f t="shared" si="10"/>
        <v>0</v>
      </c>
      <c r="BQ30" s="3">
        <f t="shared" si="7"/>
        <v>0</v>
      </c>
      <c r="BR30" s="3">
        <f t="shared" si="7"/>
        <v>0</v>
      </c>
      <c r="BS30" s="3">
        <f t="shared" si="7"/>
        <v>0</v>
      </c>
      <c r="BT30" s="3">
        <f t="shared" si="7"/>
        <v>24331.776000000002</v>
      </c>
      <c r="BU30" s="3">
        <f t="shared" si="7"/>
        <v>95174.114999999991</v>
      </c>
      <c r="BV30" s="3">
        <f t="shared" si="7"/>
        <v>161464.97700000001</v>
      </c>
      <c r="BW30" s="3">
        <f t="shared" si="7"/>
        <v>195722.92799999999</v>
      </c>
      <c r="BX30" s="3">
        <f t="shared" si="7"/>
        <v>154610.715</v>
      </c>
      <c r="BY30" s="3">
        <f t="shared" si="7"/>
        <v>228832.88100000002</v>
      </c>
      <c r="BZ30" s="3">
        <f t="shared" si="7"/>
        <v>543008.57280000008</v>
      </c>
      <c r="CA30" s="27">
        <f t="shared" si="11"/>
        <v>1403145.9648000002</v>
      </c>
      <c r="CB30" s="27"/>
    </row>
    <row r="31" spans="2:81" x14ac:dyDescent="0.3">
      <c r="P31" s="28"/>
      <c r="Q31" s="28"/>
      <c r="R31" s="10">
        <v>1.5</v>
      </c>
      <c r="S31" s="3"/>
      <c r="T31" s="3"/>
      <c r="U31" s="7"/>
      <c r="V31" s="7">
        <f>U3*0.00068</f>
        <v>29.784000000000002</v>
      </c>
      <c r="W31" s="7">
        <f>U3*0.01736</f>
        <v>760.36800000000005</v>
      </c>
      <c r="X31" s="7">
        <f>U3*0.03779</f>
        <v>1655.2019999999998</v>
      </c>
      <c r="Y31" s="7">
        <f>U3*0.04637</f>
        <v>2031.0060000000001</v>
      </c>
      <c r="Z31" s="7">
        <f>U3*0.05196</f>
        <v>2275.848</v>
      </c>
      <c r="AA31" s="7">
        <f>U3*0.04385</f>
        <v>1920.63</v>
      </c>
      <c r="AB31" s="7">
        <f>U3*0.07627</f>
        <v>3340.6260000000002</v>
      </c>
      <c r="AC31" s="27">
        <f t="shared" ref="AC31:AC39" si="13">SUM(S31:AB31)</f>
        <v>12013.464</v>
      </c>
      <c r="AD31" s="27"/>
      <c r="AG31" s="28"/>
      <c r="AH31" s="10">
        <v>2</v>
      </c>
      <c r="AI31" s="3"/>
      <c r="AJ31" s="3"/>
      <c r="AK31" s="3"/>
      <c r="AL31" s="3"/>
      <c r="AM31" s="3">
        <v>57</v>
      </c>
      <c r="AN31" s="3">
        <v>101.5</v>
      </c>
      <c r="AO31" s="3">
        <v>142</v>
      </c>
      <c r="AP31" s="3">
        <v>152.5</v>
      </c>
      <c r="AQ31" s="3">
        <v>142.5</v>
      </c>
      <c r="AR31" s="3">
        <v>121.5</v>
      </c>
      <c r="AS31" s="3">
        <v>79.8</v>
      </c>
      <c r="AV31" s="31"/>
      <c r="AW31" s="10">
        <v>2</v>
      </c>
      <c r="AX31" s="3"/>
      <c r="AY31" s="3"/>
      <c r="AZ31" s="3"/>
      <c r="BA31" s="3"/>
      <c r="BB31" s="3"/>
      <c r="BC31" s="8">
        <f t="shared" si="12"/>
        <v>4078.6560000000004</v>
      </c>
      <c r="BD31" s="8">
        <f t="shared" si="8"/>
        <v>36056.160000000003</v>
      </c>
      <c r="BE31" s="8">
        <f t="shared" si="8"/>
        <v>125325.81600000002</v>
      </c>
      <c r="BF31" s="8">
        <f t="shared" si="8"/>
        <v>63651.912000000004</v>
      </c>
      <c r="BG31" s="8">
        <f t="shared" si="8"/>
        <v>68263.176000000007</v>
      </c>
      <c r="BH31" s="8">
        <f t="shared" si="8"/>
        <v>186046.63200000001</v>
      </c>
      <c r="BI31" s="27">
        <f t="shared" si="9"/>
        <v>483422.35200000007</v>
      </c>
      <c r="BJ31" s="27"/>
      <c r="BN31" s="31"/>
      <c r="BO31" s="10">
        <v>2</v>
      </c>
      <c r="BP31" s="3">
        <f t="shared" si="10"/>
        <v>0</v>
      </c>
      <c r="BQ31" s="3">
        <f t="shared" si="7"/>
        <v>0</v>
      </c>
      <c r="BR31" s="3">
        <f t="shared" si="7"/>
        <v>0</v>
      </c>
      <c r="BS31" s="3">
        <f t="shared" si="7"/>
        <v>0</v>
      </c>
      <c r="BT31" s="3">
        <f t="shared" si="7"/>
        <v>9686.8080000000009</v>
      </c>
      <c r="BU31" s="3">
        <f t="shared" si="7"/>
        <v>121990.008</v>
      </c>
      <c r="BV31" s="3">
        <f t="shared" si="7"/>
        <v>404460.58800000005</v>
      </c>
      <c r="BW31" s="3">
        <f t="shared" si="7"/>
        <v>206530.14</v>
      </c>
      <c r="BX31" s="3">
        <f t="shared" si="7"/>
        <v>206968.14</v>
      </c>
      <c r="BY31" s="3">
        <f t="shared" si="7"/>
        <v>819009.63000000012</v>
      </c>
      <c r="BZ31" s="3">
        <f t="shared" si="7"/>
        <v>1100091.8376</v>
      </c>
      <c r="CA31" s="27">
        <f t="shared" si="11"/>
        <v>2868737.1516000004</v>
      </c>
      <c r="CB31" s="27"/>
    </row>
    <row r="32" spans="2:81" x14ac:dyDescent="0.3">
      <c r="P32" s="28"/>
      <c r="Q32" s="28"/>
      <c r="R32" s="10">
        <v>2</v>
      </c>
      <c r="S32" s="3"/>
      <c r="T32" s="3"/>
      <c r="U32" s="3"/>
      <c r="V32" s="7">
        <f>U3*0.00041</f>
        <v>17.957999999999998</v>
      </c>
      <c r="W32" s="7">
        <f>U3*0.00388</f>
        <v>169.94400000000002</v>
      </c>
      <c r="X32" s="7">
        <f>U3*0.02744</f>
        <v>1201.8720000000001</v>
      </c>
      <c r="Y32" s="7">
        <f>U3*0.06503</f>
        <v>2848.3140000000003</v>
      </c>
      <c r="Z32" s="7">
        <f>U3*0.03092</f>
        <v>1354.296</v>
      </c>
      <c r="AA32" s="7">
        <f>U3*0.03316</f>
        <v>1452.4080000000001</v>
      </c>
      <c r="AB32" s="7">
        <f>U3*0.1539</f>
        <v>6740.8200000000006</v>
      </c>
      <c r="AC32" s="27">
        <f t="shared" si="13"/>
        <v>13785.612000000001</v>
      </c>
      <c r="AD32" s="27"/>
      <c r="AG32" s="28"/>
      <c r="AH32" s="10">
        <v>2.5</v>
      </c>
      <c r="AI32" s="3"/>
      <c r="AJ32" s="3"/>
      <c r="AK32" s="3"/>
      <c r="AL32" s="3"/>
      <c r="AM32" s="3">
        <v>89</v>
      </c>
      <c r="AN32" s="3">
        <v>159</v>
      </c>
      <c r="AO32" s="3">
        <v>221.5</v>
      </c>
      <c r="AP32" s="3">
        <v>238</v>
      </c>
      <c r="AQ32" s="3">
        <v>223</v>
      </c>
      <c r="AR32" s="3">
        <v>190</v>
      </c>
      <c r="AS32" s="3">
        <v>125</v>
      </c>
      <c r="AV32" s="31"/>
      <c r="AW32" s="10">
        <v>2.5</v>
      </c>
      <c r="AX32" s="3"/>
      <c r="AY32" s="3"/>
      <c r="AZ32" s="3"/>
      <c r="BA32" s="3"/>
      <c r="BB32" s="3"/>
      <c r="BC32" s="8">
        <f t="shared" si="12"/>
        <v>664.44599999999991</v>
      </c>
      <c r="BD32" s="8">
        <f t="shared" si="8"/>
        <v>8275.5720000000001</v>
      </c>
      <c r="BE32" s="8">
        <f t="shared" si="8"/>
        <v>105565.44600000001</v>
      </c>
      <c r="BF32" s="8">
        <f t="shared" si="8"/>
        <v>90134.706000000006</v>
      </c>
      <c r="BG32" s="8">
        <f t="shared" si="8"/>
        <v>41790.018000000004</v>
      </c>
      <c r="BH32" s="8">
        <f t="shared" si="8"/>
        <v>216463.10400000002</v>
      </c>
      <c r="BI32" s="27">
        <f t="shared" si="9"/>
        <v>462893.29200000002</v>
      </c>
      <c r="BJ32" s="27"/>
      <c r="BN32" s="31"/>
      <c r="BO32" s="10">
        <v>2.5</v>
      </c>
      <c r="BP32" s="3">
        <f t="shared" si="10"/>
        <v>0</v>
      </c>
      <c r="BQ32" s="3">
        <f t="shared" si="7"/>
        <v>0</v>
      </c>
      <c r="BR32" s="3">
        <f t="shared" si="7"/>
        <v>0</v>
      </c>
      <c r="BS32" s="3">
        <f t="shared" si="7"/>
        <v>0</v>
      </c>
      <c r="BT32" s="3">
        <f t="shared" si="7"/>
        <v>1598.2619999999999</v>
      </c>
      <c r="BU32" s="3">
        <f t="shared" si="7"/>
        <v>27996.083999999999</v>
      </c>
      <c r="BV32" s="3">
        <f t="shared" si="7"/>
        <v>338880.38100000005</v>
      </c>
      <c r="BW32" s="3">
        <f t="shared" si="7"/>
        <v>293863.83600000001</v>
      </c>
      <c r="BX32" s="3">
        <f t="shared" si="7"/>
        <v>127659.91800000001</v>
      </c>
      <c r="BY32" s="3">
        <f t="shared" si="7"/>
        <v>952036.8</v>
      </c>
      <c r="BZ32" s="3">
        <f t="shared" si="7"/>
        <v>1067734.5</v>
      </c>
      <c r="CA32" s="27">
        <f t="shared" si="11"/>
        <v>2809769.7810000004</v>
      </c>
      <c r="CB32" s="27"/>
    </row>
    <row r="33" spans="2:82" ht="15.6" x14ac:dyDescent="0.3">
      <c r="M33" s="14"/>
      <c r="N33" s="14"/>
      <c r="O33" s="14"/>
      <c r="P33" s="28"/>
      <c r="Q33" s="28"/>
      <c r="R33" s="10">
        <v>2.5</v>
      </c>
      <c r="S33" s="3"/>
      <c r="T33" s="3"/>
      <c r="U33" s="3"/>
      <c r="V33" s="7">
        <f>U24*0.00007</f>
        <v>0</v>
      </c>
      <c r="W33" s="7">
        <f>U3*0.00041</f>
        <v>17.957999999999998</v>
      </c>
      <c r="X33" s="7">
        <f>U3*0.00402</f>
        <v>176.07599999999999</v>
      </c>
      <c r="Y33" s="7">
        <f>U3*0.03493</f>
        <v>1529.9340000000002</v>
      </c>
      <c r="Z33" s="7">
        <f>U3*0.02819</f>
        <v>1234.722</v>
      </c>
      <c r="AA33" s="7">
        <f>U3*0.01307</f>
        <v>572.46600000000001</v>
      </c>
      <c r="AB33" s="7">
        <f>U3*0.1144</f>
        <v>5010.72</v>
      </c>
      <c r="AC33" s="27">
        <f t="shared" si="13"/>
        <v>8541.8760000000002</v>
      </c>
      <c r="AD33" s="27"/>
      <c r="AG33" s="28"/>
      <c r="AH33" s="10">
        <v>3</v>
      </c>
      <c r="AI33" s="3"/>
      <c r="AJ33" s="3"/>
      <c r="AK33" s="3"/>
      <c r="AL33" s="3"/>
      <c r="AM33" s="3">
        <v>129</v>
      </c>
      <c r="AN33" s="3">
        <v>229</v>
      </c>
      <c r="AO33" s="3">
        <v>318.5</v>
      </c>
      <c r="AP33" s="3">
        <v>336</v>
      </c>
      <c r="AQ33" s="3">
        <v>303.5</v>
      </c>
      <c r="AR33" s="3">
        <v>253</v>
      </c>
      <c r="AS33" s="3">
        <v>177.5</v>
      </c>
      <c r="AV33" s="31"/>
      <c r="AW33" s="10">
        <v>3</v>
      </c>
      <c r="AX33" s="3"/>
      <c r="AY33" s="3"/>
      <c r="AZ33" s="3"/>
      <c r="BA33" s="3"/>
      <c r="BB33" s="3"/>
      <c r="BC33" s="8">
        <f t="shared" si="12"/>
        <v>165.56399999999999</v>
      </c>
      <c r="BD33" s="8">
        <f t="shared" si="8"/>
        <v>3246.4560000000001</v>
      </c>
      <c r="BE33" s="8">
        <f t="shared" si="8"/>
        <v>22157.982</v>
      </c>
      <c r="BF33" s="8">
        <f t="shared" si="8"/>
        <v>93598.847999999998</v>
      </c>
      <c r="BG33" s="8">
        <f t="shared" si="8"/>
        <v>51860.076000000001</v>
      </c>
      <c r="BH33" s="8">
        <f t="shared" si="8"/>
        <v>169018.94400000002</v>
      </c>
      <c r="BI33" s="27">
        <f t="shared" si="9"/>
        <v>340047.87</v>
      </c>
      <c r="BJ33" s="27"/>
      <c r="BN33" s="31"/>
      <c r="BO33" s="10">
        <v>3</v>
      </c>
      <c r="BP33" s="3">
        <f t="shared" si="10"/>
        <v>0</v>
      </c>
      <c r="BQ33" s="3">
        <f t="shared" si="7"/>
        <v>0</v>
      </c>
      <c r="BR33" s="3">
        <f t="shared" si="7"/>
        <v>0</v>
      </c>
      <c r="BS33" s="3">
        <f t="shared" si="7"/>
        <v>0</v>
      </c>
      <c r="BT33" s="3">
        <f t="shared" si="7"/>
        <v>395.51399999999995</v>
      </c>
      <c r="BU33" s="3">
        <f t="shared" si="7"/>
        <v>10932.918000000001</v>
      </c>
      <c r="BV33" s="3">
        <f t="shared" si="7"/>
        <v>71286.03300000001</v>
      </c>
      <c r="BW33" s="3">
        <f t="shared" si="7"/>
        <v>296690.68800000002</v>
      </c>
      <c r="BX33" s="3">
        <f t="shared" si="7"/>
        <v>148486.16099999999</v>
      </c>
      <c r="BY33" s="3">
        <f t="shared" si="7"/>
        <v>689706.33600000001</v>
      </c>
      <c r="BZ33" s="3">
        <f t="shared" si="7"/>
        <v>776206.08000000007</v>
      </c>
      <c r="CA33" s="27">
        <f t="shared" si="11"/>
        <v>1993703.73</v>
      </c>
      <c r="CB33" s="27"/>
    </row>
    <row r="34" spans="2:82" x14ac:dyDescent="0.3">
      <c r="P34" s="28"/>
      <c r="Q34" s="28"/>
      <c r="R34" s="10">
        <v>3</v>
      </c>
      <c r="S34" s="3"/>
      <c r="T34" s="3"/>
      <c r="U34" s="3"/>
      <c r="V34" s="7"/>
      <c r="W34" s="7">
        <f>U3*0.00007</f>
        <v>3.0659999999999998</v>
      </c>
      <c r="X34" s="7">
        <f>U3*0.00109</f>
        <v>47.742000000000004</v>
      </c>
      <c r="Y34" s="7">
        <f>U3*0.00511</f>
        <v>223.81800000000001</v>
      </c>
      <c r="Z34" s="7">
        <f>U3*0.02016</f>
        <v>883.00800000000004</v>
      </c>
      <c r="AA34" s="7">
        <f>U3*0.01117</f>
        <v>489.24599999999998</v>
      </c>
      <c r="AB34" s="7">
        <f>U3*0.06224</f>
        <v>2726.1120000000001</v>
      </c>
      <c r="AC34" s="27">
        <f t="shared" si="13"/>
        <v>4372.9920000000002</v>
      </c>
      <c r="AD34" s="27"/>
      <c r="AG34" s="28"/>
      <c r="AH34" s="10">
        <v>3.5</v>
      </c>
      <c r="AI34" s="3"/>
      <c r="AJ34" s="3"/>
      <c r="AK34" s="3"/>
      <c r="AL34" s="3"/>
      <c r="AM34" s="3"/>
      <c r="AN34" s="3">
        <v>312</v>
      </c>
      <c r="AO34" s="3">
        <v>425.5</v>
      </c>
      <c r="AP34" s="3">
        <v>432</v>
      </c>
      <c r="AQ34" s="3">
        <v>390.5</v>
      </c>
      <c r="AR34" s="3">
        <v>344</v>
      </c>
      <c r="AS34" s="3">
        <v>229.8</v>
      </c>
      <c r="AV34" s="31"/>
      <c r="AW34" s="10">
        <v>3.5</v>
      </c>
      <c r="AX34" s="3"/>
      <c r="AY34" s="3"/>
      <c r="AZ34" s="3"/>
      <c r="BA34" s="3"/>
      <c r="BB34" s="3"/>
      <c r="BC34" s="8">
        <f t="shared" si="12"/>
        <v>0</v>
      </c>
      <c r="BD34" s="8">
        <f t="shared" si="8"/>
        <v>827.81999999999994</v>
      </c>
      <c r="BE34" s="8">
        <f t="shared" si="8"/>
        <v>11317.919999999998</v>
      </c>
      <c r="BF34" s="8">
        <f t="shared" si="8"/>
        <v>28587.383999999998</v>
      </c>
      <c r="BG34" s="8">
        <f t="shared" si="8"/>
        <v>31567.536</v>
      </c>
      <c r="BH34" s="8">
        <f t="shared" si="8"/>
        <v>104182.68000000001</v>
      </c>
      <c r="BI34" s="27">
        <f t="shared" si="9"/>
        <v>176483.34000000003</v>
      </c>
      <c r="BJ34" s="27"/>
      <c r="BN34" s="31"/>
      <c r="BO34" s="10">
        <v>3.5</v>
      </c>
      <c r="BP34" s="3">
        <f t="shared" si="10"/>
        <v>0</v>
      </c>
      <c r="BQ34" s="3">
        <f t="shared" si="7"/>
        <v>0</v>
      </c>
      <c r="BR34" s="3">
        <f t="shared" si="7"/>
        <v>0</v>
      </c>
      <c r="BS34" s="3">
        <f t="shared" si="7"/>
        <v>0</v>
      </c>
      <c r="BT34" s="3">
        <f t="shared" si="7"/>
        <v>0</v>
      </c>
      <c r="BU34" s="3">
        <f t="shared" si="7"/>
        <v>1913.184</v>
      </c>
      <c r="BV34" s="3">
        <f t="shared" si="7"/>
        <v>31682.729999999996</v>
      </c>
      <c r="BW34" s="3">
        <f t="shared" si="7"/>
        <v>98013.887999999992</v>
      </c>
      <c r="BX34" s="3">
        <f t="shared" si="7"/>
        <v>97834.308000000005</v>
      </c>
      <c r="BY34" s="3">
        <f t="shared" si="7"/>
        <v>511983.45600000001</v>
      </c>
      <c r="BZ34" s="3">
        <f t="shared" si="7"/>
        <v>470248.01280000003</v>
      </c>
      <c r="CA34" s="27">
        <f t="shared" si="11"/>
        <v>1211675.5788</v>
      </c>
      <c r="CB34" s="27"/>
    </row>
    <row r="35" spans="2:82" x14ac:dyDescent="0.3">
      <c r="P35" s="28"/>
      <c r="Q35" s="28"/>
      <c r="R35" s="10">
        <v>3.5</v>
      </c>
      <c r="S35" s="3"/>
      <c r="T35" s="3"/>
      <c r="U35" s="3"/>
      <c r="V35" s="7"/>
      <c r="W35" s="7">
        <v>0</v>
      </c>
      <c r="X35" s="7">
        <f>U3*0.00014</f>
        <v>6.1319999999999997</v>
      </c>
      <c r="Y35" s="7">
        <f>U3*0.0017</f>
        <v>74.459999999999994</v>
      </c>
      <c r="Z35" s="7">
        <f>U3*0.00518</f>
        <v>226.88399999999999</v>
      </c>
      <c r="AA35" s="7">
        <f>U3*0.00572</f>
        <v>250.536</v>
      </c>
      <c r="AB35" s="7">
        <f>U3*0.03398</f>
        <v>1488.3240000000001</v>
      </c>
      <c r="AC35" s="27">
        <f t="shared" si="13"/>
        <v>2046.336</v>
      </c>
      <c r="AD35" s="27"/>
      <c r="AG35" s="28"/>
      <c r="AH35" s="10">
        <v>4</v>
      </c>
      <c r="AI35" s="3"/>
      <c r="AJ35" s="3"/>
      <c r="AK35" s="3"/>
      <c r="AL35" s="3"/>
      <c r="AM35" s="3"/>
      <c r="AN35" s="3">
        <v>462</v>
      </c>
      <c r="AO35" s="3">
        <v>521</v>
      </c>
      <c r="AP35" s="3">
        <v>538</v>
      </c>
      <c r="AQ35" s="3">
        <v>487</v>
      </c>
      <c r="AR35" s="3">
        <v>406.5</v>
      </c>
      <c r="AS35" s="3">
        <v>287.2</v>
      </c>
      <c r="AV35" s="31"/>
      <c r="AW35" s="10">
        <v>4</v>
      </c>
      <c r="AX35" s="3"/>
      <c r="AY35" s="3"/>
      <c r="AZ35" s="3"/>
      <c r="BA35" s="3"/>
      <c r="BB35" s="3"/>
      <c r="BC35" s="8">
        <f t="shared" si="12"/>
        <v>0</v>
      </c>
      <c r="BD35" s="8">
        <f t="shared" si="8"/>
        <v>0</v>
      </c>
      <c r="BE35" s="8">
        <f t="shared" si="8"/>
        <v>1734.48</v>
      </c>
      <c r="BF35" s="8">
        <f t="shared" si="8"/>
        <v>7326.8640000000005</v>
      </c>
      <c r="BG35" s="8">
        <f t="shared" si="8"/>
        <v>16665.024000000001</v>
      </c>
      <c r="BH35" s="8">
        <f t="shared" si="8"/>
        <v>60531.600000000006</v>
      </c>
      <c r="BI35" s="27">
        <f t="shared" si="9"/>
        <v>86257.968000000008</v>
      </c>
      <c r="BJ35" s="27"/>
      <c r="BN35" s="31"/>
      <c r="BO35" s="10">
        <v>4</v>
      </c>
      <c r="BP35" s="3">
        <f t="shared" si="10"/>
        <v>0</v>
      </c>
      <c r="BQ35" s="3">
        <f t="shared" si="7"/>
        <v>0</v>
      </c>
      <c r="BR35" s="3">
        <f t="shared" si="7"/>
        <v>0</v>
      </c>
      <c r="BS35" s="3">
        <f t="shared" si="7"/>
        <v>0</v>
      </c>
      <c r="BT35" s="3">
        <f t="shared" si="7"/>
        <v>0</v>
      </c>
      <c r="BU35" s="3">
        <f t="shared" si="7"/>
        <v>0</v>
      </c>
      <c r="BV35" s="3">
        <f t="shared" si="7"/>
        <v>4563.96</v>
      </c>
      <c r="BW35" s="3">
        <f t="shared" si="7"/>
        <v>24035.688000000002</v>
      </c>
      <c r="BX35" s="3">
        <f t="shared" si="7"/>
        <v>49486.991999999998</v>
      </c>
      <c r="BY35" s="3">
        <f t="shared" si="7"/>
        <v>246060.95400000003</v>
      </c>
      <c r="BZ35" s="3">
        <f t="shared" si="7"/>
        <v>218377.68960000001</v>
      </c>
      <c r="CA35" s="27">
        <f t="shared" si="11"/>
        <v>542525.28360000008</v>
      </c>
      <c r="CB35" s="27"/>
    </row>
    <row r="36" spans="2:82" x14ac:dyDescent="0.3">
      <c r="P36" s="28"/>
      <c r="Q36" s="28"/>
      <c r="R36" s="10">
        <v>4</v>
      </c>
      <c r="S36" s="3"/>
      <c r="T36" s="3"/>
      <c r="U36" s="3"/>
      <c r="V36" s="7"/>
      <c r="W36" s="7"/>
      <c r="X36" s="7"/>
      <c r="Y36" s="7">
        <f>U3*0.0002</f>
        <v>8.76</v>
      </c>
      <c r="Z36" s="7">
        <f>U3*0.00102</f>
        <v>44.676000000000002</v>
      </c>
      <c r="AA36" s="7">
        <f>U3*0.00232</f>
        <v>101.616</v>
      </c>
      <c r="AB36" s="7">
        <f>U3*0.01382</f>
        <v>605.31600000000003</v>
      </c>
      <c r="AC36" s="27">
        <f t="shared" si="13"/>
        <v>760.36800000000005</v>
      </c>
      <c r="AD36" s="27"/>
      <c r="AG36" s="28"/>
      <c r="AH36" s="10">
        <v>4.5</v>
      </c>
      <c r="AI36" s="3"/>
      <c r="AJ36" s="3"/>
      <c r="AK36" s="3"/>
      <c r="AL36" s="3"/>
      <c r="AM36" s="3"/>
      <c r="AN36" s="3">
        <v>544</v>
      </c>
      <c r="AO36" s="3">
        <v>628.5</v>
      </c>
      <c r="AP36" s="3">
        <v>638</v>
      </c>
      <c r="AQ36" s="3">
        <v>576</v>
      </c>
      <c r="AR36" s="3">
        <v>500.5</v>
      </c>
      <c r="AS36" s="3">
        <v>345.7</v>
      </c>
      <c r="AV36" s="31"/>
      <c r="AW36" s="10">
        <v>4.5</v>
      </c>
      <c r="AX36" s="3"/>
      <c r="AY36" s="3"/>
      <c r="AZ36" s="3"/>
      <c r="BA36" s="3"/>
      <c r="BB36" s="3"/>
      <c r="BC36" s="8">
        <f t="shared" si="12"/>
        <v>0</v>
      </c>
      <c r="BD36" s="8">
        <f t="shared" si="8"/>
        <v>0</v>
      </c>
      <c r="BE36" s="8">
        <f t="shared" si="8"/>
        <v>0</v>
      </c>
      <c r="BF36" s="8">
        <f t="shared" si="8"/>
        <v>1060.836</v>
      </c>
      <c r="BG36" s="8">
        <f t="shared" si="8"/>
        <v>2045.8980000000001</v>
      </c>
      <c r="BH36" s="8">
        <f t="shared" si="8"/>
        <v>29819.040000000001</v>
      </c>
      <c r="BI36" s="27">
        <f t="shared" si="9"/>
        <v>32925.774000000005</v>
      </c>
      <c r="BJ36" s="27"/>
      <c r="BN36" s="31"/>
      <c r="BO36" s="10">
        <v>4.5</v>
      </c>
      <c r="BP36" s="3">
        <f t="shared" si="10"/>
        <v>0</v>
      </c>
      <c r="BQ36" s="3">
        <f t="shared" si="7"/>
        <v>0</v>
      </c>
      <c r="BR36" s="3">
        <f t="shared" si="7"/>
        <v>0</v>
      </c>
      <c r="BS36" s="3">
        <f t="shared" si="7"/>
        <v>0</v>
      </c>
      <c r="BT36" s="3">
        <f t="shared" si="7"/>
        <v>0</v>
      </c>
      <c r="BU36" s="3">
        <f t="shared" si="7"/>
        <v>0</v>
      </c>
      <c r="BV36" s="3">
        <f t="shared" si="7"/>
        <v>0</v>
      </c>
      <c r="BW36" s="3">
        <f t="shared" si="7"/>
        <v>3912.2159999999999</v>
      </c>
      <c r="BX36" s="3">
        <f t="shared" si="7"/>
        <v>6811.7759999999998</v>
      </c>
      <c r="BY36" s="3">
        <f t="shared" si="7"/>
        <v>129777.648</v>
      </c>
      <c r="BZ36" s="3">
        <f t="shared" si="7"/>
        <v>95846.707800000004</v>
      </c>
      <c r="CA36" s="27">
        <f t="shared" si="11"/>
        <v>236348.34780000002</v>
      </c>
      <c r="CB36" s="27"/>
    </row>
    <row r="37" spans="2:82" x14ac:dyDescent="0.3">
      <c r="P37" s="28"/>
      <c r="Q37" s="28"/>
      <c r="R37" s="10">
        <v>4.5</v>
      </c>
      <c r="S37" s="3"/>
      <c r="T37" s="3"/>
      <c r="U37" s="3"/>
      <c r="V37" s="7"/>
      <c r="W37" s="7"/>
      <c r="X37" s="7"/>
      <c r="Y37" s="7"/>
      <c r="Z37" s="7">
        <f>U3*0.00014</f>
        <v>6.1319999999999997</v>
      </c>
      <c r="AA37" s="7">
        <f>U3*0.00027</f>
        <v>11.826000000000001</v>
      </c>
      <c r="AB37" s="7">
        <f>U3*0.00592</f>
        <v>259.29599999999999</v>
      </c>
      <c r="AC37" s="27">
        <f t="shared" si="13"/>
        <v>277.25400000000002</v>
      </c>
      <c r="AD37" s="27"/>
      <c r="AG37" s="28"/>
      <c r="AH37" s="10">
        <v>5</v>
      </c>
      <c r="AI37" s="3"/>
      <c r="AJ37" s="3"/>
      <c r="AK37" s="3"/>
      <c r="AL37" s="3"/>
      <c r="AM37" s="3"/>
      <c r="AN37" s="3">
        <v>0</v>
      </c>
      <c r="AO37" s="3">
        <v>732.5</v>
      </c>
      <c r="AP37" s="3">
        <v>719</v>
      </c>
      <c r="AQ37" s="3">
        <v>678.5</v>
      </c>
      <c r="AR37" s="3">
        <v>582</v>
      </c>
      <c r="AS37" s="3">
        <v>409.2</v>
      </c>
      <c r="AV37" s="31"/>
      <c r="AW37" s="10">
        <v>5</v>
      </c>
      <c r="AX37" s="3"/>
      <c r="AY37" s="3"/>
      <c r="AZ37" s="3"/>
      <c r="BA37" s="3"/>
      <c r="BB37" s="3"/>
      <c r="BC37" s="8">
        <f t="shared" si="12"/>
        <v>0</v>
      </c>
      <c r="BD37" s="8">
        <f t="shared" si="8"/>
        <v>0</v>
      </c>
      <c r="BE37" s="8">
        <f t="shared" si="8"/>
        <v>0</v>
      </c>
      <c r="BF37" s="8">
        <f t="shared" si="8"/>
        <v>0</v>
      </c>
      <c r="BG37" s="8">
        <f t="shared" si="8"/>
        <v>656.12399999999991</v>
      </c>
      <c r="BH37" s="8">
        <f t="shared" si="8"/>
        <v>14429.472</v>
      </c>
      <c r="BI37" s="27">
        <f t="shared" si="9"/>
        <v>15085.596</v>
      </c>
      <c r="BJ37" s="27"/>
      <c r="BN37" s="31"/>
      <c r="BO37" s="10">
        <v>5</v>
      </c>
      <c r="BP37" s="3">
        <f t="shared" si="10"/>
        <v>0</v>
      </c>
      <c r="BQ37" s="3">
        <f t="shared" si="7"/>
        <v>0</v>
      </c>
      <c r="BR37" s="3">
        <f t="shared" si="7"/>
        <v>0</v>
      </c>
      <c r="BS37" s="3">
        <f t="shared" si="7"/>
        <v>0</v>
      </c>
      <c r="BT37" s="3">
        <f t="shared" si="7"/>
        <v>0</v>
      </c>
      <c r="BU37" s="3">
        <f t="shared" si="7"/>
        <v>0</v>
      </c>
      <c r="BV37" s="3">
        <f t="shared" si="7"/>
        <v>0</v>
      </c>
      <c r="BW37" s="3">
        <f t="shared" si="7"/>
        <v>0</v>
      </c>
      <c r="BX37" s="3">
        <f t="shared" si="7"/>
        <v>2080.2809999999999</v>
      </c>
      <c r="BY37" s="3">
        <f t="shared" si="7"/>
        <v>59140.512000000002</v>
      </c>
      <c r="BZ37" s="3">
        <f t="shared" si="7"/>
        <v>42835.874400000001</v>
      </c>
      <c r="CA37" s="27">
        <f t="shared" si="11"/>
        <v>104056.66740000001</v>
      </c>
      <c r="CB37" s="27"/>
    </row>
    <row r="38" spans="2:82" x14ac:dyDescent="0.3">
      <c r="P38" s="28"/>
      <c r="Q38" s="28"/>
      <c r="R38" s="10">
        <v>5</v>
      </c>
      <c r="S38" s="3"/>
      <c r="T38" s="3"/>
      <c r="U38" s="3"/>
      <c r="V38" s="7"/>
      <c r="W38" s="7"/>
      <c r="X38" s="7"/>
      <c r="Y38" s="7"/>
      <c r="Z38" s="7">
        <f>U24*0.0002</f>
        <v>0</v>
      </c>
      <c r="AA38" s="7">
        <f>U3*0.00007</f>
        <v>3.0659999999999998</v>
      </c>
      <c r="AB38" s="7">
        <f>U3*0.00232</f>
        <v>101.616</v>
      </c>
      <c r="AC38" s="27">
        <f t="shared" si="13"/>
        <v>104.682</v>
      </c>
      <c r="AD38" s="27"/>
      <c r="AG38" s="28"/>
      <c r="AH38" s="10" t="s">
        <v>15</v>
      </c>
      <c r="AI38" s="3"/>
      <c r="AJ38" s="3"/>
      <c r="AK38" s="3"/>
      <c r="AL38" s="3"/>
      <c r="AM38" s="3"/>
      <c r="AN38" s="3">
        <v>0</v>
      </c>
      <c r="AO38" s="3">
        <v>750</v>
      </c>
      <c r="AP38" s="3">
        <v>750</v>
      </c>
      <c r="AQ38" s="3">
        <v>750</v>
      </c>
      <c r="AR38" s="3">
        <v>732.2</v>
      </c>
      <c r="AS38" s="3">
        <v>610.4</v>
      </c>
      <c r="AV38" s="31"/>
      <c r="AW38" s="10" t="s">
        <v>15</v>
      </c>
      <c r="AX38" s="3"/>
      <c r="AY38" s="3"/>
      <c r="AZ38" s="3"/>
      <c r="BA38" s="3"/>
      <c r="BB38" s="3"/>
      <c r="BC38" s="8">
        <f t="shared" si="12"/>
        <v>0</v>
      </c>
      <c r="BD38" s="8">
        <f t="shared" si="8"/>
        <v>0</v>
      </c>
      <c r="BE38" s="8">
        <f t="shared" si="8"/>
        <v>0</v>
      </c>
      <c r="BF38" s="8">
        <f t="shared" si="8"/>
        <v>0</v>
      </c>
      <c r="BG38" s="8">
        <f t="shared" si="8"/>
        <v>0</v>
      </c>
      <c r="BH38" s="8">
        <f t="shared" si="8"/>
        <v>19512.023999999998</v>
      </c>
      <c r="BI38" s="27">
        <f>SUM(AY38:BH38)+1</f>
        <v>19513.023999999998</v>
      </c>
      <c r="BJ38" s="27"/>
      <c r="BN38" s="31"/>
      <c r="BO38" s="10" t="s">
        <v>15</v>
      </c>
      <c r="BP38" s="3">
        <f t="shared" si="10"/>
        <v>0</v>
      </c>
      <c r="BQ38" s="3">
        <f t="shared" si="7"/>
        <v>0</v>
      </c>
      <c r="BR38" s="3">
        <f t="shared" si="7"/>
        <v>0</v>
      </c>
      <c r="BS38" s="3">
        <f t="shared" si="7"/>
        <v>0</v>
      </c>
      <c r="BT38" s="3">
        <f t="shared" si="7"/>
        <v>0</v>
      </c>
      <c r="BU38" s="3">
        <f t="shared" si="7"/>
        <v>0</v>
      </c>
      <c r="BV38" s="3">
        <f t="shared" si="7"/>
        <v>0</v>
      </c>
      <c r="BW38" s="3">
        <f t="shared" si="7"/>
        <v>0</v>
      </c>
      <c r="BX38" s="3">
        <f t="shared" si="7"/>
        <v>0</v>
      </c>
      <c r="BY38" s="3">
        <f t="shared" si="7"/>
        <v>83062.232399999994</v>
      </c>
      <c r="BZ38" s="3">
        <f t="shared" si="7"/>
        <v>69244.996799999994</v>
      </c>
      <c r="CA38" s="27">
        <f>SUM(BQ38:BZ38)+1</f>
        <v>152308.2292</v>
      </c>
      <c r="CB38" s="27"/>
    </row>
    <row r="39" spans="2:82" x14ac:dyDescent="0.3">
      <c r="P39" s="28"/>
      <c r="Q39" s="28"/>
      <c r="R39" s="10" t="s">
        <v>15</v>
      </c>
      <c r="S39" s="3"/>
      <c r="T39" s="3"/>
      <c r="U39" s="3"/>
      <c r="V39" s="7"/>
      <c r="W39" s="7"/>
      <c r="X39" s="7"/>
      <c r="Y39" s="7"/>
      <c r="Z39" s="7">
        <f>U24*0.00007</f>
        <v>0</v>
      </c>
      <c r="AA39" s="7">
        <f>U24*0.00041</f>
        <v>0</v>
      </c>
      <c r="AB39" s="7">
        <f>U3*0.00259</f>
        <v>113.44199999999999</v>
      </c>
      <c r="AC39" s="27">
        <f t="shared" si="13"/>
        <v>113.44199999999999</v>
      </c>
      <c r="AD39" s="27"/>
      <c r="AV39" s="31"/>
      <c r="AW39" s="25" t="s">
        <v>16</v>
      </c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16"/>
      <c r="BI39" s="29">
        <f>SUM(BI28:BJ38)</f>
        <v>1881098.1712000002</v>
      </c>
      <c r="BJ39" s="29"/>
      <c r="BN39" s="31"/>
      <c r="BO39" s="25" t="s">
        <v>16</v>
      </c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16"/>
      <c r="CA39" s="29">
        <f>SUM(CA28:CB38)</f>
        <v>11392918.343800003</v>
      </c>
      <c r="CB39" s="29"/>
    </row>
    <row r="40" spans="2:82" x14ac:dyDescent="0.3">
      <c r="P40" s="28"/>
      <c r="Q40" s="28"/>
      <c r="R40" s="28" t="s">
        <v>16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29">
        <f>SUM(AC29:AD39)</f>
        <v>43800.124000000011</v>
      </c>
      <c r="AD40" s="29"/>
      <c r="AV40" s="31"/>
      <c r="AW40" s="13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15"/>
      <c r="BI40" s="29"/>
      <c r="BJ40" s="29"/>
      <c r="BN40" s="31"/>
      <c r="BO40" s="13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15"/>
      <c r="CA40" s="29"/>
      <c r="CB40" s="29"/>
    </row>
    <row r="41" spans="2:82" x14ac:dyDescent="0.3">
      <c r="P41" s="28"/>
      <c r="Q41" s="28"/>
      <c r="R41" s="28"/>
      <c r="S41" s="4"/>
      <c r="T41" s="4"/>
      <c r="U41" s="4"/>
      <c r="V41" s="4"/>
      <c r="W41" s="4"/>
      <c r="X41" s="4"/>
      <c r="Y41" s="4"/>
      <c r="Z41" s="4"/>
      <c r="AA41" s="4"/>
      <c r="AB41" s="4"/>
      <c r="AC41" s="29"/>
      <c r="AD41" s="29"/>
      <c r="AV41" s="32"/>
      <c r="AW41" s="26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17"/>
      <c r="BI41" s="29"/>
      <c r="BJ41" s="29"/>
      <c r="BN41" s="32"/>
      <c r="BO41" s="26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17"/>
      <c r="CA41" s="29"/>
      <c r="CB41" s="29"/>
    </row>
    <row r="42" spans="2:82" x14ac:dyDescent="0.3">
      <c r="P42" s="28"/>
      <c r="Q42" s="28"/>
      <c r="R42" s="28"/>
      <c r="S42" s="5"/>
      <c r="T42" s="5"/>
      <c r="U42" s="5"/>
      <c r="V42" s="5"/>
      <c r="W42" s="5"/>
      <c r="X42" s="5"/>
      <c r="Y42" s="5"/>
      <c r="Z42" s="5"/>
      <c r="AA42" s="5"/>
      <c r="AB42" s="5"/>
      <c r="AC42" s="29"/>
      <c r="AD42" s="29"/>
      <c r="BI42" s="36">
        <f>BI39/5</f>
        <v>376219.63424000004</v>
      </c>
      <c r="BJ42" s="37"/>
      <c r="BK42" s="40" t="s">
        <v>17</v>
      </c>
      <c r="CA42" s="36">
        <f>CA39/5</f>
        <v>2278583.6687600007</v>
      </c>
      <c r="CB42" s="37"/>
      <c r="CC42" s="40" t="s">
        <v>17</v>
      </c>
    </row>
    <row r="43" spans="2:82" x14ac:dyDescent="0.3">
      <c r="AG43">
        <f>6*230.914</f>
        <v>1385.4839999999999</v>
      </c>
      <c r="BI43" s="38"/>
      <c r="BJ43" s="39"/>
      <c r="BK43" s="41"/>
      <c r="CA43" s="38"/>
      <c r="CB43" s="39"/>
      <c r="CC43" s="41"/>
    </row>
    <row r="44" spans="2:82" x14ac:dyDescent="0.3">
      <c r="U44" s="2" t="s">
        <v>0</v>
      </c>
      <c r="BI44" s="42">
        <f>BI42*0.001</f>
        <v>376.21963424000006</v>
      </c>
      <c r="BJ44" s="43"/>
      <c r="BK44" s="46" t="s">
        <v>18</v>
      </c>
      <c r="CA44" s="42">
        <f>CA42*0.001</f>
        <v>2278.5836687600008</v>
      </c>
      <c r="CB44" s="43"/>
      <c r="CC44" s="46" t="s">
        <v>18</v>
      </c>
    </row>
    <row r="45" spans="2:82" x14ac:dyDescent="0.3">
      <c r="U45">
        <f>(5*8760)</f>
        <v>43800</v>
      </c>
      <c r="BI45" s="44"/>
      <c r="BJ45" s="45"/>
      <c r="BK45" s="47"/>
      <c r="CA45" s="44"/>
      <c r="CB45" s="45"/>
      <c r="CC45" s="47"/>
      <c r="CD45" s="23"/>
    </row>
    <row r="46" spans="2:82" x14ac:dyDescent="0.3">
      <c r="B46" t="s">
        <v>23</v>
      </c>
      <c r="E46" t="s">
        <v>24</v>
      </c>
      <c r="AV46" s="2" t="s">
        <v>23</v>
      </c>
      <c r="AW46" s="2"/>
      <c r="AX46" s="2"/>
      <c r="AY46" s="2" t="s">
        <v>24</v>
      </c>
      <c r="BN46" s="2" t="s">
        <v>23</v>
      </c>
      <c r="BO46" s="2"/>
      <c r="BP46" s="2"/>
      <c r="BQ46" s="2" t="s">
        <v>24</v>
      </c>
      <c r="CB46" s="22"/>
      <c r="CC46" s="22"/>
      <c r="CD46" s="23"/>
    </row>
    <row r="48" spans="2:82" x14ac:dyDescent="0.3">
      <c r="P48" s="28" t="s">
        <v>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V48" s="28" t="s">
        <v>8</v>
      </c>
      <c r="AW48" s="28"/>
      <c r="AX48" s="33" t="s">
        <v>7</v>
      </c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5"/>
      <c r="BN48" s="28" t="s">
        <v>8</v>
      </c>
      <c r="BO48" s="28"/>
      <c r="BP48" s="33" t="s">
        <v>7</v>
      </c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5"/>
    </row>
    <row r="49" spans="13:81" x14ac:dyDescent="0.3"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V49" s="28"/>
      <c r="AW49" s="28"/>
      <c r="AX49" s="11" t="s">
        <v>9</v>
      </c>
      <c r="AY49" s="3">
        <v>2</v>
      </c>
      <c r="AZ49" s="3">
        <v>3</v>
      </c>
      <c r="BA49" s="3">
        <v>4</v>
      </c>
      <c r="BB49" s="3">
        <v>5</v>
      </c>
      <c r="BC49" s="3">
        <v>6</v>
      </c>
      <c r="BD49" s="3">
        <v>7</v>
      </c>
      <c r="BE49" s="3">
        <v>8</v>
      </c>
      <c r="BF49" s="3">
        <v>9</v>
      </c>
      <c r="BG49" s="3">
        <v>10</v>
      </c>
      <c r="BH49" s="3" t="s">
        <v>10</v>
      </c>
      <c r="BI49" s="27" t="s">
        <v>11</v>
      </c>
      <c r="BJ49" s="27"/>
      <c r="BN49" s="28"/>
      <c r="BO49" s="28"/>
      <c r="BP49" s="11" t="s">
        <v>9</v>
      </c>
      <c r="BQ49" s="3">
        <v>2</v>
      </c>
      <c r="BR49" s="3">
        <v>3</v>
      </c>
      <c r="BS49" s="3">
        <v>4</v>
      </c>
      <c r="BT49" s="3">
        <v>5</v>
      </c>
      <c r="BU49" s="3">
        <v>6</v>
      </c>
      <c r="BV49" s="3">
        <v>7</v>
      </c>
      <c r="BW49" s="3">
        <v>8</v>
      </c>
      <c r="BX49" s="3">
        <v>9</v>
      </c>
      <c r="BY49" s="3">
        <v>10</v>
      </c>
      <c r="BZ49" s="3" t="s">
        <v>10</v>
      </c>
      <c r="CA49" s="27" t="s">
        <v>11</v>
      </c>
      <c r="CB49" s="27"/>
    </row>
    <row r="50" spans="13:81" x14ac:dyDescent="0.3">
      <c r="P50" s="28" t="s">
        <v>12</v>
      </c>
      <c r="Q50" s="28"/>
      <c r="R50" s="3" t="s">
        <v>9</v>
      </c>
      <c r="S50" s="3">
        <v>2</v>
      </c>
      <c r="T50" s="3">
        <v>3</v>
      </c>
      <c r="U50" s="3">
        <v>4</v>
      </c>
      <c r="V50" s="3">
        <v>5</v>
      </c>
      <c r="W50" s="3">
        <v>6</v>
      </c>
      <c r="X50" s="3">
        <v>7</v>
      </c>
      <c r="Y50" s="3">
        <v>8</v>
      </c>
      <c r="Z50" s="3">
        <v>9</v>
      </c>
      <c r="AA50" s="3">
        <v>10</v>
      </c>
      <c r="AB50" s="3" t="s">
        <v>10</v>
      </c>
      <c r="AC50" s="27" t="s">
        <v>13</v>
      </c>
      <c r="AD50" s="27"/>
      <c r="AV50" s="30" t="s">
        <v>12</v>
      </c>
      <c r="AW50" s="10" t="s">
        <v>14</v>
      </c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27">
        <f>SUM(AY50:BH50)</f>
        <v>0</v>
      </c>
      <c r="BJ50" s="27"/>
      <c r="BN50" s="30" t="s">
        <v>12</v>
      </c>
      <c r="BO50" s="10" t="s">
        <v>14</v>
      </c>
      <c r="BP50" s="3">
        <f>AI28*S51</f>
        <v>0</v>
      </c>
      <c r="BQ50" s="3">
        <f t="shared" ref="BQ50:BZ60" si="14">AJ28*T51</f>
        <v>0</v>
      </c>
      <c r="BR50" s="3">
        <f t="shared" si="14"/>
        <v>0</v>
      </c>
      <c r="BS50" s="3">
        <f t="shared" si="14"/>
        <v>0</v>
      </c>
      <c r="BT50" s="3">
        <f t="shared" si="14"/>
        <v>0</v>
      </c>
      <c r="BU50" s="3">
        <f t="shared" si="14"/>
        <v>0</v>
      </c>
      <c r="BV50" s="3">
        <f t="shared" si="14"/>
        <v>0</v>
      </c>
      <c r="BW50" s="3">
        <f t="shared" si="14"/>
        <v>0</v>
      </c>
      <c r="BX50" s="3">
        <f t="shared" si="14"/>
        <v>0</v>
      </c>
      <c r="BY50" s="3">
        <f t="shared" si="14"/>
        <v>0</v>
      </c>
      <c r="BZ50" s="3">
        <f t="shared" si="14"/>
        <v>0</v>
      </c>
      <c r="CA50" s="27">
        <f>SUM(BQ50:BZ50)</f>
        <v>0</v>
      </c>
      <c r="CB50" s="27"/>
    </row>
    <row r="51" spans="13:81" x14ac:dyDescent="0.3">
      <c r="P51" s="28"/>
      <c r="Q51" s="28"/>
      <c r="R51" s="10" t="s">
        <v>14</v>
      </c>
      <c r="S51" s="3"/>
      <c r="T51" s="3"/>
      <c r="U51" s="7">
        <f>U3*0.00007</f>
        <v>3.0659999999999998</v>
      </c>
      <c r="V51" s="7">
        <f>U45*0.0002</f>
        <v>8.76</v>
      </c>
      <c r="W51" s="7">
        <f>U45*0.00102</f>
        <v>44.676000000000002</v>
      </c>
      <c r="X51" s="7">
        <f>U45*0.00054</f>
        <v>23.652000000000001</v>
      </c>
      <c r="Y51" s="7"/>
      <c r="Z51" s="7"/>
      <c r="AA51" s="7">
        <f>U45*0.00027</f>
        <v>11.826000000000001</v>
      </c>
      <c r="AB51" s="7">
        <f>U45*0.00034</f>
        <v>14.892000000000001</v>
      </c>
      <c r="AC51" s="27">
        <f>SUM(S51:AB51)</f>
        <v>106.87199999999999</v>
      </c>
      <c r="AD51" s="27"/>
      <c r="AV51" s="31"/>
      <c r="AW51" s="12">
        <v>1</v>
      </c>
      <c r="AX51" s="3"/>
      <c r="AY51" s="3"/>
      <c r="AZ51" s="3"/>
      <c r="BA51" s="3"/>
      <c r="BB51" s="3"/>
      <c r="BC51" s="8">
        <f>AN8*W52</f>
        <v>2967.0120000000002</v>
      </c>
      <c r="BD51" s="8">
        <f t="shared" ref="BD51:BH60" si="15">AO8*X52</f>
        <v>2645.52</v>
      </c>
      <c r="BE51" s="8">
        <f t="shared" si="15"/>
        <v>5930.9579999999996</v>
      </c>
      <c r="BF51" s="8">
        <f t="shared" si="15"/>
        <v>5397.9119999999994</v>
      </c>
      <c r="BG51" s="8">
        <f t="shared" si="15"/>
        <v>3372.6000000000004</v>
      </c>
      <c r="BH51" s="8">
        <f t="shared" si="15"/>
        <v>1132.23</v>
      </c>
      <c r="BI51" s="27">
        <f t="shared" ref="BI51:BI59" si="16">SUM(AY51:BH51)</f>
        <v>21446.232</v>
      </c>
      <c r="BJ51" s="27"/>
      <c r="BN51" s="31"/>
      <c r="BO51" s="12">
        <v>1</v>
      </c>
      <c r="BP51" s="3">
        <f t="shared" ref="BP51:BP60" si="17">AI29*S52</f>
        <v>0</v>
      </c>
      <c r="BQ51" s="3">
        <f t="shared" si="14"/>
        <v>0</v>
      </c>
      <c r="BR51" s="3">
        <f t="shared" si="14"/>
        <v>0</v>
      </c>
      <c r="BS51" s="3">
        <f t="shared" si="14"/>
        <v>0</v>
      </c>
      <c r="BT51" s="3">
        <f t="shared" si="14"/>
        <v>0</v>
      </c>
      <c r="BU51" s="3">
        <f t="shared" si="14"/>
        <v>8432.5949999999993</v>
      </c>
      <c r="BV51" s="3">
        <f t="shared" si="14"/>
        <v>19140.819</v>
      </c>
      <c r="BW51" s="3">
        <f t="shared" si="14"/>
        <v>17093.387999999999</v>
      </c>
      <c r="BX51" s="3">
        <f t="shared" si="14"/>
        <v>11037.6</v>
      </c>
      <c r="BY51" s="3">
        <f t="shared" si="14"/>
        <v>6906.6030000000001</v>
      </c>
      <c r="BZ51" s="3">
        <f t="shared" si="14"/>
        <v>30214.641599999995</v>
      </c>
      <c r="CA51" s="27">
        <f t="shared" ref="CA51:CA59" si="18">SUM(BQ51:BZ51)</f>
        <v>92825.646599999993</v>
      </c>
      <c r="CB51" s="27"/>
    </row>
    <row r="52" spans="13:81" x14ac:dyDescent="0.3">
      <c r="P52" s="28"/>
      <c r="Q52" s="28"/>
      <c r="R52" s="10">
        <v>1</v>
      </c>
      <c r="S52" s="3"/>
      <c r="T52" s="3"/>
      <c r="U52" s="7">
        <f>U45*0.00041</f>
        <v>17.957999999999998</v>
      </c>
      <c r="V52" s="7">
        <f>U45*0.00496</f>
        <v>217.24799999999999</v>
      </c>
      <c r="W52" s="7">
        <f>U45*0.01129</f>
        <v>494.50200000000001</v>
      </c>
      <c r="X52" s="7">
        <f>U45*0.00755</f>
        <v>330.69</v>
      </c>
      <c r="Y52" s="7">
        <f>U45*0.01231</f>
        <v>539.178</v>
      </c>
      <c r="Z52" s="7">
        <f>U45*0.01027</f>
        <v>449.82599999999996</v>
      </c>
      <c r="AA52" s="7">
        <f>U45*0.007</f>
        <v>306.60000000000002</v>
      </c>
      <c r="AB52" s="7">
        <f>U45*0.00517</f>
        <v>226.446</v>
      </c>
      <c r="AC52" s="27">
        <f t="shared" ref="AC52:AC61" si="19">SUM(S52:AB52)</f>
        <v>2582.4479999999999</v>
      </c>
      <c r="AD52" s="27"/>
      <c r="AV52" s="31"/>
      <c r="AW52" s="10">
        <v>1.5</v>
      </c>
      <c r="AX52" s="3"/>
      <c r="AY52" s="3"/>
      <c r="AZ52" s="3"/>
      <c r="BA52" s="3"/>
      <c r="BB52" s="3"/>
      <c r="BC52" s="8">
        <f t="shared" ref="BC52:BC60" si="20">AN9*W53</f>
        <v>10186.566000000001</v>
      </c>
      <c r="BD52" s="8">
        <f t="shared" si="15"/>
        <v>12963.485999999997</v>
      </c>
      <c r="BE52" s="8">
        <f t="shared" si="15"/>
        <v>22786.949999999997</v>
      </c>
      <c r="BF52" s="8">
        <f t="shared" si="15"/>
        <v>43285.788000000008</v>
      </c>
      <c r="BG52" s="8">
        <f t="shared" si="15"/>
        <v>40894.307999999997</v>
      </c>
      <c r="BH52" s="8">
        <f t="shared" si="15"/>
        <v>29606.3472</v>
      </c>
      <c r="BI52" s="27">
        <f t="shared" si="16"/>
        <v>159723.44519999999</v>
      </c>
      <c r="BJ52" s="27"/>
      <c r="BN52" s="31"/>
      <c r="BO52" s="10">
        <v>1.5</v>
      </c>
      <c r="BP52" s="3">
        <f t="shared" si="17"/>
        <v>0</v>
      </c>
      <c r="BQ52" s="3">
        <f t="shared" si="14"/>
        <v>0</v>
      </c>
      <c r="BR52" s="3">
        <f t="shared" si="14"/>
        <v>0</v>
      </c>
      <c r="BS52" s="3">
        <f t="shared" si="14"/>
        <v>0</v>
      </c>
      <c r="BT52" s="3">
        <f t="shared" si="14"/>
        <v>25074.624</v>
      </c>
      <c r="BU52" s="3">
        <f t="shared" si="14"/>
        <v>43847.084999999992</v>
      </c>
      <c r="BV52" s="3">
        <f t="shared" si="14"/>
        <v>72462.500999999989</v>
      </c>
      <c r="BW52" s="3">
        <f t="shared" si="14"/>
        <v>143176.06800000003</v>
      </c>
      <c r="BX52" s="3">
        <f t="shared" si="14"/>
        <v>126615.06899999999</v>
      </c>
      <c r="BY52" s="3">
        <f t="shared" si="14"/>
        <v>133423.34100000001</v>
      </c>
      <c r="BZ52" s="3">
        <f t="shared" si="14"/>
        <v>354080.076</v>
      </c>
      <c r="CA52" s="27">
        <f t="shared" si="18"/>
        <v>898678.76399999997</v>
      </c>
      <c r="CB52" s="27"/>
    </row>
    <row r="53" spans="13:81" x14ac:dyDescent="0.3">
      <c r="P53" s="28"/>
      <c r="Q53" s="28"/>
      <c r="R53" s="10">
        <v>1.5</v>
      </c>
      <c r="S53" s="3"/>
      <c r="T53" s="3"/>
      <c r="U53" s="7">
        <f>U45*0.00007</f>
        <v>3.0659999999999998</v>
      </c>
      <c r="V53" s="7">
        <f>U45*0.00428</f>
        <v>187.464</v>
      </c>
      <c r="W53" s="7">
        <f>U45*0.01789</f>
        <v>783.58199999999999</v>
      </c>
      <c r="X53" s="7">
        <f>U45*0.01741</f>
        <v>762.55799999999988</v>
      </c>
      <c r="Y53" s="7">
        <f>U45*0.02081</f>
        <v>911.47799999999995</v>
      </c>
      <c r="Z53" s="7">
        <f>U45*0.03801</f>
        <v>1664.8380000000002</v>
      </c>
      <c r="AA53" s="7">
        <f>U45*0.03591</f>
        <v>1572.8579999999999</v>
      </c>
      <c r="AB53" s="7">
        <f>U45*0.04447</f>
        <v>1947.7860000000001</v>
      </c>
      <c r="AC53" s="27">
        <f t="shared" si="19"/>
        <v>7833.63</v>
      </c>
      <c r="AD53" s="27"/>
      <c r="AV53" s="31"/>
      <c r="AW53" s="10">
        <v>2</v>
      </c>
      <c r="AX53" s="3"/>
      <c r="AY53" s="3"/>
      <c r="AZ53" s="3"/>
      <c r="BA53" s="3"/>
      <c r="BB53" s="3"/>
      <c r="BC53" s="8">
        <f t="shared" si="20"/>
        <v>12509.28</v>
      </c>
      <c r="BD53" s="8">
        <f t="shared" si="15"/>
        <v>22876.739999999998</v>
      </c>
      <c r="BE53" s="8">
        <f t="shared" si="15"/>
        <v>30661.752000000004</v>
      </c>
      <c r="BF53" s="8">
        <f t="shared" si="15"/>
        <v>45083.340000000004</v>
      </c>
      <c r="BG53" s="8">
        <f t="shared" si="15"/>
        <v>57949.590000000004</v>
      </c>
      <c r="BH53" s="8">
        <f t="shared" si="15"/>
        <v>128491.85519999999</v>
      </c>
      <c r="BI53" s="27">
        <f t="shared" si="16"/>
        <v>297572.55719999998</v>
      </c>
      <c r="BJ53" s="27"/>
      <c r="BN53" s="31"/>
      <c r="BO53" s="10">
        <v>2</v>
      </c>
      <c r="BP53" s="3">
        <f t="shared" si="17"/>
        <v>0</v>
      </c>
      <c r="BQ53" s="3">
        <f t="shared" si="14"/>
        <v>0</v>
      </c>
      <c r="BR53" s="3">
        <f t="shared" si="14"/>
        <v>0</v>
      </c>
      <c r="BS53" s="3">
        <f t="shared" si="14"/>
        <v>0</v>
      </c>
      <c r="BT53" s="3">
        <f t="shared" si="14"/>
        <v>29709.54</v>
      </c>
      <c r="BU53" s="3">
        <f t="shared" si="14"/>
        <v>77399.636999999988</v>
      </c>
      <c r="BV53" s="3">
        <f t="shared" si="14"/>
        <v>98953.83600000001</v>
      </c>
      <c r="BW53" s="3">
        <f t="shared" si="14"/>
        <v>146281.05000000002</v>
      </c>
      <c r="BX53" s="3">
        <f t="shared" si="14"/>
        <v>175698.22500000001</v>
      </c>
      <c r="BY53" s="3">
        <f t="shared" si="14"/>
        <v>565643.4929999999</v>
      </c>
      <c r="BZ53" s="3">
        <f t="shared" si="14"/>
        <v>707122.00439999998</v>
      </c>
      <c r="CA53" s="27">
        <f t="shared" si="18"/>
        <v>1800807.7853999999</v>
      </c>
      <c r="CB53" s="27"/>
    </row>
    <row r="54" spans="13:81" x14ac:dyDescent="0.3">
      <c r="P54" s="28"/>
      <c r="Q54" s="28"/>
      <c r="R54" s="10">
        <v>2</v>
      </c>
      <c r="S54" s="3"/>
      <c r="T54" s="3"/>
      <c r="U54" s="7"/>
      <c r="V54" s="7">
        <f>U45*0.00075</f>
        <v>32.85</v>
      </c>
      <c r="W54" s="7">
        <f>U45*0.0119</f>
        <v>521.22</v>
      </c>
      <c r="X54" s="7">
        <f>U45*0.01741</f>
        <v>762.55799999999988</v>
      </c>
      <c r="Y54" s="7">
        <f>U45*0.01591</f>
        <v>696.85800000000006</v>
      </c>
      <c r="Z54" s="7">
        <f>U45*0.0219</f>
        <v>959.22</v>
      </c>
      <c r="AA54" s="7">
        <f>U45*0.02815</f>
        <v>1232.97</v>
      </c>
      <c r="AB54" s="7">
        <f>U45*0.10629</f>
        <v>4655.5019999999995</v>
      </c>
      <c r="AC54" s="27">
        <f t="shared" si="19"/>
        <v>8861.1779999999999</v>
      </c>
      <c r="AD54" s="27"/>
      <c r="AV54" s="31"/>
      <c r="AW54" s="10">
        <v>2.5</v>
      </c>
      <c r="AX54" s="3"/>
      <c r="AY54" s="3"/>
      <c r="AZ54" s="3"/>
      <c r="BA54" s="3"/>
      <c r="BB54" s="3"/>
      <c r="BC54" s="8">
        <f t="shared" si="20"/>
        <v>3630.1439999999998</v>
      </c>
      <c r="BD54" s="8">
        <f t="shared" si="15"/>
        <v>28985.088000000003</v>
      </c>
      <c r="BE54" s="8">
        <f t="shared" si="15"/>
        <v>55699.145999999993</v>
      </c>
      <c r="BF54" s="8">
        <f t="shared" si="15"/>
        <v>48056.921999999999</v>
      </c>
      <c r="BG54" s="8">
        <f t="shared" si="15"/>
        <v>51957.75</v>
      </c>
      <c r="BH54" s="8">
        <f t="shared" si="15"/>
        <v>173321.856</v>
      </c>
      <c r="BI54" s="27">
        <f t="shared" si="16"/>
        <v>361650.90599999996</v>
      </c>
      <c r="BJ54" s="27"/>
      <c r="BN54" s="31"/>
      <c r="BO54" s="10">
        <v>2.5</v>
      </c>
      <c r="BP54" s="3">
        <f t="shared" si="17"/>
        <v>0</v>
      </c>
      <c r="BQ54" s="3">
        <f t="shared" si="14"/>
        <v>0</v>
      </c>
      <c r="BR54" s="3">
        <f t="shared" si="14"/>
        <v>0</v>
      </c>
      <c r="BS54" s="3">
        <f t="shared" si="14"/>
        <v>0</v>
      </c>
      <c r="BT54" s="3">
        <f t="shared" si="14"/>
        <v>8731.9679999999989</v>
      </c>
      <c r="BU54" s="3">
        <f t="shared" si="14"/>
        <v>98055.936000000016</v>
      </c>
      <c r="BV54" s="3">
        <f t="shared" si="14"/>
        <v>178802.33099999998</v>
      </c>
      <c r="BW54" s="3">
        <f t="shared" si="14"/>
        <v>156678.73199999999</v>
      </c>
      <c r="BX54" s="3">
        <f t="shared" si="14"/>
        <v>158720.25</v>
      </c>
      <c r="BY54" s="3">
        <f t="shared" si="14"/>
        <v>762295.2</v>
      </c>
      <c r="BZ54" s="3">
        <f t="shared" si="14"/>
        <v>863024.24999999988</v>
      </c>
      <c r="CA54" s="27">
        <f t="shared" si="18"/>
        <v>2226308.6669999999</v>
      </c>
      <c r="CB54" s="27"/>
    </row>
    <row r="55" spans="13:81" x14ac:dyDescent="0.3">
      <c r="P55" s="28"/>
      <c r="Q55" s="28"/>
      <c r="R55" s="10">
        <v>2.5</v>
      </c>
      <c r="S55" s="3"/>
      <c r="T55" s="3"/>
      <c r="U55" s="7"/>
      <c r="V55" s="7">
        <f>U46*0.00007</f>
        <v>0</v>
      </c>
      <c r="W55" s="7">
        <f>U45*0.00224</f>
        <v>98.111999999999995</v>
      </c>
      <c r="X55" s="7">
        <f>U45*0.01408</f>
        <v>616.70400000000006</v>
      </c>
      <c r="Y55" s="7">
        <f>U45*0.01843</f>
        <v>807.23399999999992</v>
      </c>
      <c r="Z55" s="7">
        <f>U45*0.01503</f>
        <v>658.31399999999996</v>
      </c>
      <c r="AA55" s="7">
        <f>U45*0.01625</f>
        <v>711.75</v>
      </c>
      <c r="AB55" s="7">
        <f>U45*0.0916</f>
        <v>4012.08</v>
      </c>
      <c r="AC55" s="27">
        <f t="shared" si="19"/>
        <v>6904.1939999999995</v>
      </c>
      <c r="AD55" s="27"/>
      <c r="AV55" s="31"/>
      <c r="AW55" s="10">
        <v>3</v>
      </c>
      <c r="AX55" s="3"/>
      <c r="AY55" s="3"/>
      <c r="AZ55" s="3"/>
      <c r="BA55" s="3"/>
      <c r="BB55" s="3"/>
      <c r="BC55" s="8">
        <f t="shared" si="20"/>
        <v>473.03999999999996</v>
      </c>
      <c r="BD55" s="8">
        <f t="shared" si="15"/>
        <v>8518.2240000000002</v>
      </c>
      <c r="BE55" s="8">
        <f t="shared" si="15"/>
        <v>58365.252</v>
      </c>
      <c r="BF55" s="8">
        <f t="shared" si="15"/>
        <v>48610.116000000002</v>
      </c>
      <c r="BG55" s="8">
        <f t="shared" si="15"/>
        <v>53995.764000000003</v>
      </c>
      <c r="BH55" s="8">
        <f t="shared" si="15"/>
        <v>222516.264</v>
      </c>
      <c r="BI55" s="27">
        <f t="shared" si="16"/>
        <v>392478.66000000003</v>
      </c>
      <c r="BJ55" s="27"/>
      <c r="BN55" s="31"/>
      <c r="BO55" s="10">
        <v>3</v>
      </c>
      <c r="BP55" s="3">
        <f t="shared" si="17"/>
        <v>0</v>
      </c>
      <c r="BQ55" s="3">
        <f t="shared" si="14"/>
        <v>0</v>
      </c>
      <c r="BR55" s="3">
        <f t="shared" si="14"/>
        <v>0</v>
      </c>
      <c r="BS55" s="3">
        <f t="shared" si="14"/>
        <v>0</v>
      </c>
      <c r="BT55" s="3">
        <f t="shared" si="14"/>
        <v>1130.04</v>
      </c>
      <c r="BU55" s="3">
        <f t="shared" si="14"/>
        <v>28686.371999999999</v>
      </c>
      <c r="BV55" s="3">
        <f t="shared" si="14"/>
        <v>187771.038</v>
      </c>
      <c r="BW55" s="3">
        <f t="shared" si="14"/>
        <v>154084.89600000001</v>
      </c>
      <c r="BX55" s="3">
        <f t="shared" si="14"/>
        <v>154601.079</v>
      </c>
      <c r="BY55" s="3">
        <f t="shared" si="14"/>
        <v>908009.91599999997</v>
      </c>
      <c r="BZ55" s="3">
        <f t="shared" si="14"/>
        <v>937293.72000000009</v>
      </c>
      <c r="CA55" s="27">
        <f t="shared" si="18"/>
        <v>2371577.0610000002</v>
      </c>
      <c r="CB55" s="27"/>
    </row>
    <row r="56" spans="13:81" ht="15.6" x14ac:dyDescent="0.3">
      <c r="M56" s="14"/>
      <c r="N56" s="14"/>
      <c r="O56" s="14"/>
      <c r="P56" s="28"/>
      <c r="Q56" s="28"/>
      <c r="R56" s="10">
        <v>3</v>
      </c>
      <c r="S56" s="3"/>
      <c r="T56" s="3"/>
      <c r="U56" s="7"/>
      <c r="V56" s="7"/>
      <c r="W56" s="7">
        <f>U45*0.0002</f>
        <v>8.76</v>
      </c>
      <c r="X56" s="7">
        <f>U45*0.00286</f>
        <v>125.268</v>
      </c>
      <c r="Y56" s="7">
        <f>U45*0.01346</f>
        <v>589.548</v>
      </c>
      <c r="Z56" s="7">
        <f>U45*0.01047</f>
        <v>458.58600000000001</v>
      </c>
      <c r="AA56" s="7">
        <f>U45*0.01163</f>
        <v>509.39400000000001</v>
      </c>
      <c r="AB56" s="7">
        <f>U45*0.08194</f>
        <v>3588.9719999999998</v>
      </c>
      <c r="AC56" s="27">
        <f t="shared" si="19"/>
        <v>5280.5280000000002</v>
      </c>
      <c r="AD56" s="27"/>
      <c r="AV56" s="31"/>
      <c r="AW56" s="10">
        <v>3.5</v>
      </c>
      <c r="AX56" s="3"/>
      <c r="AY56" s="3"/>
      <c r="AZ56" s="3"/>
      <c r="BA56" s="3"/>
      <c r="BB56" s="3"/>
      <c r="BC56" s="8">
        <f t="shared" si="20"/>
        <v>0</v>
      </c>
      <c r="BD56" s="8">
        <f t="shared" si="15"/>
        <v>2424.33</v>
      </c>
      <c r="BE56" s="8">
        <f t="shared" si="15"/>
        <v>34885.824000000001</v>
      </c>
      <c r="BF56" s="8">
        <f t="shared" si="15"/>
        <v>37914.156000000003</v>
      </c>
      <c r="BG56" s="8">
        <f t="shared" si="15"/>
        <v>40176.863999999994</v>
      </c>
      <c r="BH56" s="8">
        <f t="shared" si="15"/>
        <v>192452.82000000004</v>
      </c>
      <c r="BI56" s="27">
        <f t="shared" si="16"/>
        <v>307853.99400000006</v>
      </c>
      <c r="BJ56" s="27"/>
      <c r="BN56" s="31"/>
      <c r="BO56" s="10">
        <v>3.5</v>
      </c>
      <c r="BP56" s="3">
        <f t="shared" si="17"/>
        <v>0</v>
      </c>
      <c r="BQ56" s="3">
        <f t="shared" si="14"/>
        <v>0</v>
      </c>
      <c r="BR56" s="3">
        <f t="shared" si="14"/>
        <v>0</v>
      </c>
      <c r="BS56" s="3">
        <f t="shared" si="14"/>
        <v>0</v>
      </c>
      <c r="BT56" s="3">
        <f t="shared" si="14"/>
        <v>0</v>
      </c>
      <c r="BU56" s="3">
        <f t="shared" si="14"/>
        <v>5602.8959999999997</v>
      </c>
      <c r="BV56" s="3">
        <f t="shared" si="14"/>
        <v>97657.356</v>
      </c>
      <c r="BW56" s="3">
        <f t="shared" si="14"/>
        <v>129991.39200000001</v>
      </c>
      <c r="BX56" s="3">
        <f t="shared" si="14"/>
        <v>124516.39199999999</v>
      </c>
      <c r="BY56" s="3">
        <f t="shared" si="14"/>
        <v>945768.1440000002</v>
      </c>
      <c r="BZ56" s="3">
        <f t="shared" si="14"/>
        <v>831086.86680000019</v>
      </c>
      <c r="CA56" s="27">
        <f t="shared" si="18"/>
        <v>2134623.0468000006</v>
      </c>
      <c r="CB56" s="27"/>
    </row>
    <row r="57" spans="13:81" x14ac:dyDescent="0.3">
      <c r="P57" s="28"/>
      <c r="Q57" s="28"/>
      <c r="R57" s="10">
        <v>3.5</v>
      </c>
      <c r="S57" s="3"/>
      <c r="T57" s="3"/>
      <c r="U57" s="7"/>
      <c r="V57" s="7"/>
      <c r="W57" s="7">
        <v>0</v>
      </c>
      <c r="X57" s="7">
        <f>U45*0.00041</f>
        <v>17.957999999999998</v>
      </c>
      <c r="Y57" s="7">
        <f>U45*0.00524</f>
        <v>229.512</v>
      </c>
      <c r="Z57" s="7">
        <f>U45*0.00687</f>
        <v>300.90600000000001</v>
      </c>
      <c r="AA57" s="7">
        <f>U45*0.00728</f>
        <v>318.86399999999998</v>
      </c>
      <c r="AB57" s="7">
        <f>U45*0.06277</f>
        <v>2749.3260000000005</v>
      </c>
      <c r="AC57" s="27">
        <f t="shared" si="19"/>
        <v>3616.5660000000007</v>
      </c>
      <c r="AD57" s="27"/>
      <c r="AV57" s="31"/>
      <c r="AW57" s="10">
        <v>4</v>
      </c>
      <c r="AX57" s="3"/>
      <c r="AY57" s="3"/>
      <c r="AZ57" s="3"/>
      <c r="BA57" s="3"/>
      <c r="BB57" s="3"/>
      <c r="BC57" s="8">
        <f t="shared" si="20"/>
        <v>0</v>
      </c>
      <c r="BD57" s="8">
        <f t="shared" si="15"/>
        <v>0</v>
      </c>
      <c r="BE57" s="8">
        <f t="shared" si="15"/>
        <v>13008.6</v>
      </c>
      <c r="BF57" s="8">
        <f t="shared" si="15"/>
        <v>28804.631999999998</v>
      </c>
      <c r="BG57" s="8">
        <f t="shared" si="15"/>
        <v>32755.391999999996</v>
      </c>
      <c r="BH57" s="8">
        <f t="shared" si="15"/>
        <v>212649.00000000003</v>
      </c>
      <c r="BI57" s="27">
        <f t="shared" si="16"/>
        <v>287217.62400000001</v>
      </c>
      <c r="BJ57" s="27"/>
      <c r="BN57" s="31"/>
      <c r="BO57" s="10">
        <v>4</v>
      </c>
      <c r="BP57" s="3">
        <f t="shared" si="17"/>
        <v>0</v>
      </c>
      <c r="BQ57" s="3">
        <f t="shared" si="14"/>
        <v>0</v>
      </c>
      <c r="BR57" s="3">
        <f t="shared" si="14"/>
        <v>0</v>
      </c>
      <c r="BS57" s="3">
        <f t="shared" si="14"/>
        <v>0</v>
      </c>
      <c r="BT57" s="3">
        <f t="shared" si="14"/>
        <v>0</v>
      </c>
      <c r="BU57" s="3">
        <f t="shared" si="14"/>
        <v>0</v>
      </c>
      <c r="BV57" s="3">
        <f t="shared" si="14"/>
        <v>34229.700000000004</v>
      </c>
      <c r="BW57" s="3">
        <f t="shared" si="14"/>
        <v>94493.243999999992</v>
      </c>
      <c r="BX57" s="3">
        <f t="shared" si="14"/>
        <v>97267.535999999993</v>
      </c>
      <c r="BY57" s="3">
        <f t="shared" si="14"/>
        <v>864418.18500000006</v>
      </c>
      <c r="BZ57" s="3">
        <f t="shared" si="14"/>
        <v>737402.08319999999</v>
      </c>
      <c r="CA57" s="27">
        <f t="shared" si="18"/>
        <v>1827810.7482</v>
      </c>
      <c r="CB57" s="27"/>
    </row>
    <row r="58" spans="13:81" x14ac:dyDescent="0.3">
      <c r="P58" s="28"/>
      <c r="Q58" s="28"/>
      <c r="R58" s="10">
        <v>4</v>
      </c>
      <c r="S58" s="3"/>
      <c r="T58" s="3"/>
      <c r="U58" s="7"/>
      <c r="V58" s="7"/>
      <c r="W58" s="7"/>
      <c r="X58" s="7"/>
      <c r="Y58" s="7">
        <f>U45*0.0015</f>
        <v>65.7</v>
      </c>
      <c r="Z58" s="7">
        <f>U45*0.00401</f>
        <v>175.63799999999998</v>
      </c>
      <c r="AA58" s="7">
        <f>U45*0.00456</f>
        <v>199.72799999999998</v>
      </c>
      <c r="AB58" s="7">
        <f>U45*0.04855</f>
        <v>2126.4900000000002</v>
      </c>
      <c r="AC58" s="27">
        <f t="shared" si="19"/>
        <v>2567.556</v>
      </c>
      <c r="AD58" s="27"/>
      <c r="AV58" s="31"/>
      <c r="AW58" s="10">
        <v>4.5</v>
      </c>
      <c r="AX58" s="3"/>
      <c r="AY58" s="3"/>
      <c r="AZ58" s="3"/>
      <c r="BA58" s="3"/>
      <c r="BB58" s="3"/>
      <c r="BC58" s="8">
        <f t="shared" si="20"/>
        <v>0</v>
      </c>
      <c r="BD58" s="8">
        <f t="shared" si="15"/>
        <v>0</v>
      </c>
      <c r="BE58" s="8">
        <f t="shared" si="15"/>
        <v>3559.1880000000001</v>
      </c>
      <c r="BF58" s="8">
        <f t="shared" si="15"/>
        <v>14397.06</v>
      </c>
      <c r="BG58" s="8">
        <f t="shared" si="15"/>
        <v>27278.639999999999</v>
      </c>
      <c r="BH58" s="8">
        <f t="shared" si="15"/>
        <v>189088.97999999998</v>
      </c>
      <c r="BI58" s="27">
        <f t="shared" si="16"/>
        <v>234323.86799999999</v>
      </c>
      <c r="BJ58" s="27"/>
      <c r="BN58" s="31"/>
      <c r="BO58" s="10">
        <v>4.5</v>
      </c>
      <c r="BP58" s="3">
        <f t="shared" si="17"/>
        <v>0</v>
      </c>
      <c r="BQ58" s="3">
        <f t="shared" si="14"/>
        <v>0</v>
      </c>
      <c r="BR58" s="3">
        <f t="shared" si="14"/>
        <v>0</v>
      </c>
      <c r="BS58" s="3">
        <f t="shared" si="14"/>
        <v>0</v>
      </c>
      <c r="BT58" s="3">
        <f t="shared" si="14"/>
        <v>0</v>
      </c>
      <c r="BU58" s="3">
        <f t="shared" si="14"/>
        <v>0</v>
      </c>
      <c r="BV58" s="3">
        <f t="shared" si="14"/>
        <v>9359.6220000000012</v>
      </c>
      <c r="BW58" s="3">
        <f t="shared" si="14"/>
        <v>53094.36</v>
      </c>
      <c r="BX58" s="3">
        <f t="shared" si="14"/>
        <v>90823.680000000008</v>
      </c>
      <c r="BY58" s="3">
        <f t="shared" si="14"/>
        <v>822948.12599999993</v>
      </c>
      <c r="BZ58" s="3">
        <f t="shared" si="14"/>
        <v>656845.21079999988</v>
      </c>
      <c r="CA58" s="27">
        <f t="shared" si="18"/>
        <v>1633070.9987999997</v>
      </c>
      <c r="CB58" s="27"/>
    </row>
    <row r="59" spans="13:81" x14ac:dyDescent="0.3">
      <c r="P59" s="28"/>
      <c r="Q59" s="28"/>
      <c r="R59" s="10">
        <v>4.5</v>
      </c>
      <c r="S59" s="3"/>
      <c r="T59" s="3"/>
      <c r="U59" s="7"/>
      <c r="V59" s="7"/>
      <c r="W59" s="7"/>
      <c r="X59" s="7"/>
      <c r="Y59" s="7">
        <f>U45*0.00034</f>
        <v>14.892000000000001</v>
      </c>
      <c r="Z59" s="7">
        <f>U45*0.0019</f>
        <v>83.22</v>
      </c>
      <c r="AA59" s="7">
        <f>U45*0.0036</f>
        <v>157.68</v>
      </c>
      <c r="AB59" s="7">
        <f>U45*0.03754</f>
        <v>1644.252</v>
      </c>
      <c r="AC59" s="27">
        <f t="shared" si="19"/>
        <v>1900.0439999999999</v>
      </c>
      <c r="AD59" s="27"/>
      <c r="AV59" s="31"/>
      <c r="AW59" s="10">
        <v>5</v>
      </c>
      <c r="AX59" s="3"/>
      <c r="AY59" s="3"/>
      <c r="AZ59" s="3"/>
      <c r="BA59" s="3"/>
      <c r="BB59" s="3"/>
      <c r="BC59" s="8">
        <f t="shared" si="20"/>
        <v>0</v>
      </c>
      <c r="BD59" s="8">
        <f t="shared" si="15"/>
        <v>0</v>
      </c>
      <c r="BE59" s="8">
        <f t="shared" si="15"/>
        <v>766.5</v>
      </c>
      <c r="BF59" s="8">
        <f t="shared" si="15"/>
        <v>3843.0119999999997</v>
      </c>
      <c r="BG59" s="8">
        <f t="shared" si="15"/>
        <v>16590.564000000002</v>
      </c>
      <c r="BH59" s="8">
        <f t="shared" si="15"/>
        <v>166623.084</v>
      </c>
      <c r="BI59" s="27">
        <f t="shared" si="16"/>
        <v>187823.16</v>
      </c>
      <c r="BJ59" s="27"/>
      <c r="BN59" s="31"/>
      <c r="BO59" s="10">
        <v>5</v>
      </c>
      <c r="BP59" s="3">
        <f t="shared" si="17"/>
        <v>0</v>
      </c>
      <c r="BQ59" s="3">
        <f t="shared" si="14"/>
        <v>0</v>
      </c>
      <c r="BR59" s="3">
        <f t="shared" si="14"/>
        <v>0</v>
      </c>
      <c r="BS59" s="3">
        <f t="shared" si="14"/>
        <v>0</v>
      </c>
      <c r="BT59" s="3">
        <f t="shared" si="14"/>
        <v>0</v>
      </c>
      <c r="BU59" s="3">
        <f t="shared" si="14"/>
        <v>0</v>
      </c>
      <c r="BV59" s="3">
        <f t="shared" si="14"/>
        <v>2245.8449999999998</v>
      </c>
      <c r="BW59" s="3">
        <f t="shared" si="14"/>
        <v>12911.802</v>
      </c>
      <c r="BX59" s="3">
        <f t="shared" si="14"/>
        <v>52601.391000000011</v>
      </c>
      <c r="BY59" s="3">
        <f t="shared" si="14"/>
        <v>682919.96400000004</v>
      </c>
      <c r="BZ59" s="3">
        <f t="shared" si="14"/>
        <v>520482.75839999999</v>
      </c>
      <c r="CA59" s="27">
        <f t="shared" si="18"/>
        <v>1271161.7604</v>
      </c>
      <c r="CB59" s="27"/>
    </row>
    <row r="60" spans="13:81" x14ac:dyDescent="0.3">
      <c r="P60" s="28"/>
      <c r="Q60" s="28"/>
      <c r="R60" s="10">
        <v>5</v>
      </c>
      <c r="S60" s="3"/>
      <c r="T60" s="3"/>
      <c r="U60" s="7"/>
      <c r="V60" s="7"/>
      <c r="W60" s="7"/>
      <c r="X60" s="7"/>
      <c r="Y60" s="7">
        <f>U45*0.00007</f>
        <v>3.0659999999999998</v>
      </c>
      <c r="Z60" s="7">
        <f>U45*0.00041</f>
        <v>17.957999999999998</v>
      </c>
      <c r="AA60" s="7">
        <f>U45*0.00177</f>
        <v>77.52600000000001</v>
      </c>
      <c r="AB60" s="7">
        <f>U45*0.02679</f>
        <v>1173.402</v>
      </c>
      <c r="AC60" s="27">
        <f t="shared" si="19"/>
        <v>1271.952</v>
      </c>
      <c r="AD60" s="27"/>
      <c r="AV60" s="31"/>
      <c r="AW60" s="10" t="s">
        <v>15</v>
      </c>
      <c r="AX60" s="3"/>
      <c r="AY60" s="3"/>
      <c r="AZ60" s="3"/>
      <c r="BA60" s="3"/>
      <c r="BB60" s="3"/>
      <c r="BC60" s="8">
        <f t="shared" si="20"/>
        <v>0</v>
      </c>
      <c r="BD60" s="8">
        <f t="shared" si="15"/>
        <v>0</v>
      </c>
      <c r="BE60" s="8">
        <f t="shared" si="15"/>
        <v>0</v>
      </c>
      <c r="BF60" s="8">
        <f t="shared" si="15"/>
        <v>1533</v>
      </c>
      <c r="BG60" s="8">
        <f t="shared" si="15"/>
        <v>11935.500000000002</v>
      </c>
      <c r="BH60" s="8">
        <f t="shared" si="15"/>
        <v>485163.83999999997</v>
      </c>
      <c r="BI60" s="27">
        <f>SUM(AY60:BH60)+1</f>
        <v>498633.33999999997</v>
      </c>
      <c r="BJ60" s="27"/>
      <c r="BN60" s="31"/>
      <c r="BO60" s="10" t="s">
        <v>15</v>
      </c>
      <c r="BP60" s="3">
        <f t="shared" si="17"/>
        <v>0</v>
      </c>
      <c r="BQ60" s="3">
        <f t="shared" si="14"/>
        <v>0</v>
      </c>
      <c r="BR60" s="3">
        <f t="shared" si="14"/>
        <v>0</v>
      </c>
      <c r="BS60" s="3">
        <f t="shared" si="14"/>
        <v>0</v>
      </c>
      <c r="BT60" s="3">
        <f t="shared" si="14"/>
        <v>0</v>
      </c>
      <c r="BU60" s="3">
        <f t="shared" si="14"/>
        <v>0</v>
      </c>
      <c r="BV60" s="3">
        <f t="shared" si="14"/>
        <v>0</v>
      </c>
      <c r="BW60" s="3">
        <f t="shared" si="14"/>
        <v>4599</v>
      </c>
      <c r="BX60" s="3">
        <f t="shared" si="14"/>
        <v>35806.5</v>
      </c>
      <c r="BY60" s="3">
        <f t="shared" si="14"/>
        <v>2065331.1839999999</v>
      </c>
      <c r="BZ60" s="3">
        <f t="shared" si="14"/>
        <v>1754652.1775999996</v>
      </c>
      <c r="CA60" s="27">
        <f>SUM(BQ60:BZ60)+1</f>
        <v>3860389.8615999995</v>
      </c>
      <c r="CB60" s="27"/>
    </row>
    <row r="61" spans="13:81" x14ac:dyDescent="0.3">
      <c r="P61" s="28"/>
      <c r="Q61" s="28"/>
      <c r="R61" s="10" t="s">
        <v>15</v>
      </c>
      <c r="S61" s="3"/>
      <c r="T61" s="3"/>
      <c r="U61" s="7"/>
      <c r="V61" s="7"/>
      <c r="W61" s="7"/>
      <c r="X61" s="7"/>
      <c r="Y61" s="7"/>
      <c r="Z61" s="7">
        <f>U45*0.00014</f>
        <v>6.1319999999999997</v>
      </c>
      <c r="AA61" s="7">
        <f>U45*0.00109</f>
        <v>47.742000000000004</v>
      </c>
      <c r="AB61" s="7">
        <f>U45*0.0644</f>
        <v>2820.72</v>
      </c>
      <c r="AC61" s="27">
        <f t="shared" si="19"/>
        <v>2874.5939999999996</v>
      </c>
      <c r="AD61" s="27"/>
      <c r="AV61" s="31"/>
      <c r="AW61" s="25" t="s">
        <v>16</v>
      </c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16"/>
      <c r="BI61" s="29">
        <f>SUM(BI50:BJ60)</f>
        <v>2748723.7864000001</v>
      </c>
      <c r="BJ61" s="29"/>
      <c r="BN61" s="31"/>
      <c r="BO61" s="25" t="s">
        <v>16</v>
      </c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16"/>
      <c r="CA61" s="29">
        <f>SUM(CA50:CB60)</f>
        <v>18117254.3398</v>
      </c>
      <c r="CB61" s="29"/>
    </row>
    <row r="62" spans="13:81" x14ac:dyDescent="0.3">
      <c r="P62" s="28"/>
      <c r="Q62" s="28"/>
      <c r="R62" s="28" t="s">
        <v>16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29">
        <f>SUM(AC51:AD61)</f>
        <v>43799.561999999991</v>
      </c>
      <c r="AD62" s="29"/>
      <c r="AV62" s="31"/>
      <c r="AW62" s="13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15"/>
      <c r="BI62" s="29"/>
      <c r="BJ62" s="29"/>
      <c r="BN62" s="31"/>
      <c r="BO62" s="13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15"/>
      <c r="CA62" s="29"/>
      <c r="CB62" s="29"/>
    </row>
    <row r="63" spans="13:81" x14ac:dyDescent="0.3">
      <c r="P63" s="28"/>
      <c r="Q63" s="28"/>
      <c r="R63" s="28"/>
      <c r="S63" s="4"/>
      <c r="T63" s="4"/>
      <c r="U63" s="4"/>
      <c r="V63" s="4"/>
      <c r="W63" s="4"/>
      <c r="X63" s="4"/>
      <c r="Y63" s="4"/>
      <c r="Z63" s="4"/>
      <c r="AA63" s="4"/>
      <c r="AB63" s="4"/>
      <c r="AC63" s="29"/>
      <c r="AD63" s="29"/>
      <c r="AV63" s="32"/>
      <c r="AW63" s="26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17"/>
      <c r="BI63" s="29"/>
      <c r="BJ63" s="29"/>
      <c r="BN63" s="32"/>
      <c r="BO63" s="26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17"/>
      <c r="CA63" s="29"/>
      <c r="CB63" s="29"/>
    </row>
    <row r="64" spans="13:81" x14ac:dyDescent="0.3">
      <c r="P64" s="28"/>
      <c r="Q64" s="28"/>
      <c r="R64" s="28"/>
      <c r="S64" s="5"/>
      <c r="T64" s="5"/>
      <c r="U64" s="5"/>
      <c r="V64" s="5"/>
      <c r="W64" s="5"/>
      <c r="X64" s="5"/>
      <c r="Y64" s="5"/>
      <c r="Z64" s="5"/>
      <c r="AA64" s="5"/>
      <c r="AB64" s="5"/>
      <c r="AC64" s="29"/>
      <c r="AD64" s="29"/>
      <c r="BI64" s="36">
        <f>BI61/5</f>
        <v>549744.75728000002</v>
      </c>
      <c r="BJ64" s="37"/>
      <c r="BK64" s="40" t="s">
        <v>17</v>
      </c>
      <c r="CA64" s="36">
        <f>CA61/5</f>
        <v>3623450.8679599999</v>
      </c>
      <c r="CB64" s="37"/>
      <c r="CC64" s="40" t="s">
        <v>17</v>
      </c>
    </row>
    <row r="65" spans="2:81" x14ac:dyDescent="0.3">
      <c r="BI65" s="38"/>
      <c r="BJ65" s="39"/>
      <c r="BK65" s="41"/>
      <c r="CA65" s="38"/>
      <c r="CB65" s="39"/>
      <c r="CC65" s="41"/>
    </row>
    <row r="66" spans="2:81" x14ac:dyDescent="0.3">
      <c r="U66" s="2" t="s">
        <v>0</v>
      </c>
      <c r="BI66" s="42">
        <f>BI64*0.001</f>
        <v>549.74475728000004</v>
      </c>
      <c r="BJ66" s="43"/>
      <c r="BK66" s="46" t="s">
        <v>18</v>
      </c>
      <c r="CA66" s="42">
        <f>CA64*0.001</f>
        <v>3623.4508679599999</v>
      </c>
      <c r="CB66" s="43"/>
      <c r="CC66" s="46" t="s">
        <v>18</v>
      </c>
    </row>
    <row r="67" spans="2:81" x14ac:dyDescent="0.3">
      <c r="U67">
        <f>(5*8760)</f>
        <v>43800</v>
      </c>
      <c r="BI67" s="44"/>
      <c r="BJ67" s="45"/>
      <c r="BK67" s="47"/>
      <c r="CA67" s="44"/>
      <c r="CB67" s="45"/>
      <c r="CC67" s="47"/>
    </row>
    <row r="68" spans="2:81" x14ac:dyDescent="0.3">
      <c r="B68" t="s">
        <v>25</v>
      </c>
      <c r="E68" t="s">
        <v>26</v>
      </c>
      <c r="AV68" s="2" t="s">
        <v>25</v>
      </c>
      <c r="AW68" s="2"/>
      <c r="AX68" s="2"/>
      <c r="AY68" s="2" t="s">
        <v>26</v>
      </c>
      <c r="BN68" s="2" t="s">
        <v>25</v>
      </c>
      <c r="BO68" s="2"/>
      <c r="BP68" s="2"/>
      <c r="BQ68" s="2" t="s">
        <v>26</v>
      </c>
    </row>
    <row r="70" spans="2:81" x14ac:dyDescent="0.3">
      <c r="P70" s="28" t="s">
        <v>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V70" s="28" t="s">
        <v>8</v>
      </c>
      <c r="AW70" s="28"/>
      <c r="AX70" s="33" t="s">
        <v>7</v>
      </c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5"/>
      <c r="BN70" s="28" t="s">
        <v>8</v>
      </c>
      <c r="BO70" s="28"/>
      <c r="BP70" s="33" t="s">
        <v>7</v>
      </c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5"/>
    </row>
    <row r="71" spans="2:81" x14ac:dyDescent="0.3"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V71" s="28"/>
      <c r="AW71" s="28"/>
      <c r="AX71" s="11" t="s">
        <v>9</v>
      </c>
      <c r="AY71" s="3">
        <v>2</v>
      </c>
      <c r="AZ71" s="3">
        <v>3</v>
      </c>
      <c r="BA71" s="3">
        <v>4</v>
      </c>
      <c r="BB71" s="3">
        <v>5</v>
      </c>
      <c r="BC71" s="3">
        <v>6</v>
      </c>
      <c r="BD71" s="3">
        <v>7</v>
      </c>
      <c r="BE71" s="3">
        <v>8</v>
      </c>
      <c r="BF71" s="3">
        <v>9</v>
      </c>
      <c r="BG71" s="3">
        <v>10</v>
      </c>
      <c r="BH71" s="3" t="s">
        <v>10</v>
      </c>
      <c r="BI71" s="27" t="s">
        <v>11</v>
      </c>
      <c r="BJ71" s="27"/>
      <c r="BN71" s="28"/>
      <c r="BO71" s="28"/>
      <c r="BP71" s="11" t="s">
        <v>9</v>
      </c>
      <c r="BQ71" s="3">
        <v>2</v>
      </c>
      <c r="BR71" s="3">
        <v>3</v>
      </c>
      <c r="BS71" s="3">
        <v>4</v>
      </c>
      <c r="BT71" s="3">
        <v>5</v>
      </c>
      <c r="BU71" s="3">
        <v>6</v>
      </c>
      <c r="BV71" s="3">
        <v>7</v>
      </c>
      <c r="BW71" s="3">
        <v>8</v>
      </c>
      <c r="BX71" s="3">
        <v>9</v>
      </c>
      <c r="BY71" s="3">
        <v>10</v>
      </c>
      <c r="BZ71" s="3" t="s">
        <v>10</v>
      </c>
      <c r="CA71" s="27" t="s">
        <v>11</v>
      </c>
      <c r="CB71" s="27"/>
    </row>
    <row r="72" spans="2:81" x14ac:dyDescent="0.3">
      <c r="P72" s="28" t="s">
        <v>12</v>
      </c>
      <c r="Q72" s="28"/>
      <c r="R72" s="3" t="s">
        <v>9</v>
      </c>
      <c r="S72" s="3">
        <v>2</v>
      </c>
      <c r="T72" s="3">
        <v>3</v>
      </c>
      <c r="U72" s="3">
        <v>4</v>
      </c>
      <c r="V72" s="3">
        <v>5</v>
      </c>
      <c r="W72" s="3">
        <v>6</v>
      </c>
      <c r="X72" s="3">
        <v>7</v>
      </c>
      <c r="Y72" s="3">
        <v>8</v>
      </c>
      <c r="Z72" s="3">
        <v>9</v>
      </c>
      <c r="AA72" s="3">
        <v>10</v>
      </c>
      <c r="AB72" s="3" t="s">
        <v>10</v>
      </c>
      <c r="AC72" s="27" t="s">
        <v>13</v>
      </c>
      <c r="AD72" s="27"/>
      <c r="AV72" s="30" t="s">
        <v>12</v>
      </c>
      <c r="AW72" s="10" t="s">
        <v>14</v>
      </c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27">
        <f>SUM(AY72:BH72)</f>
        <v>0</v>
      </c>
      <c r="BJ72" s="27"/>
      <c r="BN72" s="30" t="s">
        <v>12</v>
      </c>
      <c r="BO72" s="10" t="s">
        <v>14</v>
      </c>
      <c r="BP72" s="3">
        <f>AI28*S73</f>
        <v>0</v>
      </c>
      <c r="BQ72" s="3">
        <f t="shared" ref="BQ72:BZ82" si="21">AJ28*T73</f>
        <v>0</v>
      </c>
      <c r="BR72" s="3">
        <f t="shared" si="21"/>
        <v>0</v>
      </c>
      <c r="BS72" s="3">
        <f t="shared" si="21"/>
        <v>0</v>
      </c>
      <c r="BT72" s="3">
        <f t="shared" si="21"/>
        <v>0</v>
      </c>
      <c r="BU72" s="3">
        <f t="shared" si="21"/>
        <v>0</v>
      </c>
      <c r="BV72" s="3">
        <f t="shared" si="21"/>
        <v>0</v>
      </c>
      <c r="BW72" s="3">
        <f t="shared" si="21"/>
        <v>0</v>
      </c>
      <c r="BX72" s="3">
        <f t="shared" si="21"/>
        <v>0</v>
      </c>
      <c r="BY72" s="3">
        <f t="shared" si="21"/>
        <v>0</v>
      </c>
      <c r="BZ72" s="3">
        <f t="shared" si="21"/>
        <v>0</v>
      </c>
      <c r="CA72" s="27">
        <f>SUM(BQ72:BZ72)</f>
        <v>0</v>
      </c>
      <c r="CB72" s="27"/>
    </row>
    <row r="73" spans="2:81" x14ac:dyDescent="0.3">
      <c r="P73" s="28"/>
      <c r="Q73" s="28"/>
      <c r="R73" s="10" t="s">
        <v>14</v>
      </c>
      <c r="S73" s="3"/>
      <c r="T73" s="3"/>
      <c r="U73" s="7">
        <f>U67*0.00027</f>
        <v>11.826000000000001</v>
      </c>
      <c r="V73" s="7">
        <f>U67*0.00007</f>
        <v>3.0659999999999998</v>
      </c>
      <c r="W73" s="7">
        <f>U67*0.00007</f>
        <v>3.0659999999999998</v>
      </c>
      <c r="X73" s="7">
        <f>U67*0.0019</f>
        <v>83.22</v>
      </c>
      <c r="Y73" s="7">
        <f>U67*0.00252</f>
        <v>110.376</v>
      </c>
      <c r="Z73" s="7">
        <f>U67*0.00211</f>
        <v>92.417999999999992</v>
      </c>
      <c r="AA73" s="7">
        <f>U67*0.00102</f>
        <v>44.676000000000002</v>
      </c>
      <c r="AB73" s="7">
        <f>U67*0.00075</f>
        <v>32.85</v>
      </c>
      <c r="AC73" s="27">
        <f>SUM(S73:AB73)</f>
        <v>381.49799999999999</v>
      </c>
      <c r="AD73" s="27"/>
      <c r="AV73" s="31"/>
      <c r="AW73" s="12">
        <v>1</v>
      </c>
      <c r="AX73" s="3"/>
      <c r="AY73" s="3"/>
      <c r="AZ73" s="3"/>
      <c r="BA73" s="3"/>
      <c r="BB73" s="3"/>
      <c r="BC73" s="8">
        <f>AN8*W74</f>
        <v>1429.6320000000001</v>
      </c>
      <c r="BD73" s="8">
        <f t="shared" ref="BD73:BH82" si="22">AO8*X74</f>
        <v>2477.328</v>
      </c>
      <c r="BE73" s="8">
        <f t="shared" si="22"/>
        <v>9077.112000000001</v>
      </c>
      <c r="BF73" s="8">
        <f t="shared" si="22"/>
        <v>14406.696</v>
      </c>
      <c r="BG73" s="8">
        <f t="shared" si="22"/>
        <v>11958.276</v>
      </c>
      <c r="BH73" s="8">
        <f t="shared" si="22"/>
        <v>4498.2599999999993</v>
      </c>
      <c r="BI73" s="27">
        <f t="shared" ref="BI73:BI81" si="23">SUM(AY73:BH73)</f>
        <v>43847.304000000004</v>
      </c>
      <c r="BJ73" s="27"/>
      <c r="BN73" s="31"/>
      <c r="BO73" s="12">
        <v>1</v>
      </c>
      <c r="BP73" s="3">
        <f t="shared" ref="BP73:BP82" si="24">AI29*S74</f>
        <v>0</v>
      </c>
      <c r="BQ73" s="3">
        <f t="shared" si="21"/>
        <v>0</v>
      </c>
      <c r="BR73" s="3">
        <f t="shared" si="21"/>
        <v>0</v>
      </c>
      <c r="BS73" s="3">
        <f t="shared" si="21"/>
        <v>0</v>
      </c>
      <c r="BT73" s="3">
        <f t="shared" si="21"/>
        <v>0</v>
      </c>
      <c r="BU73" s="3">
        <f t="shared" si="21"/>
        <v>7896.4830000000002</v>
      </c>
      <c r="BV73" s="3">
        <f t="shared" si="21"/>
        <v>29294.315999999999</v>
      </c>
      <c r="BW73" s="3">
        <f t="shared" si="21"/>
        <v>45621.203999999998</v>
      </c>
      <c r="BX73" s="3">
        <f t="shared" si="21"/>
        <v>39136.175999999999</v>
      </c>
      <c r="BY73" s="3">
        <f t="shared" si="21"/>
        <v>27439.385999999999</v>
      </c>
      <c r="BZ73" s="3">
        <f t="shared" si="21"/>
        <v>58758.6636</v>
      </c>
      <c r="CA73" s="27">
        <f t="shared" ref="CA73:CA81" si="25">SUM(BQ73:BZ73)</f>
        <v>208146.2286</v>
      </c>
      <c r="CB73" s="27"/>
    </row>
    <row r="74" spans="2:81" x14ac:dyDescent="0.3">
      <c r="P74" s="28"/>
      <c r="Q74" s="28"/>
      <c r="R74" s="10">
        <v>1</v>
      </c>
      <c r="S74" s="3"/>
      <c r="T74" s="3"/>
      <c r="U74" s="7">
        <f>U67*0.00238</f>
        <v>104.24400000000001</v>
      </c>
      <c r="V74" s="7">
        <f>U67*0.00816</f>
        <v>357.40800000000002</v>
      </c>
      <c r="W74" s="7">
        <f>U67*0.00544</f>
        <v>238.27200000000002</v>
      </c>
      <c r="X74" s="7">
        <f>U67*0.00707</f>
        <v>309.666</v>
      </c>
      <c r="Y74" s="7">
        <f>U67*0.01884</f>
        <v>825.19200000000001</v>
      </c>
      <c r="Z74" s="7">
        <f>U67*0.02741</f>
        <v>1200.558</v>
      </c>
      <c r="AA74" s="7">
        <f>U67*0.02482</f>
        <v>1087.116</v>
      </c>
      <c r="AB74" s="7">
        <f>U67*0.02054</f>
        <v>899.65199999999993</v>
      </c>
      <c r="AC74" s="27">
        <f t="shared" ref="AC74:AC83" si="26">SUM(S74:AB74)</f>
        <v>5022.1080000000002</v>
      </c>
      <c r="AD74" s="27"/>
      <c r="AV74" s="31"/>
      <c r="AW74" s="10">
        <v>1.5</v>
      </c>
      <c r="AX74" s="3"/>
      <c r="AY74" s="3"/>
      <c r="AZ74" s="3"/>
      <c r="BA74" s="3"/>
      <c r="BB74" s="3"/>
      <c r="BC74" s="8">
        <f t="shared" ref="BC74:BC82" si="27">AN9*W75</f>
        <v>8324.6280000000006</v>
      </c>
      <c r="BD74" s="8">
        <f t="shared" si="22"/>
        <v>4914.3599999999997</v>
      </c>
      <c r="BE74" s="8">
        <f t="shared" si="22"/>
        <v>15045.300000000001</v>
      </c>
      <c r="BF74" s="8">
        <f t="shared" si="22"/>
        <v>36396.048000000003</v>
      </c>
      <c r="BG74" s="8">
        <f t="shared" si="22"/>
        <v>48865.907999999996</v>
      </c>
      <c r="BH74" s="8">
        <f t="shared" si="22"/>
        <v>36443.702400000002</v>
      </c>
      <c r="BI74" s="27">
        <f t="shared" si="23"/>
        <v>149989.94640000002</v>
      </c>
      <c r="BJ74" s="27"/>
      <c r="BN74" s="31"/>
      <c r="BO74" s="10">
        <v>1.5</v>
      </c>
      <c r="BP74" s="3">
        <f t="shared" si="24"/>
        <v>0</v>
      </c>
      <c r="BQ74" s="3">
        <f t="shared" si="21"/>
        <v>0</v>
      </c>
      <c r="BR74" s="3">
        <f t="shared" si="21"/>
        <v>0</v>
      </c>
      <c r="BS74" s="3">
        <f t="shared" si="21"/>
        <v>0</v>
      </c>
      <c r="BT74" s="3">
        <f t="shared" si="21"/>
        <v>20491.392</v>
      </c>
      <c r="BU74" s="3">
        <f t="shared" si="21"/>
        <v>16622.099999999999</v>
      </c>
      <c r="BV74" s="3">
        <f t="shared" si="21"/>
        <v>47844.054000000004</v>
      </c>
      <c r="BW74" s="3">
        <f t="shared" si="21"/>
        <v>120386.92800000001</v>
      </c>
      <c r="BX74" s="3">
        <f t="shared" si="21"/>
        <v>151296.36899999998</v>
      </c>
      <c r="BY74" s="3">
        <f t="shared" si="21"/>
        <v>164236.42199999999</v>
      </c>
      <c r="BZ74" s="3">
        <f t="shared" si="21"/>
        <v>346347.80240000004</v>
      </c>
      <c r="CA74" s="27">
        <f t="shared" si="25"/>
        <v>867225.06740000006</v>
      </c>
      <c r="CB74" s="27"/>
    </row>
    <row r="75" spans="2:81" x14ac:dyDescent="0.3">
      <c r="P75" s="28"/>
      <c r="Q75" s="28"/>
      <c r="R75" s="10">
        <v>1.5</v>
      </c>
      <c r="S75" s="3"/>
      <c r="T75" s="3"/>
      <c r="U75" s="7">
        <f>U67*0.00042</f>
        <v>18.396000000000001</v>
      </c>
      <c r="V75" s="7">
        <f>U67*0.01</f>
        <v>438</v>
      </c>
      <c r="W75" s="7">
        <f>U67*0.01462</f>
        <v>640.35599999999999</v>
      </c>
      <c r="X75" s="7">
        <f>U67*0.0066</f>
        <v>289.08</v>
      </c>
      <c r="Y75" s="7">
        <f>U67*0.01374</f>
        <v>601.81200000000001</v>
      </c>
      <c r="Z75" s="7">
        <f>U67*0.03196</f>
        <v>1399.8480000000002</v>
      </c>
      <c r="AA75" s="7">
        <f>U67*0.04291</f>
        <v>1879.4579999999999</v>
      </c>
      <c r="AB75" s="7">
        <f>U67*0.05474</f>
        <v>2397.6120000000001</v>
      </c>
      <c r="AC75" s="27">
        <f>SUM(S75:AB75)-2</f>
        <v>7662.5619999999999</v>
      </c>
      <c r="AD75" s="27"/>
      <c r="AV75" s="31"/>
      <c r="AW75" s="10">
        <v>2</v>
      </c>
      <c r="AX75" s="3"/>
      <c r="AY75" s="3"/>
      <c r="AZ75" s="3"/>
      <c r="BA75" s="3"/>
      <c r="BB75" s="3"/>
      <c r="BC75" s="8">
        <f t="shared" si="27"/>
        <v>19657.440000000002</v>
      </c>
      <c r="BD75" s="8">
        <f t="shared" si="22"/>
        <v>13665.599999999999</v>
      </c>
      <c r="BE75" s="8">
        <f t="shared" si="22"/>
        <v>14030.016</v>
      </c>
      <c r="BF75" s="8">
        <f t="shared" si="22"/>
        <v>29108.603999999999</v>
      </c>
      <c r="BG75" s="8">
        <f t="shared" si="22"/>
        <v>43951.11</v>
      </c>
      <c r="BH75" s="8">
        <f t="shared" si="22"/>
        <v>93639.844800000006</v>
      </c>
      <c r="BI75" s="27">
        <f t="shared" si="23"/>
        <v>214052.61480000001</v>
      </c>
      <c r="BJ75" s="27"/>
      <c r="BN75" s="31"/>
      <c r="BO75" s="10">
        <v>2</v>
      </c>
      <c r="BP75" s="3">
        <f t="shared" si="24"/>
        <v>0</v>
      </c>
      <c r="BQ75" s="3">
        <f t="shared" si="21"/>
        <v>0</v>
      </c>
      <c r="BR75" s="3">
        <f t="shared" si="21"/>
        <v>0</v>
      </c>
      <c r="BS75" s="3">
        <f t="shared" si="21"/>
        <v>0</v>
      </c>
      <c r="BT75" s="3">
        <f t="shared" si="21"/>
        <v>46686.420000000006</v>
      </c>
      <c r="BU75" s="3">
        <f t="shared" si="21"/>
        <v>46235.28</v>
      </c>
      <c r="BV75" s="3">
        <f t="shared" si="21"/>
        <v>45278.687999999995</v>
      </c>
      <c r="BW75" s="3">
        <f t="shared" si="21"/>
        <v>94448.13</v>
      </c>
      <c r="BX75" s="3">
        <f t="shared" si="21"/>
        <v>133256.02499999999</v>
      </c>
      <c r="BY75" s="3">
        <f t="shared" si="21"/>
        <v>412218.88199999998</v>
      </c>
      <c r="BZ75" s="3">
        <f t="shared" si="21"/>
        <v>528829.81200000003</v>
      </c>
      <c r="CA75" s="27">
        <f t="shared" si="25"/>
        <v>1306953.2370000002</v>
      </c>
      <c r="CB75" s="27"/>
    </row>
    <row r="76" spans="2:81" x14ac:dyDescent="0.3">
      <c r="P76" s="28"/>
      <c r="Q76" s="28"/>
      <c r="R76" s="10">
        <v>2</v>
      </c>
      <c r="S76" s="3"/>
      <c r="T76" s="3"/>
      <c r="U76" s="7"/>
      <c r="V76" s="7">
        <f>U67*0.00197</f>
        <v>86.286000000000001</v>
      </c>
      <c r="W76" s="7">
        <f>U67*0.0187</f>
        <v>819.06000000000006</v>
      </c>
      <c r="X76" s="7">
        <f>U67*0.0104</f>
        <v>455.52</v>
      </c>
      <c r="Y76" s="7">
        <f>U67*0.00728</f>
        <v>318.86399999999998</v>
      </c>
      <c r="Z76" s="7">
        <f>U67*0.01414</f>
        <v>619.33199999999999</v>
      </c>
      <c r="AA76" s="7">
        <f>U67*0.02135</f>
        <v>935.13</v>
      </c>
      <c r="AB76" s="7">
        <f>U67*0.07746</f>
        <v>3392.748</v>
      </c>
      <c r="AC76" s="27">
        <f t="shared" si="26"/>
        <v>6626.9400000000005</v>
      </c>
      <c r="AD76" s="27"/>
      <c r="AV76" s="31"/>
      <c r="AW76" s="10">
        <v>2.5</v>
      </c>
      <c r="AX76" s="3"/>
      <c r="AY76" s="3"/>
      <c r="AZ76" s="3"/>
      <c r="BA76" s="3"/>
      <c r="BB76" s="3"/>
      <c r="BC76" s="8">
        <f t="shared" si="27"/>
        <v>9804.630000000001</v>
      </c>
      <c r="BD76" s="8">
        <f t="shared" si="22"/>
        <v>34152.173999999999</v>
      </c>
      <c r="BE76" s="8">
        <f t="shared" si="22"/>
        <v>22606.055999999997</v>
      </c>
      <c r="BF76" s="8">
        <f t="shared" si="22"/>
        <v>25866.966</v>
      </c>
      <c r="BG76" s="8">
        <f t="shared" si="22"/>
        <v>38049.060000000005</v>
      </c>
      <c r="BH76" s="8">
        <f t="shared" si="22"/>
        <v>140379.35040000002</v>
      </c>
      <c r="BI76" s="27">
        <f t="shared" si="23"/>
        <v>270858.23640000005</v>
      </c>
      <c r="BJ76" s="27"/>
      <c r="BN76" s="31"/>
      <c r="BO76" s="10">
        <v>2.5</v>
      </c>
      <c r="BP76" s="3">
        <f t="shared" si="24"/>
        <v>0</v>
      </c>
      <c r="BQ76" s="3">
        <f t="shared" si="21"/>
        <v>0</v>
      </c>
      <c r="BR76" s="3">
        <f t="shared" si="21"/>
        <v>0</v>
      </c>
      <c r="BS76" s="3">
        <f t="shared" si="21"/>
        <v>0</v>
      </c>
      <c r="BT76" s="3">
        <f t="shared" si="21"/>
        <v>23584.11</v>
      </c>
      <c r="BU76" s="3">
        <f t="shared" si="21"/>
        <v>115536.07800000001</v>
      </c>
      <c r="BV76" s="3">
        <f t="shared" si="21"/>
        <v>72568.715999999986</v>
      </c>
      <c r="BW76" s="3">
        <f t="shared" si="21"/>
        <v>84333.395999999993</v>
      </c>
      <c r="BX76" s="3">
        <f t="shared" si="21"/>
        <v>116232.06000000001</v>
      </c>
      <c r="BY76" s="3">
        <f t="shared" si="21"/>
        <v>617409.18000000005</v>
      </c>
      <c r="BZ76" s="3">
        <f t="shared" si="21"/>
        <v>682020.75000000012</v>
      </c>
      <c r="CA76" s="27">
        <f t="shared" si="25"/>
        <v>1711684.29</v>
      </c>
      <c r="CB76" s="27"/>
    </row>
    <row r="77" spans="2:81" x14ac:dyDescent="0.3">
      <c r="P77" s="28"/>
      <c r="Q77" s="28"/>
      <c r="R77" s="10">
        <v>2.5</v>
      </c>
      <c r="S77" s="3"/>
      <c r="T77" s="3"/>
      <c r="U77" s="7"/>
      <c r="V77" s="7">
        <f>U67*0.00027</f>
        <v>11.826000000000001</v>
      </c>
      <c r="W77" s="7">
        <f>U67*0.00605</f>
        <v>264.99</v>
      </c>
      <c r="X77" s="7">
        <f>U67*0.01659</f>
        <v>726.64200000000005</v>
      </c>
      <c r="Y77" s="7">
        <f>U67*0.00748</f>
        <v>327.62399999999997</v>
      </c>
      <c r="Z77" s="7">
        <f>U67*0.00809</f>
        <v>354.34199999999998</v>
      </c>
      <c r="AA77" s="7">
        <f>U67*0.0119</f>
        <v>521.22</v>
      </c>
      <c r="AB77" s="7">
        <f>U67*0.07419</f>
        <v>3249.5220000000004</v>
      </c>
      <c r="AC77" s="27">
        <f t="shared" si="26"/>
        <v>5456.1660000000011</v>
      </c>
      <c r="AD77" s="27"/>
      <c r="AV77" s="31"/>
      <c r="AW77" s="10">
        <v>3</v>
      </c>
      <c r="AX77" s="3"/>
      <c r="AY77" s="3"/>
      <c r="AZ77" s="3"/>
      <c r="BA77" s="3"/>
      <c r="BB77" s="3"/>
      <c r="BC77" s="8">
        <f t="shared" si="27"/>
        <v>1277.2080000000001</v>
      </c>
      <c r="BD77" s="8">
        <f t="shared" si="22"/>
        <v>24720.720000000001</v>
      </c>
      <c r="BE77" s="8">
        <f t="shared" si="22"/>
        <v>33605.549999999996</v>
      </c>
      <c r="BF77" s="8">
        <f t="shared" si="22"/>
        <v>30317.484</v>
      </c>
      <c r="BG77" s="8">
        <f t="shared" si="22"/>
        <v>42620.904000000002</v>
      </c>
      <c r="BH77" s="8">
        <f t="shared" si="22"/>
        <v>192617.50800000003</v>
      </c>
      <c r="BI77" s="27">
        <f t="shared" si="23"/>
        <v>325159.37400000007</v>
      </c>
      <c r="BJ77" s="27"/>
      <c r="BN77" s="31"/>
      <c r="BO77" s="10">
        <v>3</v>
      </c>
      <c r="BP77" s="3">
        <f t="shared" si="24"/>
        <v>0</v>
      </c>
      <c r="BQ77" s="3">
        <f t="shared" si="21"/>
        <v>0</v>
      </c>
      <c r="BR77" s="3">
        <f t="shared" si="21"/>
        <v>0</v>
      </c>
      <c r="BS77" s="3">
        <f t="shared" si="21"/>
        <v>0</v>
      </c>
      <c r="BT77" s="3">
        <f t="shared" si="21"/>
        <v>3051.1080000000002</v>
      </c>
      <c r="BU77" s="3">
        <f t="shared" si="21"/>
        <v>83250.66</v>
      </c>
      <c r="BV77" s="3">
        <f t="shared" si="21"/>
        <v>108114.825</v>
      </c>
      <c r="BW77" s="3">
        <f t="shared" si="21"/>
        <v>96100.703999999998</v>
      </c>
      <c r="BX77" s="3">
        <f t="shared" si="21"/>
        <v>122032.49400000001</v>
      </c>
      <c r="BY77" s="3">
        <f t="shared" si="21"/>
        <v>786003.70200000005</v>
      </c>
      <c r="BZ77" s="3">
        <f t="shared" si="21"/>
        <v>804116.53500000003</v>
      </c>
      <c r="CA77" s="27">
        <f t="shared" si="25"/>
        <v>2002670.0279999999</v>
      </c>
      <c r="CB77" s="27"/>
    </row>
    <row r="78" spans="2:81" ht="15.6" x14ac:dyDescent="0.3">
      <c r="M78" s="14"/>
      <c r="N78" s="14"/>
      <c r="O78" s="14"/>
      <c r="P78" s="28"/>
      <c r="Q78" s="28"/>
      <c r="R78" s="10">
        <v>3</v>
      </c>
      <c r="S78" s="3"/>
      <c r="T78" s="3"/>
      <c r="U78" s="7"/>
      <c r="V78" s="7">
        <f>U67*0.0002</f>
        <v>8.76</v>
      </c>
      <c r="W78" s="7">
        <f>U67*0.00054</f>
        <v>23.652000000000001</v>
      </c>
      <c r="X78" s="7">
        <f>U67*0.0083</f>
        <v>363.54</v>
      </c>
      <c r="Y78" s="7">
        <f>U67*0.00775</f>
        <v>339.45</v>
      </c>
      <c r="Z78" s="7">
        <f>U67*0.00653</f>
        <v>286.01400000000001</v>
      </c>
      <c r="AA78" s="7">
        <f>U67*0.00918</f>
        <v>402.084</v>
      </c>
      <c r="AB78" s="7">
        <f>U67*0.07093</f>
        <v>3106.7340000000004</v>
      </c>
      <c r="AC78" s="27">
        <f t="shared" si="26"/>
        <v>4530.2340000000004</v>
      </c>
      <c r="AD78" s="27"/>
      <c r="AV78" s="31"/>
      <c r="AW78" s="10">
        <v>3.5</v>
      </c>
      <c r="AX78" s="3"/>
      <c r="AY78" s="3"/>
      <c r="AZ78" s="3"/>
      <c r="BA78" s="3"/>
      <c r="BB78" s="3"/>
      <c r="BC78" s="8">
        <f t="shared" si="27"/>
        <v>570.27599999999995</v>
      </c>
      <c r="BD78" s="8">
        <f t="shared" si="22"/>
        <v>14486.85</v>
      </c>
      <c r="BE78" s="8">
        <f t="shared" si="22"/>
        <v>58853.184000000001</v>
      </c>
      <c r="BF78" s="8">
        <f t="shared" si="22"/>
        <v>33775.055999999997</v>
      </c>
      <c r="BG78" s="8">
        <f t="shared" si="22"/>
        <v>37914.156000000003</v>
      </c>
      <c r="BH78" s="8">
        <f t="shared" si="22"/>
        <v>179728.92</v>
      </c>
      <c r="BI78" s="27">
        <f t="shared" si="23"/>
        <v>325328.44200000004</v>
      </c>
      <c r="BJ78" s="27"/>
      <c r="BN78" s="31"/>
      <c r="BO78" s="10">
        <v>3.5</v>
      </c>
      <c r="BP78" s="3">
        <f t="shared" si="24"/>
        <v>0</v>
      </c>
      <c r="BQ78" s="3">
        <f t="shared" si="21"/>
        <v>0</v>
      </c>
      <c r="BR78" s="3">
        <f t="shared" si="21"/>
        <v>0</v>
      </c>
      <c r="BS78" s="3">
        <f t="shared" si="21"/>
        <v>0</v>
      </c>
      <c r="BT78" s="3">
        <f t="shared" si="21"/>
        <v>0</v>
      </c>
      <c r="BU78" s="3">
        <f t="shared" si="21"/>
        <v>33480.720000000001</v>
      </c>
      <c r="BV78" s="3">
        <f t="shared" si="21"/>
        <v>164750.196</v>
      </c>
      <c r="BW78" s="3">
        <f t="shared" si="21"/>
        <v>115800.192</v>
      </c>
      <c r="BX78" s="3">
        <f t="shared" si="21"/>
        <v>117503.79300000001</v>
      </c>
      <c r="BY78" s="3">
        <f t="shared" si="21"/>
        <v>883239.26399999997</v>
      </c>
      <c r="BZ78" s="3">
        <f t="shared" si="21"/>
        <v>836522.09640000004</v>
      </c>
      <c r="CA78" s="27">
        <f t="shared" si="25"/>
        <v>2151296.2614000002</v>
      </c>
      <c r="CB78" s="27"/>
    </row>
    <row r="79" spans="2:81" x14ac:dyDescent="0.3">
      <c r="P79" s="28"/>
      <c r="Q79" s="28"/>
      <c r="R79" s="10">
        <v>3.5</v>
      </c>
      <c r="S79" s="3"/>
      <c r="T79" s="3"/>
      <c r="U79" s="7"/>
      <c r="V79" s="7">
        <f>U67*0.00007</f>
        <v>3.0659999999999998</v>
      </c>
      <c r="W79" s="7">
        <f>U67*0.00014</f>
        <v>6.1319999999999997</v>
      </c>
      <c r="X79" s="7">
        <f>U67*0.00245</f>
        <v>107.31</v>
      </c>
      <c r="Y79" s="7">
        <f>U67*0.00884</f>
        <v>387.19200000000001</v>
      </c>
      <c r="Z79" s="7">
        <f>U67*0.00612</f>
        <v>268.05599999999998</v>
      </c>
      <c r="AA79" s="7">
        <f>U67*0.00687</f>
        <v>300.90600000000001</v>
      </c>
      <c r="AB79" s="7">
        <f>U67*0.05862</f>
        <v>2567.556</v>
      </c>
      <c r="AC79" s="27">
        <f t="shared" si="26"/>
        <v>3640.2179999999998</v>
      </c>
      <c r="AD79" s="27"/>
      <c r="AV79" s="31"/>
      <c r="AW79" s="10">
        <v>4</v>
      </c>
      <c r="AX79" s="3"/>
      <c r="AY79" s="3"/>
      <c r="AZ79" s="3"/>
      <c r="BA79" s="3"/>
      <c r="BB79" s="3"/>
      <c r="BC79" s="8">
        <f t="shared" si="27"/>
        <v>0</v>
      </c>
      <c r="BD79" s="8">
        <f t="shared" si="22"/>
        <v>4702.3680000000004</v>
      </c>
      <c r="BE79" s="8">
        <f t="shared" si="22"/>
        <v>45963.72</v>
      </c>
      <c r="BF79" s="8">
        <f t="shared" si="22"/>
        <v>30313.103999999996</v>
      </c>
      <c r="BG79" s="8">
        <f t="shared" si="22"/>
        <v>35197.68</v>
      </c>
      <c r="BH79" s="8">
        <f t="shared" si="22"/>
        <v>221321.4</v>
      </c>
      <c r="BI79" s="27">
        <f t="shared" si="23"/>
        <v>337498.272</v>
      </c>
      <c r="BJ79" s="27"/>
      <c r="BN79" s="31"/>
      <c r="BO79" s="10">
        <v>4</v>
      </c>
      <c r="BP79" s="3">
        <f t="shared" si="24"/>
        <v>0</v>
      </c>
      <c r="BQ79" s="3">
        <f t="shared" si="21"/>
        <v>0</v>
      </c>
      <c r="BR79" s="3">
        <f t="shared" si="21"/>
        <v>0</v>
      </c>
      <c r="BS79" s="3">
        <f t="shared" si="21"/>
        <v>0</v>
      </c>
      <c r="BT79" s="3">
        <f t="shared" si="21"/>
        <v>0</v>
      </c>
      <c r="BU79" s="3">
        <f t="shared" si="21"/>
        <v>12343.716</v>
      </c>
      <c r="BV79" s="3">
        <f t="shared" si="21"/>
        <v>120944.94</v>
      </c>
      <c r="BW79" s="3">
        <f t="shared" si="21"/>
        <v>99441.767999999996</v>
      </c>
      <c r="BX79" s="3">
        <f t="shared" si="21"/>
        <v>104519.94</v>
      </c>
      <c r="BY79" s="3">
        <f t="shared" si="21"/>
        <v>899671.49099999992</v>
      </c>
      <c r="BZ79" s="3">
        <f t="shared" si="21"/>
        <v>824702.84159999993</v>
      </c>
      <c r="CA79" s="27">
        <f t="shared" si="25"/>
        <v>2061624.6965999999</v>
      </c>
      <c r="CB79" s="27"/>
    </row>
    <row r="80" spans="2:81" x14ac:dyDescent="0.3">
      <c r="P80" s="28"/>
      <c r="Q80" s="28"/>
      <c r="R80" s="10">
        <v>4</v>
      </c>
      <c r="S80" s="3"/>
      <c r="T80" s="3"/>
      <c r="U80" s="7"/>
      <c r="V80" s="7"/>
      <c r="W80" s="7"/>
      <c r="X80" s="7">
        <f>U67*0.00061</f>
        <v>26.718</v>
      </c>
      <c r="Y80" s="7">
        <f>U67*0.0053</f>
        <v>232.14000000000001</v>
      </c>
      <c r="Z80" s="7">
        <f>U67*0.00422</f>
        <v>184.83599999999998</v>
      </c>
      <c r="AA80" s="7">
        <f>U67*0.0049</f>
        <v>214.62</v>
      </c>
      <c r="AB80" s="7">
        <f>U67*0.05053</f>
        <v>2213.2139999999999</v>
      </c>
      <c r="AC80" s="27">
        <f t="shared" si="26"/>
        <v>2871.5279999999998</v>
      </c>
      <c r="AD80" s="27"/>
      <c r="AV80" s="31"/>
      <c r="AW80" s="10">
        <v>4.5</v>
      </c>
      <c r="AX80" s="3"/>
      <c r="AY80" s="3"/>
      <c r="AZ80" s="3"/>
      <c r="BA80" s="3"/>
      <c r="BB80" s="3"/>
      <c r="BC80" s="8">
        <f t="shared" si="27"/>
        <v>683.71799999999996</v>
      </c>
      <c r="BD80" s="8">
        <f t="shared" si="22"/>
        <v>0</v>
      </c>
      <c r="BE80" s="8">
        <f t="shared" si="22"/>
        <v>13503.977999999999</v>
      </c>
      <c r="BF80" s="8">
        <f t="shared" si="22"/>
        <v>21671.364000000001</v>
      </c>
      <c r="BG80" s="8">
        <f t="shared" si="22"/>
        <v>23717.261999999999</v>
      </c>
      <c r="BH80" s="8">
        <f t="shared" si="22"/>
        <v>206567.36999999997</v>
      </c>
      <c r="BI80" s="27">
        <f t="shared" si="23"/>
        <v>266143.69199999998</v>
      </c>
      <c r="BJ80" s="27"/>
      <c r="BN80" s="31"/>
      <c r="BO80" s="10">
        <v>4.5</v>
      </c>
      <c r="BP80" s="3">
        <f t="shared" si="24"/>
        <v>0</v>
      </c>
      <c r="BQ80" s="3">
        <f t="shared" si="21"/>
        <v>0</v>
      </c>
      <c r="BR80" s="3">
        <f t="shared" si="21"/>
        <v>0</v>
      </c>
      <c r="BS80" s="3">
        <f t="shared" si="21"/>
        <v>0</v>
      </c>
      <c r="BT80" s="3">
        <f t="shared" si="21"/>
        <v>0</v>
      </c>
      <c r="BU80" s="3">
        <f t="shared" si="21"/>
        <v>0</v>
      </c>
      <c r="BV80" s="3">
        <f t="shared" si="21"/>
        <v>35511.506999999998</v>
      </c>
      <c r="BW80" s="3">
        <f t="shared" si="21"/>
        <v>79920.983999999997</v>
      </c>
      <c r="BX80" s="3">
        <f t="shared" si="21"/>
        <v>78966.144</v>
      </c>
      <c r="BY80" s="3">
        <f t="shared" si="21"/>
        <v>899017.11899999995</v>
      </c>
      <c r="BZ80" s="3">
        <f t="shared" si="21"/>
        <v>732250.67759999982</v>
      </c>
      <c r="CA80" s="27">
        <f t="shared" si="25"/>
        <v>1825666.4315999998</v>
      </c>
      <c r="CB80" s="27"/>
    </row>
    <row r="81" spans="2:81" x14ac:dyDescent="0.3">
      <c r="P81" s="28"/>
      <c r="Q81" s="28"/>
      <c r="R81" s="10">
        <v>4.5</v>
      </c>
      <c r="S81" s="3"/>
      <c r="T81" s="3"/>
      <c r="U81" s="7"/>
      <c r="V81" s="7"/>
      <c r="W81" s="7">
        <f>U67*0.00007</f>
        <v>3.0659999999999998</v>
      </c>
      <c r="X81" s="7"/>
      <c r="Y81" s="7">
        <f>U67*0.00129</f>
        <v>56.501999999999995</v>
      </c>
      <c r="Z81" s="7">
        <f>U67*0.00286</f>
        <v>125.268</v>
      </c>
      <c r="AA81" s="7">
        <f>U67*0.00313</f>
        <v>137.09399999999999</v>
      </c>
      <c r="AB81" s="7">
        <f>U67*0.04101</f>
        <v>1796.2379999999998</v>
      </c>
      <c r="AC81" s="27">
        <f t="shared" si="26"/>
        <v>2118.1679999999997</v>
      </c>
      <c r="AD81" s="27"/>
      <c r="AV81" s="31"/>
      <c r="AW81" s="10">
        <v>5</v>
      </c>
      <c r="AX81" s="3"/>
      <c r="AY81" s="3"/>
      <c r="AZ81" s="3"/>
      <c r="BA81" s="3"/>
      <c r="BB81" s="3"/>
      <c r="BC81" s="8">
        <f t="shared" si="27"/>
        <v>0</v>
      </c>
      <c r="BD81" s="8">
        <f t="shared" si="22"/>
        <v>766.5</v>
      </c>
      <c r="BE81" s="8">
        <f t="shared" si="22"/>
        <v>5256</v>
      </c>
      <c r="BF81" s="8">
        <f t="shared" si="22"/>
        <v>33181.128000000004</v>
      </c>
      <c r="BG81" s="8">
        <f t="shared" si="22"/>
        <v>18465.204000000002</v>
      </c>
      <c r="BH81" s="8">
        <f t="shared" si="22"/>
        <v>166249.90800000002</v>
      </c>
      <c r="BI81" s="27">
        <f t="shared" si="23"/>
        <v>223918.74000000005</v>
      </c>
      <c r="BJ81" s="27"/>
      <c r="BN81" s="31"/>
      <c r="BO81" s="10">
        <v>5</v>
      </c>
      <c r="BP81" s="3">
        <f t="shared" si="24"/>
        <v>0</v>
      </c>
      <c r="BQ81" s="3">
        <f t="shared" si="21"/>
        <v>0</v>
      </c>
      <c r="BR81" s="3">
        <f t="shared" si="21"/>
        <v>0</v>
      </c>
      <c r="BS81" s="3">
        <f t="shared" si="21"/>
        <v>0</v>
      </c>
      <c r="BT81" s="3">
        <f t="shared" si="21"/>
        <v>0</v>
      </c>
      <c r="BU81" s="3">
        <f t="shared" si="21"/>
        <v>0</v>
      </c>
      <c r="BV81" s="3">
        <f t="shared" si="21"/>
        <v>15400.08</v>
      </c>
      <c r="BW81" s="3">
        <f t="shared" si="21"/>
        <v>111482.38800000002</v>
      </c>
      <c r="BX81" s="3">
        <f t="shared" si="21"/>
        <v>58545.050999999999</v>
      </c>
      <c r="BY81" s="3">
        <f t="shared" si="21"/>
        <v>681390.46800000011</v>
      </c>
      <c r="BZ81" s="3">
        <f t="shared" si="21"/>
        <v>587693.85840000003</v>
      </c>
      <c r="CA81" s="27">
        <f t="shared" si="25"/>
        <v>1454511.8454000002</v>
      </c>
      <c r="CB81" s="27"/>
    </row>
    <row r="82" spans="2:81" x14ac:dyDescent="0.3">
      <c r="P82" s="28"/>
      <c r="Q82" s="28"/>
      <c r="R82" s="10">
        <v>5</v>
      </c>
      <c r="S82" s="3"/>
      <c r="T82" s="3"/>
      <c r="U82" s="7"/>
      <c r="V82" s="7"/>
      <c r="W82" s="7"/>
      <c r="X82" s="7">
        <f>U67*0.00007</f>
        <v>3.0659999999999998</v>
      </c>
      <c r="Y82" s="7">
        <f>U67*0.00048</f>
        <v>21.024000000000001</v>
      </c>
      <c r="Z82" s="7">
        <f>U67*0.00354</f>
        <v>155.05200000000002</v>
      </c>
      <c r="AA82" s="7">
        <f>U67*0.00197</f>
        <v>86.286000000000001</v>
      </c>
      <c r="AB82" s="7">
        <f>U67*0.02673</f>
        <v>1170.7740000000001</v>
      </c>
      <c r="AC82" s="27">
        <f t="shared" si="26"/>
        <v>1436.2020000000002</v>
      </c>
      <c r="AD82" s="27"/>
      <c r="AV82" s="31"/>
      <c r="AW82" s="10" t="s">
        <v>15</v>
      </c>
      <c r="AX82" s="3"/>
      <c r="AY82" s="3"/>
      <c r="AZ82" s="3"/>
      <c r="BA82" s="3"/>
      <c r="BB82" s="3"/>
      <c r="BC82" s="18">
        <f t="shared" si="27"/>
        <v>0</v>
      </c>
      <c r="BD82" s="8">
        <f t="shared" si="22"/>
        <v>0</v>
      </c>
      <c r="BE82" s="8">
        <f t="shared" si="22"/>
        <v>1533</v>
      </c>
      <c r="BF82" s="8">
        <f t="shared" si="22"/>
        <v>13359</v>
      </c>
      <c r="BG82" s="8">
        <f t="shared" si="22"/>
        <v>37996.5</v>
      </c>
      <c r="BH82" s="8">
        <f t="shared" si="22"/>
        <v>660922.728</v>
      </c>
      <c r="BI82" s="27">
        <f>SUM(AY82:BH82)+1</f>
        <v>713812.228</v>
      </c>
      <c r="BJ82" s="27"/>
      <c r="BN82" s="31"/>
      <c r="BO82" s="10" t="s">
        <v>15</v>
      </c>
      <c r="BP82" s="3">
        <f t="shared" si="24"/>
        <v>0</v>
      </c>
      <c r="BQ82" s="3">
        <f t="shared" si="21"/>
        <v>0</v>
      </c>
      <c r="BR82" s="3">
        <f t="shared" si="21"/>
        <v>0</v>
      </c>
      <c r="BS82" s="3">
        <f t="shared" si="21"/>
        <v>0</v>
      </c>
      <c r="BT82" s="3">
        <f t="shared" si="21"/>
        <v>0</v>
      </c>
      <c r="BU82" s="3">
        <f t="shared" si="21"/>
        <v>0</v>
      </c>
      <c r="BV82" s="3">
        <f t="shared" si="21"/>
        <v>4599</v>
      </c>
      <c r="BW82" s="3">
        <f t="shared" si="21"/>
        <v>40077</v>
      </c>
      <c r="BX82" s="3">
        <f t="shared" si="21"/>
        <v>113989.49999999999</v>
      </c>
      <c r="BY82" s="3">
        <f t="shared" si="21"/>
        <v>2813532.6828000001</v>
      </c>
      <c r="BZ82" s="3">
        <f t="shared" si="21"/>
        <v>2474639.7311999998</v>
      </c>
      <c r="CA82" s="27">
        <f>SUM(BQ82:BZ82)+1</f>
        <v>5446838.9139999999</v>
      </c>
      <c r="CB82" s="27"/>
    </row>
    <row r="83" spans="2:81" x14ac:dyDescent="0.3">
      <c r="P83" s="28"/>
      <c r="Q83" s="28"/>
      <c r="R83" s="10" t="s">
        <v>15</v>
      </c>
      <c r="S83" s="3"/>
      <c r="T83" s="3"/>
      <c r="U83" s="7"/>
      <c r="V83" s="7"/>
      <c r="W83" s="7"/>
      <c r="X83" s="7"/>
      <c r="Y83" s="7">
        <f>U67*0.00014</f>
        <v>6.1319999999999997</v>
      </c>
      <c r="Z83" s="7">
        <f>U67*0.00122</f>
        <v>53.436</v>
      </c>
      <c r="AA83" s="7">
        <f>U67*0.00347</f>
        <v>151.98599999999999</v>
      </c>
      <c r="AB83" s="7">
        <f>U67*0.08773</f>
        <v>3842.5740000000001</v>
      </c>
      <c r="AC83" s="27">
        <f t="shared" si="26"/>
        <v>4054.1280000000002</v>
      </c>
      <c r="AD83" s="27"/>
      <c r="AV83" s="31"/>
      <c r="AW83" s="25" t="s">
        <v>16</v>
      </c>
      <c r="AX83" s="6"/>
      <c r="AY83" s="6"/>
      <c r="AZ83" s="6"/>
      <c r="BA83" s="6"/>
      <c r="BB83" s="6"/>
      <c r="BC83" s="20"/>
      <c r="BD83" s="6"/>
      <c r="BE83" s="6"/>
      <c r="BF83" s="6"/>
      <c r="BG83" s="6"/>
      <c r="BH83" s="16"/>
      <c r="BI83" s="29">
        <f>SUM(BI72:BJ82)</f>
        <v>2870608.8496000003</v>
      </c>
      <c r="BJ83" s="29"/>
      <c r="BN83" s="31"/>
      <c r="BO83" s="25" t="s">
        <v>16</v>
      </c>
      <c r="BP83" s="6"/>
      <c r="BQ83" s="6"/>
      <c r="BR83" s="6"/>
      <c r="BS83" s="6"/>
      <c r="BT83" s="6"/>
      <c r="BU83" s="20"/>
      <c r="BV83" s="6"/>
      <c r="BW83" s="6"/>
      <c r="BX83" s="6"/>
      <c r="BY83" s="6"/>
      <c r="BZ83" s="16"/>
      <c r="CA83" s="29">
        <f>SUM(CA72:CB82)</f>
        <v>19036617</v>
      </c>
      <c r="CB83" s="29"/>
    </row>
    <row r="84" spans="2:81" x14ac:dyDescent="0.3">
      <c r="P84" s="28"/>
      <c r="Q84" s="28"/>
      <c r="R84" s="28" t="s">
        <v>16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29">
        <f>SUM(AC73:AD83)</f>
        <v>43799.751999999993</v>
      </c>
      <c r="AD84" s="29"/>
      <c r="AV84" s="31"/>
      <c r="AW84" s="13"/>
      <c r="AX84" s="4"/>
      <c r="AY84" s="4"/>
      <c r="AZ84" s="4"/>
      <c r="BA84" s="4"/>
      <c r="BB84" s="4"/>
      <c r="BC84" s="19"/>
      <c r="BD84" s="4"/>
      <c r="BE84" s="4"/>
      <c r="BF84" s="4"/>
      <c r="BG84" s="4"/>
      <c r="BH84" s="15"/>
      <c r="BI84" s="29"/>
      <c r="BJ84" s="29"/>
      <c r="BN84" s="31"/>
      <c r="BO84" s="13"/>
      <c r="BP84" s="4"/>
      <c r="BQ84" s="4"/>
      <c r="BR84" s="4"/>
      <c r="BS84" s="4"/>
      <c r="BT84" s="4"/>
      <c r="BU84" s="19"/>
      <c r="BV84" s="4"/>
      <c r="BW84" s="4"/>
      <c r="BX84" s="4"/>
      <c r="BY84" s="4"/>
      <c r="BZ84" s="15"/>
      <c r="CA84" s="29"/>
      <c r="CB84" s="29"/>
    </row>
    <row r="85" spans="2:81" x14ac:dyDescent="0.3">
      <c r="P85" s="28"/>
      <c r="Q85" s="28"/>
      <c r="R85" s="28"/>
      <c r="S85" s="4"/>
      <c r="T85" s="4"/>
      <c r="U85" s="4"/>
      <c r="V85" s="4"/>
      <c r="W85" s="4"/>
      <c r="X85" s="4"/>
      <c r="Y85" s="4"/>
      <c r="Z85" s="4"/>
      <c r="AA85" s="4"/>
      <c r="AB85" s="4"/>
      <c r="AC85" s="29"/>
      <c r="AD85" s="29"/>
      <c r="AV85" s="32"/>
      <c r="AW85" s="26"/>
      <c r="AX85" s="5"/>
      <c r="AY85" s="5"/>
      <c r="AZ85" s="5"/>
      <c r="BA85" s="5"/>
      <c r="BB85" s="5"/>
      <c r="BC85" s="21"/>
      <c r="BD85" s="5"/>
      <c r="BE85" s="5"/>
      <c r="BF85" s="5"/>
      <c r="BG85" s="5"/>
      <c r="BH85" s="17"/>
      <c r="BI85" s="29"/>
      <c r="BJ85" s="29"/>
      <c r="BN85" s="32"/>
      <c r="BO85" s="26"/>
      <c r="BP85" s="5"/>
      <c r="BQ85" s="5"/>
      <c r="BR85" s="5"/>
      <c r="BS85" s="5"/>
      <c r="BT85" s="5"/>
      <c r="BU85" s="21"/>
      <c r="BV85" s="5"/>
      <c r="BW85" s="5"/>
      <c r="BX85" s="5"/>
      <c r="BY85" s="5"/>
      <c r="BZ85" s="17"/>
      <c r="CA85" s="29"/>
      <c r="CB85" s="29"/>
    </row>
    <row r="86" spans="2:81" x14ac:dyDescent="0.3">
      <c r="P86" s="28"/>
      <c r="Q86" s="28"/>
      <c r="R86" s="28"/>
      <c r="S86" s="5"/>
      <c r="T86" s="5"/>
      <c r="U86" s="5"/>
      <c r="V86" s="5"/>
      <c r="W86" s="5"/>
      <c r="X86" s="5"/>
      <c r="Y86" s="5"/>
      <c r="Z86" s="5"/>
      <c r="AA86" s="5"/>
      <c r="AB86" s="5"/>
      <c r="AC86" s="29"/>
      <c r="AD86" s="29"/>
      <c r="BI86" s="36">
        <f>BI83/5</f>
        <v>574121.76992000011</v>
      </c>
      <c r="BJ86" s="37"/>
      <c r="BK86" s="40" t="s">
        <v>17</v>
      </c>
      <c r="CA86" s="36">
        <f>CA83/5</f>
        <v>3807323.4</v>
      </c>
      <c r="CB86" s="37"/>
      <c r="CC86" s="40" t="s">
        <v>17</v>
      </c>
    </row>
    <row r="87" spans="2:81" x14ac:dyDescent="0.3">
      <c r="BI87" s="38"/>
      <c r="BJ87" s="39"/>
      <c r="BK87" s="41"/>
      <c r="CA87" s="38"/>
      <c r="CB87" s="39"/>
      <c r="CC87" s="41"/>
    </row>
    <row r="88" spans="2:81" x14ac:dyDescent="0.3">
      <c r="BI88" s="42">
        <f>BI86*0.001</f>
        <v>574.12176992000013</v>
      </c>
      <c r="BJ88" s="43"/>
      <c r="BK88" s="46" t="s">
        <v>18</v>
      </c>
      <c r="CA88" s="42">
        <f>CA86*0.001</f>
        <v>3807.3233999999998</v>
      </c>
      <c r="CB88" s="43"/>
      <c r="CC88" s="46" t="s">
        <v>18</v>
      </c>
    </row>
    <row r="89" spans="2:81" x14ac:dyDescent="0.3">
      <c r="U89" s="2" t="s">
        <v>0</v>
      </c>
      <c r="BI89" s="44"/>
      <c r="BJ89" s="45"/>
      <c r="BK89" s="47"/>
      <c r="CA89" s="44"/>
      <c r="CB89" s="45"/>
      <c r="CC89" s="47"/>
    </row>
    <row r="90" spans="2:81" x14ac:dyDescent="0.3">
      <c r="B90" t="s">
        <v>27</v>
      </c>
      <c r="E90" t="s">
        <v>28</v>
      </c>
      <c r="U90">
        <f>(5*8760)</f>
        <v>43800</v>
      </c>
    </row>
    <row r="91" spans="2:81" x14ac:dyDescent="0.3">
      <c r="AV91" s="2" t="s">
        <v>27</v>
      </c>
      <c r="AW91" s="2"/>
      <c r="AX91" s="2"/>
      <c r="AY91" s="2" t="s">
        <v>28</v>
      </c>
      <c r="AZ91" s="2"/>
      <c r="BN91" s="2" t="s">
        <v>27</v>
      </c>
      <c r="BO91" s="2"/>
      <c r="BP91" s="2"/>
      <c r="BQ91" s="2" t="s">
        <v>28</v>
      </c>
      <c r="BR91" s="2"/>
    </row>
    <row r="93" spans="2:81" x14ac:dyDescent="0.3">
      <c r="P93" s="28" t="s">
        <v>7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V93" s="28" t="s">
        <v>8</v>
      </c>
      <c r="AW93" s="28"/>
      <c r="AX93" s="33" t="s">
        <v>7</v>
      </c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5"/>
      <c r="BN93" s="28" t="s">
        <v>8</v>
      </c>
      <c r="BO93" s="28"/>
      <c r="BP93" s="33" t="s">
        <v>7</v>
      </c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5"/>
    </row>
    <row r="94" spans="2:81" x14ac:dyDescent="0.3"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V94" s="28"/>
      <c r="AW94" s="28"/>
      <c r="AX94" s="11" t="s">
        <v>9</v>
      </c>
      <c r="AY94" s="3">
        <v>2</v>
      </c>
      <c r="AZ94" s="3">
        <v>3</v>
      </c>
      <c r="BA94" s="3">
        <v>4</v>
      </c>
      <c r="BB94" s="3">
        <v>5</v>
      </c>
      <c r="BC94" s="3">
        <v>6</v>
      </c>
      <c r="BD94" s="3">
        <v>7</v>
      </c>
      <c r="BE94" s="3">
        <v>8</v>
      </c>
      <c r="BF94" s="3">
        <v>9</v>
      </c>
      <c r="BG94" s="3">
        <v>10</v>
      </c>
      <c r="BH94" s="3" t="s">
        <v>10</v>
      </c>
      <c r="BI94" s="27" t="s">
        <v>11</v>
      </c>
      <c r="BJ94" s="27"/>
      <c r="BN94" s="28"/>
      <c r="BO94" s="28"/>
      <c r="BP94" s="11" t="s">
        <v>9</v>
      </c>
      <c r="BQ94" s="3">
        <v>2</v>
      </c>
      <c r="BR94" s="3">
        <v>3</v>
      </c>
      <c r="BS94" s="3">
        <v>4</v>
      </c>
      <c r="BT94" s="3">
        <v>5</v>
      </c>
      <c r="BU94" s="3">
        <v>6</v>
      </c>
      <c r="BV94" s="3">
        <v>7</v>
      </c>
      <c r="BW94" s="3">
        <v>8</v>
      </c>
      <c r="BX94" s="3">
        <v>9</v>
      </c>
      <c r="BY94" s="3">
        <v>10</v>
      </c>
      <c r="BZ94" s="3" t="s">
        <v>10</v>
      </c>
      <c r="CA94" s="27" t="s">
        <v>11</v>
      </c>
      <c r="CB94" s="27"/>
    </row>
    <row r="95" spans="2:81" x14ac:dyDescent="0.3">
      <c r="P95" s="28" t="s">
        <v>12</v>
      </c>
      <c r="Q95" s="28"/>
      <c r="R95" s="3" t="s">
        <v>9</v>
      </c>
      <c r="S95" s="3">
        <v>2</v>
      </c>
      <c r="T95" s="3">
        <v>3</v>
      </c>
      <c r="U95" s="3">
        <v>4</v>
      </c>
      <c r="V95" s="3">
        <v>5</v>
      </c>
      <c r="W95" s="3">
        <v>6</v>
      </c>
      <c r="X95" s="3">
        <v>7</v>
      </c>
      <c r="Y95" s="3">
        <v>8</v>
      </c>
      <c r="Z95" s="3">
        <v>9</v>
      </c>
      <c r="AA95" s="3">
        <v>10</v>
      </c>
      <c r="AB95" s="3" t="s">
        <v>10</v>
      </c>
      <c r="AC95" s="27" t="s">
        <v>13</v>
      </c>
      <c r="AD95" s="27"/>
      <c r="AV95" s="30" t="s">
        <v>12</v>
      </c>
      <c r="AW95" s="10" t="s">
        <v>14</v>
      </c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27">
        <f>SUM(AY95:BH95)</f>
        <v>0</v>
      </c>
      <c r="BJ95" s="27"/>
      <c r="BN95" s="30" t="s">
        <v>12</v>
      </c>
      <c r="BO95" s="10" t="s">
        <v>14</v>
      </c>
      <c r="BP95" s="3">
        <f>AI28*S96</f>
        <v>0</v>
      </c>
      <c r="BQ95" s="3">
        <f t="shared" ref="BQ95:BZ105" si="28">AJ28*T96</f>
        <v>0</v>
      </c>
      <c r="BR95" s="3">
        <f t="shared" si="28"/>
        <v>0</v>
      </c>
      <c r="BS95" s="3">
        <f t="shared" si="28"/>
        <v>0</v>
      </c>
      <c r="BT95" s="3">
        <f t="shared" si="28"/>
        <v>0</v>
      </c>
      <c r="BU95" s="3">
        <f t="shared" si="28"/>
        <v>0</v>
      </c>
      <c r="BV95" s="3">
        <f t="shared" si="28"/>
        <v>0</v>
      </c>
      <c r="BW95" s="3">
        <f t="shared" si="28"/>
        <v>0</v>
      </c>
      <c r="BX95" s="3">
        <f t="shared" si="28"/>
        <v>0</v>
      </c>
      <c r="BY95" s="3">
        <f t="shared" si="28"/>
        <v>0</v>
      </c>
      <c r="BZ95" s="3">
        <f t="shared" si="28"/>
        <v>0</v>
      </c>
      <c r="CA95" s="27">
        <f>SUM(BQ95:BZ95)</f>
        <v>0</v>
      </c>
      <c r="CB95" s="27"/>
    </row>
    <row r="96" spans="2:81" x14ac:dyDescent="0.3">
      <c r="P96" s="28"/>
      <c r="Q96" s="28"/>
      <c r="R96" s="10" t="s">
        <v>14</v>
      </c>
      <c r="S96" s="3"/>
      <c r="T96" s="3"/>
      <c r="U96" s="7"/>
      <c r="V96" s="7"/>
      <c r="W96" s="7"/>
      <c r="X96" s="7">
        <f>U90*0.00034</f>
        <v>14.892000000000001</v>
      </c>
      <c r="Y96" s="7">
        <v>0</v>
      </c>
      <c r="Z96" s="7">
        <v>0</v>
      </c>
      <c r="AA96" s="7">
        <v>0</v>
      </c>
      <c r="AB96" s="7">
        <v>0</v>
      </c>
      <c r="AC96" s="27">
        <f>SUM(S96:AB96)</f>
        <v>14.892000000000001</v>
      </c>
      <c r="AD96" s="27"/>
      <c r="AV96" s="31"/>
      <c r="AW96" s="12">
        <v>1</v>
      </c>
      <c r="AX96" s="3"/>
      <c r="AY96" s="3"/>
      <c r="AZ96" s="3"/>
      <c r="BA96" s="3"/>
      <c r="BB96" s="3"/>
      <c r="BC96" s="8">
        <f>AN8*W97</f>
        <v>1109.0159999999998</v>
      </c>
      <c r="BD96" s="8">
        <f t="shared" ref="BD96:BH105" si="29">AO8*X97</f>
        <v>4264.3680000000004</v>
      </c>
      <c r="BE96" s="8">
        <f t="shared" si="29"/>
        <v>7959.3360000000002</v>
      </c>
      <c r="BF96" s="8">
        <f t="shared" si="29"/>
        <v>7579.152</v>
      </c>
      <c r="BG96" s="8">
        <f t="shared" si="29"/>
        <v>3998.94</v>
      </c>
      <c r="BH96" s="8">
        <f t="shared" si="29"/>
        <v>2054.2199999999998</v>
      </c>
      <c r="BI96" s="27">
        <f t="shared" ref="BI96:BI104" si="30">SUM(AY96:BH96)</f>
        <v>26965.032000000003</v>
      </c>
      <c r="BJ96" s="27"/>
      <c r="BN96" s="31"/>
      <c r="BO96" s="12">
        <v>1</v>
      </c>
      <c r="BP96" s="3">
        <f t="shared" ref="BP96:BP105" si="31">AI29*S97</f>
        <v>0</v>
      </c>
      <c r="BQ96" s="3">
        <f t="shared" si="28"/>
        <v>0</v>
      </c>
      <c r="BR96" s="3">
        <f t="shared" si="28"/>
        <v>0</v>
      </c>
      <c r="BS96" s="3">
        <f t="shared" si="28"/>
        <v>0</v>
      </c>
      <c r="BT96" s="3">
        <f t="shared" si="28"/>
        <v>0</v>
      </c>
      <c r="BU96" s="3">
        <f t="shared" si="28"/>
        <v>13592.673000000001</v>
      </c>
      <c r="BV96" s="3">
        <f t="shared" si="28"/>
        <v>25686.948</v>
      </c>
      <c r="BW96" s="3">
        <f t="shared" si="28"/>
        <v>24000.648000000001</v>
      </c>
      <c r="BX96" s="3">
        <f t="shared" si="28"/>
        <v>13087.44</v>
      </c>
      <c r="BY96" s="3">
        <f t="shared" si="28"/>
        <v>12530.742</v>
      </c>
      <c r="BZ96" s="3">
        <f t="shared" si="28"/>
        <v>33909.478199999998</v>
      </c>
      <c r="CA96" s="27">
        <f t="shared" ref="CA96:CA104" si="32">SUM(BQ96:BZ96)</f>
        <v>122807.9292</v>
      </c>
      <c r="CB96" s="27"/>
    </row>
    <row r="97" spans="13:81" x14ac:dyDescent="0.3">
      <c r="P97" s="28"/>
      <c r="Q97" s="28"/>
      <c r="R97" s="10">
        <v>1</v>
      </c>
      <c r="S97" s="3"/>
      <c r="T97" s="3"/>
      <c r="U97" s="7"/>
      <c r="V97" s="7">
        <f>U90*0.00116</f>
        <v>50.808</v>
      </c>
      <c r="W97" s="7">
        <f>U90*0.00422</f>
        <v>184.83599999999998</v>
      </c>
      <c r="X97" s="7">
        <f>U90*0.01217</f>
        <v>533.04600000000005</v>
      </c>
      <c r="Y97" s="7">
        <f>U90*0.01652</f>
        <v>723.57600000000002</v>
      </c>
      <c r="Z97" s="7">
        <f>U90*0.01442</f>
        <v>631.596</v>
      </c>
      <c r="AA97" s="7">
        <f>U90*0.0083</f>
        <v>363.54</v>
      </c>
      <c r="AB97" s="7">
        <f>U90*0.00938</f>
        <v>410.84399999999999</v>
      </c>
      <c r="AC97" s="27">
        <f t="shared" ref="AC97" si="33">SUM(S97:AB97)</f>
        <v>2898.2460000000001</v>
      </c>
      <c r="AD97" s="27"/>
      <c r="AV97" s="31"/>
      <c r="AW97" s="10">
        <v>1.5</v>
      </c>
      <c r="AX97" s="3"/>
      <c r="AY97" s="3"/>
      <c r="AZ97" s="3"/>
      <c r="BA97" s="3"/>
      <c r="BB97" s="3"/>
      <c r="BC97" s="8">
        <f t="shared" ref="BC97:BC105" si="34">AN9*W98</f>
        <v>4532.424</v>
      </c>
      <c r="BD97" s="8">
        <f t="shared" si="29"/>
        <v>7446</v>
      </c>
      <c r="BE97" s="8">
        <f t="shared" si="29"/>
        <v>26586.6</v>
      </c>
      <c r="BF97" s="8">
        <f t="shared" si="29"/>
        <v>49640.292000000001</v>
      </c>
      <c r="BG97" s="8">
        <f t="shared" si="29"/>
        <v>41122.068000000007</v>
      </c>
      <c r="BH97" s="8">
        <f t="shared" si="29"/>
        <v>21144.537599999996</v>
      </c>
      <c r="BI97" s="27">
        <f t="shared" si="30"/>
        <v>150471.9216</v>
      </c>
      <c r="BJ97" s="27"/>
      <c r="BN97" s="31"/>
      <c r="BO97" s="10">
        <v>1.5</v>
      </c>
      <c r="BP97" s="3">
        <f t="shared" si="31"/>
        <v>0</v>
      </c>
      <c r="BQ97" s="3">
        <f t="shared" si="28"/>
        <v>0</v>
      </c>
      <c r="BR97" s="3">
        <f t="shared" si="28"/>
        <v>0</v>
      </c>
      <c r="BS97" s="3">
        <f t="shared" si="28"/>
        <v>0</v>
      </c>
      <c r="BT97" s="3">
        <f t="shared" si="28"/>
        <v>11156.736000000001</v>
      </c>
      <c r="BU97" s="3">
        <f t="shared" si="28"/>
        <v>25185</v>
      </c>
      <c r="BV97" s="3">
        <f t="shared" si="28"/>
        <v>84545.387999999992</v>
      </c>
      <c r="BW97" s="3">
        <f t="shared" si="28"/>
        <v>164194.81200000001</v>
      </c>
      <c r="BX97" s="3">
        <f t="shared" si="28"/>
        <v>127320.24900000001</v>
      </c>
      <c r="BY97" s="3">
        <f t="shared" si="28"/>
        <v>95289.527999999977</v>
      </c>
      <c r="BZ97" s="3">
        <f t="shared" si="28"/>
        <v>309371.49040000001</v>
      </c>
      <c r="CA97" s="27">
        <f t="shared" si="32"/>
        <v>817063.2034</v>
      </c>
      <c r="CB97" s="27"/>
    </row>
    <row r="98" spans="13:81" x14ac:dyDescent="0.3">
      <c r="P98" s="28"/>
      <c r="Q98" s="28"/>
      <c r="R98" s="10">
        <v>1.5</v>
      </c>
      <c r="S98" s="3"/>
      <c r="T98" s="3"/>
      <c r="U98" s="7">
        <f>U90*0.00007</f>
        <v>3.0659999999999998</v>
      </c>
      <c r="V98" s="7">
        <f>U90*0.00252</f>
        <v>110.376</v>
      </c>
      <c r="W98" s="7">
        <f>U90*0.00796</f>
        <v>348.64800000000002</v>
      </c>
      <c r="X98" s="7">
        <f>U90*0.01</f>
        <v>438</v>
      </c>
      <c r="Y98" s="7">
        <f>U90*0.02428</f>
        <v>1063.4639999999999</v>
      </c>
      <c r="Z98" s="7">
        <f>U90*0.04359</f>
        <v>1909.242</v>
      </c>
      <c r="AA98" s="7">
        <f>U90*0.03611</f>
        <v>1581.6180000000002</v>
      </c>
      <c r="AB98" s="7">
        <f>U90*0.03176</f>
        <v>1391.0879999999997</v>
      </c>
      <c r="AC98" s="27">
        <f>SUM(S98:AB98)-1</f>
        <v>6844.5020000000004</v>
      </c>
      <c r="AD98" s="27"/>
      <c r="AV98" s="31"/>
      <c r="AW98" s="10">
        <v>2</v>
      </c>
      <c r="AX98" s="3"/>
      <c r="AY98" s="3"/>
      <c r="AZ98" s="3"/>
      <c r="BA98" s="3"/>
      <c r="BB98" s="3"/>
      <c r="BC98" s="8">
        <f t="shared" si="34"/>
        <v>6359.76</v>
      </c>
      <c r="BD98" s="8">
        <f t="shared" si="29"/>
        <v>18133.199999999997</v>
      </c>
      <c r="BE98" s="8">
        <f t="shared" si="29"/>
        <v>26730.263999999999</v>
      </c>
      <c r="BF98" s="8">
        <f t="shared" si="29"/>
        <v>52350.198000000004</v>
      </c>
      <c r="BG98" s="8">
        <f t="shared" si="29"/>
        <v>80079.539999999994</v>
      </c>
      <c r="BH98" s="8">
        <f t="shared" si="29"/>
        <v>69305.090400000001</v>
      </c>
      <c r="BI98" s="27">
        <f t="shared" si="30"/>
        <v>252958.05239999999</v>
      </c>
      <c r="BJ98" s="27"/>
      <c r="BN98" s="31"/>
      <c r="BO98" s="10">
        <v>2</v>
      </c>
      <c r="BP98" s="3">
        <f t="shared" si="31"/>
        <v>0</v>
      </c>
      <c r="BQ98" s="3">
        <f t="shared" si="28"/>
        <v>0</v>
      </c>
      <c r="BR98" s="3">
        <f t="shared" si="28"/>
        <v>0</v>
      </c>
      <c r="BS98" s="3">
        <f t="shared" si="28"/>
        <v>0</v>
      </c>
      <c r="BT98" s="3">
        <f t="shared" si="28"/>
        <v>15104.43</v>
      </c>
      <c r="BU98" s="3">
        <f t="shared" si="28"/>
        <v>61350.659999999996</v>
      </c>
      <c r="BV98" s="3">
        <f t="shared" si="28"/>
        <v>86265.851999999999</v>
      </c>
      <c r="BW98" s="3">
        <f t="shared" si="28"/>
        <v>169859.685</v>
      </c>
      <c r="BX98" s="3">
        <f t="shared" si="28"/>
        <v>242794.34999999998</v>
      </c>
      <c r="BY98" s="3">
        <f t="shared" si="28"/>
        <v>305093.06099999999</v>
      </c>
      <c r="BZ98" s="3">
        <f t="shared" si="28"/>
        <v>543789.43919999991</v>
      </c>
      <c r="CA98" s="27">
        <f t="shared" si="32"/>
        <v>1424257.4771999998</v>
      </c>
      <c r="CB98" s="27"/>
    </row>
    <row r="99" spans="13:81" x14ac:dyDescent="0.3">
      <c r="P99" s="28"/>
      <c r="Q99" s="28"/>
      <c r="R99" s="10">
        <v>2</v>
      </c>
      <c r="S99" s="3"/>
      <c r="T99" s="3"/>
      <c r="U99" s="7"/>
      <c r="V99" s="7">
        <f>U90*0.0002</f>
        <v>8.76</v>
      </c>
      <c r="W99" s="7">
        <f>U90*0.00605</f>
        <v>264.99</v>
      </c>
      <c r="X99" s="7">
        <f>U90*0.0138</f>
        <v>604.43999999999994</v>
      </c>
      <c r="Y99" s="7">
        <f>U90*0.01387</f>
        <v>607.50599999999997</v>
      </c>
      <c r="Z99" s="7">
        <f>U90*0.02543</f>
        <v>1113.8340000000001</v>
      </c>
      <c r="AA99" s="7">
        <f>U90*0.0389</f>
        <v>1703.82</v>
      </c>
      <c r="AB99" s="7">
        <f>U90*0.05733</f>
        <v>2511.0540000000001</v>
      </c>
      <c r="AC99" s="27">
        <f t="shared" ref="AC99:AC106" si="35">SUM(S99:AB99)</f>
        <v>6814.4039999999995</v>
      </c>
      <c r="AD99" s="27"/>
      <c r="AV99" s="31"/>
      <c r="AW99" s="10">
        <v>2.5</v>
      </c>
      <c r="AX99" s="3"/>
      <c r="AY99" s="3"/>
      <c r="AZ99" s="3"/>
      <c r="BA99" s="3"/>
      <c r="BB99" s="3"/>
      <c r="BC99" s="8">
        <f t="shared" si="34"/>
        <v>1879.896</v>
      </c>
      <c r="BD99" s="8">
        <f t="shared" si="29"/>
        <v>20586</v>
      </c>
      <c r="BE99" s="8">
        <f t="shared" si="29"/>
        <v>31037.993999999999</v>
      </c>
      <c r="BF99" s="8">
        <f t="shared" si="29"/>
        <v>49783.518000000004</v>
      </c>
      <c r="BG99" s="8">
        <f t="shared" si="29"/>
        <v>75234.822</v>
      </c>
      <c r="BH99" s="8">
        <f t="shared" si="29"/>
        <v>134721.79200000002</v>
      </c>
      <c r="BI99" s="27">
        <f t="shared" si="30"/>
        <v>313244.022</v>
      </c>
      <c r="BJ99" s="27"/>
      <c r="BN99" s="31"/>
      <c r="BO99" s="10">
        <v>2.5</v>
      </c>
      <c r="BP99" s="3">
        <f t="shared" si="31"/>
        <v>0</v>
      </c>
      <c r="BQ99" s="3">
        <f t="shared" si="28"/>
        <v>0</v>
      </c>
      <c r="BR99" s="3">
        <f t="shared" si="28"/>
        <v>0</v>
      </c>
      <c r="BS99" s="3">
        <f t="shared" si="28"/>
        <v>0</v>
      </c>
      <c r="BT99" s="3">
        <f t="shared" si="28"/>
        <v>4521.9120000000003</v>
      </c>
      <c r="BU99" s="3">
        <f t="shared" si="28"/>
        <v>69642</v>
      </c>
      <c r="BV99" s="3">
        <f t="shared" si="28"/>
        <v>99636.458999999988</v>
      </c>
      <c r="BW99" s="3">
        <f t="shared" si="28"/>
        <v>162307.908</v>
      </c>
      <c r="BX99" s="3">
        <f t="shared" si="28"/>
        <v>229826.92200000002</v>
      </c>
      <c r="BY99" s="3">
        <f t="shared" si="28"/>
        <v>592526.4</v>
      </c>
      <c r="BZ99" s="3">
        <f t="shared" si="28"/>
        <v>721221.74999999988</v>
      </c>
      <c r="CA99" s="27">
        <f t="shared" si="32"/>
        <v>1879683.3509999998</v>
      </c>
      <c r="CB99" s="27"/>
    </row>
    <row r="100" spans="13:81" x14ac:dyDescent="0.3">
      <c r="P100" s="28"/>
      <c r="Q100" s="28"/>
      <c r="R100" s="10">
        <v>2.5</v>
      </c>
      <c r="S100" s="3"/>
      <c r="T100" s="3"/>
      <c r="U100" s="7"/>
      <c r="V100" s="7"/>
      <c r="W100" s="7">
        <f>U90*0.00116</f>
        <v>50.808</v>
      </c>
      <c r="X100" s="7">
        <f>U90*0.01</f>
        <v>438</v>
      </c>
      <c r="Y100" s="7">
        <f>U90*0.01027</f>
        <v>449.82599999999996</v>
      </c>
      <c r="Z100" s="7">
        <f>U90*0.01557</f>
        <v>681.96600000000001</v>
      </c>
      <c r="AA100" s="7">
        <f>U90*0.02353</f>
        <v>1030.614</v>
      </c>
      <c r="AB100" s="7">
        <f>U90*0.0712</f>
        <v>3118.56</v>
      </c>
      <c r="AC100" s="27">
        <f t="shared" si="35"/>
        <v>5769.7739999999994</v>
      </c>
      <c r="AD100" s="27"/>
      <c r="AV100" s="31"/>
      <c r="AW100" s="10">
        <v>3</v>
      </c>
      <c r="AX100" s="3"/>
      <c r="AY100" s="3"/>
      <c r="AZ100" s="3"/>
      <c r="BA100" s="3"/>
      <c r="BB100" s="3"/>
      <c r="BC100" s="8">
        <f t="shared" si="34"/>
        <v>331.12799999999999</v>
      </c>
      <c r="BD100" s="8">
        <f t="shared" si="29"/>
        <v>6880.1039999999994</v>
      </c>
      <c r="BE100" s="8">
        <f t="shared" si="29"/>
        <v>40413.383999999998</v>
      </c>
      <c r="BF100" s="8">
        <f t="shared" si="29"/>
        <v>58081.428</v>
      </c>
      <c r="BG100" s="8">
        <f t="shared" si="29"/>
        <v>69131.292000000001</v>
      </c>
      <c r="BH100" s="8">
        <f t="shared" si="29"/>
        <v>193350.72</v>
      </c>
      <c r="BI100" s="27">
        <f t="shared" si="30"/>
        <v>368188.05599999998</v>
      </c>
      <c r="BJ100" s="27"/>
      <c r="BN100" s="31"/>
      <c r="BO100" s="10">
        <v>3</v>
      </c>
      <c r="BP100" s="3">
        <f t="shared" si="31"/>
        <v>0</v>
      </c>
      <c r="BQ100" s="3">
        <f t="shared" si="28"/>
        <v>0</v>
      </c>
      <c r="BR100" s="3">
        <f t="shared" si="28"/>
        <v>0</v>
      </c>
      <c r="BS100" s="3">
        <f t="shared" si="28"/>
        <v>0</v>
      </c>
      <c r="BT100" s="3">
        <f t="shared" si="28"/>
        <v>791.02799999999991</v>
      </c>
      <c r="BU100" s="3">
        <f t="shared" si="28"/>
        <v>23169.761999999999</v>
      </c>
      <c r="BV100" s="3">
        <f t="shared" si="28"/>
        <v>130016.796</v>
      </c>
      <c r="BW100" s="3">
        <f t="shared" si="28"/>
        <v>184107.16800000001</v>
      </c>
      <c r="BX100" s="3">
        <f t="shared" si="28"/>
        <v>197937.23699999999</v>
      </c>
      <c r="BY100" s="3">
        <f t="shared" si="28"/>
        <v>788995.67999999993</v>
      </c>
      <c r="BZ100" s="3">
        <f t="shared" si="28"/>
        <v>858071.56500000006</v>
      </c>
      <c r="CA100" s="27">
        <f t="shared" si="32"/>
        <v>2183089.236</v>
      </c>
      <c r="CB100" s="27"/>
    </row>
    <row r="101" spans="13:81" ht="15.6" x14ac:dyDescent="0.3">
      <c r="M101" s="14"/>
      <c r="N101" s="14"/>
      <c r="O101" s="14"/>
      <c r="P101" s="28"/>
      <c r="Q101" s="28"/>
      <c r="R101" s="10">
        <v>3</v>
      </c>
      <c r="S101" s="3"/>
      <c r="T101" s="3"/>
      <c r="U101" s="7"/>
      <c r="V101" s="7"/>
      <c r="W101" s="7">
        <f>U90*0.00014</f>
        <v>6.1319999999999997</v>
      </c>
      <c r="X101" s="7">
        <f>U90*0.00231</f>
        <v>101.178</v>
      </c>
      <c r="Y101" s="7">
        <f>U90*0.00932</f>
        <v>408.21600000000001</v>
      </c>
      <c r="Z101" s="7">
        <f>U90*0.01251</f>
        <v>547.93799999999999</v>
      </c>
      <c r="AA101" s="7">
        <f>U90*0.01489</f>
        <v>652.18200000000002</v>
      </c>
      <c r="AB101" s="7">
        <f>U90*0.0712</f>
        <v>3118.56</v>
      </c>
      <c r="AC101" s="27">
        <f t="shared" si="35"/>
        <v>4834.2060000000001</v>
      </c>
      <c r="AD101" s="27"/>
      <c r="AV101" s="31"/>
      <c r="AW101" s="10">
        <v>3.5</v>
      </c>
      <c r="AX101" s="3"/>
      <c r="AY101" s="3"/>
      <c r="AZ101" s="3"/>
      <c r="BA101" s="3"/>
      <c r="BB101" s="3"/>
      <c r="BC101" s="8">
        <f t="shared" si="34"/>
        <v>0</v>
      </c>
      <c r="BD101" s="8">
        <f t="shared" si="29"/>
        <v>3606.93</v>
      </c>
      <c r="BE101" s="8">
        <f t="shared" si="29"/>
        <v>28095.071999999996</v>
      </c>
      <c r="BF101" s="8">
        <f t="shared" si="29"/>
        <v>55905.444000000003</v>
      </c>
      <c r="BG101" s="8">
        <f t="shared" si="29"/>
        <v>61920.936000000002</v>
      </c>
      <c r="BH101" s="8">
        <f t="shared" si="29"/>
        <v>196837.19999999998</v>
      </c>
      <c r="BI101" s="27">
        <f t="shared" si="30"/>
        <v>346365.58199999994</v>
      </c>
      <c r="BJ101" s="27"/>
      <c r="BN101" s="31"/>
      <c r="BO101" s="10">
        <v>3.5</v>
      </c>
      <c r="BP101" s="3">
        <f t="shared" si="31"/>
        <v>0</v>
      </c>
      <c r="BQ101" s="3">
        <f t="shared" si="28"/>
        <v>0</v>
      </c>
      <c r="BR101" s="3">
        <f t="shared" si="28"/>
        <v>0</v>
      </c>
      <c r="BS101" s="3">
        <f t="shared" si="28"/>
        <v>0</v>
      </c>
      <c r="BT101" s="3">
        <f t="shared" si="28"/>
        <v>0</v>
      </c>
      <c r="BU101" s="3">
        <f t="shared" si="28"/>
        <v>8336.0159999999996</v>
      </c>
      <c r="BV101" s="3">
        <f t="shared" si="28"/>
        <v>78647.717999999993</v>
      </c>
      <c r="BW101" s="3">
        <f t="shared" si="28"/>
        <v>191675.80800000002</v>
      </c>
      <c r="BX101" s="3">
        <f t="shared" si="28"/>
        <v>191905.758</v>
      </c>
      <c r="BY101" s="3">
        <f t="shared" si="28"/>
        <v>967314.23999999987</v>
      </c>
      <c r="BZ101" s="3">
        <f t="shared" si="28"/>
        <v>909696.39119999995</v>
      </c>
      <c r="CA101" s="27">
        <f t="shared" si="32"/>
        <v>2347575.9312</v>
      </c>
      <c r="CB101" s="27"/>
    </row>
    <row r="102" spans="13:81" x14ac:dyDescent="0.3">
      <c r="P102" s="28"/>
      <c r="Q102" s="28"/>
      <c r="R102" s="10">
        <v>3.5</v>
      </c>
      <c r="S102" s="3"/>
      <c r="T102" s="3"/>
      <c r="U102" s="7"/>
      <c r="V102" s="7"/>
      <c r="W102" s="7">
        <v>0</v>
      </c>
      <c r="X102" s="7">
        <f>U90*0.00061</f>
        <v>26.718</v>
      </c>
      <c r="Y102" s="7">
        <f>U90*0.00422</f>
        <v>184.83599999999998</v>
      </c>
      <c r="Z102" s="7">
        <f>U90*0.01013</f>
        <v>443.69400000000002</v>
      </c>
      <c r="AA102" s="7">
        <f>U90*0.01122</f>
        <v>491.43600000000004</v>
      </c>
      <c r="AB102" s="7">
        <f>U90*0.0642</f>
        <v>2811.9599999999996</v>
      </c>
      <c r="AC102" s="27">
        <f t="shared" si="35"/>
        <v>3958.6439999999998</v>
      </c>
      <c r="AD102" s="27"/>
      <c r="AV102" s="31"/>
      <c r="AW102" s="10">
        <v>4</v>
      </c>
      <c r="AX102" s="3"/>
      <c r="AY102" s="3"/>
      <c r="AZ102" s="3"/>
      <c r="BA102" s="3"/>
      <c r="BB102" s="3"/>
      <c r="BC102" s="8">
        <f t="shared" si="34"/>
        <v>0</v>
      </c>
      <c r="BD102" s="8">
        <f t="shared" si="29"/>
        <v>539.61599999999999</v>
      </c>
      <c r="BE102" s="8">
        <f t="shared" si="29"/>
        <v>14743.079999999998</v>
      </c>
      <c r="BF102" s="8">
        <f t="shared" si="29"/>
        <v>31749.743999999999</v>
      </c>
      <c r="BG102" s="8">
        <f t="shared" si="29"/>
        <v>59117.735999999997</v>
      </c>
      <c r="BH102" s="8">
        <f t="shared" si="29"/>
        <v>251981.4</v>
      </c>
      <c r="BI102" s="27">
        <f t="shared" si="30"/>
        <v>358131.576</v>
      </c>
      <c r="BJ102" s="27"/>
      <c r="BN102" s="31"/>
      <c r="BO102" s="10">
        <v>4</v>
      </c>
      <c r="BP102" s="3">
        <f t="shared" si="31"/>
        <v>0</v>
      </c>
      <c r="BQ102" s="3">
        <f t="shared" si="28"/>
        <v>0</v>
      </c>
      <c r="BR102" s="3">
        <f t="shared" si="28"/>
        <v>0</v>
      </c>
      <c r="BS102" s="3">
        <f t="shared" si="28"/>
        <v>0</v>
      </c>
      <c r="BT102" s="3">
        <f t="shared" si="28"/>
        <v>0</v>
      </c>
      <c r="BU102" s="3">
        <f t="shared" si="28"/>
        <v>1416.492</v>
      </c>
      <c r="BV102" s="3">
        <f t="shared" si="28"/>
        <v>38793.659999999996</v>
      </c>
      <c r="BW102" s="3">
        <f t="shared" si="28"/>
        <v>104154.648</v>
      </c>
      <c r="BX102" s="3">
        <f t="shared" si="28"/>
        <v>175550.83799999999</v>
      </c>
      <c r="BY102" s="3">
        <f t="shared" si="28"/>
        <v>1024304.3909999999</v>
      </c>
      <c r="BZ102" s="3">
        <f t="shared" si="28"/>
        <v>905084.95199999993</v>
      </c>
      <c r="CA102" s="27">
        <f t="shared" si="32"/>
        <v>2249304.9809999997</v>
      </c>
      <c r="CB102" s="27"/>
    </row>
    <row r="103" spans="13:81" x14ac:dyDescent="0.3">
      <c r="P103" s="28"/>
      <c r="Q103" s="28"/>
      <c r="R103" s="10">
        <v>4</v>
      </c>
      <c r="S103" s="3"/>
      <c r="T103" s="3"/>
      <c r="U103" s="7"/>
      <c r="V103" s="7"/>
      <c r="W103" s="7">
        <v>0</v>
      </c>
      <c r="X103" s="7">
        <f>U90*0.00007</f>
        <v>3.0659999999999998</v>
      </c>
      <c r="Y103" s="7">
        <f>U90*0.0017</f>
        <v>74.459999999999994</v>
      </c>
      <c r="Z103" s="7">
        <f>U90*0.00442</f>
        <v>193.596</v>
      </c>
      <c r="AA103" s="7">
        <f>U90*0.00823</f>
        <v>360.47399999999999</v>
      </c>
      <c r="AB103" s="7">
        <f>U90*0.05753</f>
        <v>2519.8139999999999</v>
      </c>
      <c r="AC103" s="27">
        <f t="shared" si="35"/>
        <v>3151.41</v>
      </c>
      <c r="AD103" s="27"/>
      <c r="AV103" s="31"/>
      <c r="AW103" s="10">
        <v>4.5</v>
      </c>
      <c r="AX103" s="3"/>
      <c r="AY103" s="3"/>
      <c r="AZ103" s="3"/>
      <c r="BA103" s="3"/>
      <c r="BB103" s="3"/>
      <c r="BC103" s="8">
        <f t="shared" si="34"/>
        <v>0</v>
      </c>
      <c r="BD103" s="8">
        <f t="shared" si="29"/>
        <v>766.5</v>
      </c>
      <c r="BE103" s="8">
        <f t="shared" si="29"/>
        <v>2093.64</v>
      </c>
      <c r="BF103" s="8">
        <f t="shared" si="29"/>
        <v>18034.212000000003</v>
      </c>
      <c r="BG103" s="8">
        <f t="shared" si="29"/>
        <v>49480.421999999999</v>
      </c>
      <c r="BH103" s="8">
        <f t="shared" si="29"/>
        <v>235681.23</v>
      </c>
      <c r="BI103" s="27">
        <f t="shared" si="30"/>
        <v>306056.00400000002</v>
      </c>
      <c r="BJ103" s="27"/>
      <c r="BN103" s="31"/>
      <c r="BO103" s="10">
        <v>4.5</v>
      </c>
      <c r="BP103" s="3">
        <f t="shared" si="31"/>
        <v>0</v>
      </c>
      <c r="BQ103" s="3">
        <f t="shared" si="28"/>
        <v>0</v>
      </c>
      <c r="BR103" s="3">
        <f t="shared" si="28"/>
        <v>0</v>
      </c>
      <c r="BS103" s="3">
        <f t="shared" si="28"/>
        <v>0</v>
      </c>
      <c r="BT103" s="3">
        <f t="shared" si="28"/>
        <v>0</v>
      </c>
      <c r="BU103" s="3">
        <f t="shared" si="28"/>
        <v>1667.904</v>
      </c>
      <c r="BV103" s="3">
        <f t="shared" si="28"/>
        <v>5505.66</v>
      </c>
      <c r="BW103" s="3">
        <f t="shared" si="28"/>
        <v>66507.672000000006</v>
      </c>
      <c r="BX103" s="3">
        <f t="shared" si="28"/>
        <v>164744.06400000001</v>
      </c>
      <c r="BY103" s="3">
        <f t="shared" si="28"/>
        <v>1025725.701</v>
      </c>
      <c r="BZ103" s="3">
        <f t="shared" si="28"/>
        <v>847478.71019999997</v>
      </c>
      <c r="CA103" s="27">
        <f t="shared" si="32"/>
        <v>2111629.7111999998</v>
      </c>
      <c r="CB103" s="27"/>
    </row>
    <row r="104" spans="13:81" x14ac:dyDescent="0.3">
      <c r="P104" s="28"/>
      <c r="Q104" s="28"/>
      <c r="R104" s="10">
        <v>4.5</v>
      </c>
      <c r="S104" s="3"/>
      <c r="T104" s="3"/>
      <c r="U104" s="7"/>
      <c r="V104" s="7"/>
      <c r="W104" s="7">
        <v>0</v>
      </c>
      <c r="X104" s="7">
        <f>U90*0.00007</f>
        <v>3.0659999999999998</v>
      </c>
      <c r="Y104" s="7">
        <f>U90*0.0002</f>
        <v>8.76</v>
      </c>
      <c r="Z104" s="7">
        <f>U90*0.00238</f>
        <v>104.24400000000001</v>
      </c>
      <c r="AA104" s="7">
        <f>U90*0.00653</f>
        <v>286.01400000000001</v>
      </c>
      <c r="AB104" s="7">
        <f>U90*0.04679</f>
        <v>2049.402</v>
      </c>
      <c r="AC104" s="27">
        <f t="shared" si="35"/>
        <v>2451.4859999999999</v>
      </c>
      <c r="AD104" s="27"/>
      <c r="AV104" s="31"/>
      <c r="AW104" s="10">
        <v>5</v>
      </c>
      <c r="AX104" s="3"/>
      <c r="AY104" s="3"/>
      <c r="AZ104" s="3"/>
      <c r="BA104" s="3"/>
      <c r="BB104" s="3"/>
      <c r="BC104" s="8">
        <f t="shared" si="34"/>
        <v>0</v>
      </c>
      <c r="BD104" s="8">
        <f t="shared" si="29"/>
        <v>0</v>
      </c>
      <c r="BE104" s="8">
        <f t="shared" si="29"/>
        <v>0</v>
      </c>
      <c r="BF104" s="8">
        <f t="shared" si="29"/>
        <v>7686.0239999999994</v>
      </c>
      <c r="BG104" s="8">
        <f t="shared" si="29"/>
        <v>35711.892</v>
      </c>
      <c r="BH104" s="8">
        <f t="shared" si="29"/>
        <v>246171.76799999998</v>
      </c>
      <c r="BI104" s="27">
        <f t="shared" si="30"/>
        <v>289569.68400000001</v>
      </c>
      <c r="BJ104" s="27"/>
      <c r="BN104" s="31"/>
      <c r="BO104" s="10">
        <v>5</v>
      </c>
      <c r="BP104" s="3">
        <f t="shared" si="31"/>
        <v>0</v>
      </c>
      <c r="BQ104" s="3">
        <f t="shared" si="28"/>
        <v>0</v>
      </c>
      <c r="BR104" s="3">
        <f t="shared" si="28"/>
        <v>0</v>
      </c>
      <c r="BS104" s="3">
        <f t="shared" si="28"/>
        <v>0</v>
      </c>
      <c r="BT104" s="3">
        <f t="shared" si="28"/>
        <v>0</v>
      </c>
      <c r="BU104" s="3">
        <f t="shared" si="28"/>
        <v>0</v>
      </c>
      <c r="BV104" s="3">
        <f t="shared" si="28"/>
        <v>0</v>
      </c>
      <c r="BW104" s="3">
        <f t="shared" si="28"/>
        <v>25823.603999999999</v>
      </c>
      <c r="BX104" s="3">
        <f t="shared" si="28"/>
        <v>113226.72300000001</v>
      </c>
      <c r="BY104" s="3">
        <f t="shared" si="28"/>
        <v>1008957.5279999999</v>
      </c>
      <c r="BZ104" s="3">
        <f t="shared" si="28"/>
        <v>792374.0615999999</v>
      </c>
      <c r="CA104" s="27">
        <f t="shared" si="32"/>
        <v>1940381.9165999999</v>
      </c>
      <c r="CB104" s="27"/>
    </row>
    <row r="105" spans="13:81" x14ac:dyDescent="0.3">
      <c r="P105" s="28"/>
      <c r="Q105" s="28"/>
      <c r="R105" s="10">
        <v>5</v>
      </c>
      <c r="S105" s="3"/>
      <c r="T105" s="3"/>
      <c r="U105" s="7"/>
      <c r="V105" s="7"/>
      <c r="W105" s="7"/>
      <c r="X105" s="7">
        <v>0</v>
      </c>
      <c r="Y105" s="7">
        <v>0</v>
      </c>
      <c r="Z105" s="7">
        <f>U90*0.00082</f>
        <v>35.915999999999997</v>
      </c>
      <c r="AA105" s="7">
        <f>U90*0.00381</f>
        <v>166.87800000000001</v>
      </c>
      <c r="AB105" s="7">
        <f>U90*0.03958</f>
        <v>1733.6039999999998</v>
      </c>
      <c r="AC105" s="27">
        <f t="shared" si="35"/>
        <v>1936.3979999999999</v>
      </c>
      <c r="AD105" s="27"/>
      <c r="AV105" s="31"/>
      <c r="AW105" s="10" t="s">
        <v>15</v>
      </c>
      <c r="AX105" s="3"/>
      <c r="AY105" s="3"/>
      <c r="AZ105" s="3"/>
      <c r="BA105" s="3"/>
      <c r="BB105" s="3"/>
      <c r="BC105" s="8">
        <f t="shared" si="34"/>
        <v>0</v>
      </c>
      <c r="BD105" s="8">
        <f t="shared" si="29"/>
        <v>0</v>
      </c>
      <c r="BE105" s="8">
        <f t="shared" si="29"/>
        <v>766.5</v>
      </c>
      <c r="BF105" s="8">
        <f t="shared" si="29"/>
        <v>2190</v>
      </c>
      <c r="BG105" s="8">
        <f t="shared" si="29"/>
        <v>16425</v>
      </c>
      <c r="BH105" s="8">
        <f t="shared" si="29"/>
        <v>868398.07200000004</v>
      </c>
      <c r="BI105" s="27">
        <f>SUM(AY105:BH105)+1</f>
        <v>887780.57200000004</v>
      </c>
      <c r="BJ105" s="27"/>
      <c r="BN105" s="31"/>
      <c r="BO105" s="10" t="s">
        <v>15</v>
      </c>
      <c r="BP105" s="3">
        <f t="shared" si="31"/>
        <v>0</v>
      </c>
      <c r="BQ105" s="3">
        <f t="shared" si="28"/>
        <v>0</v>
      </c>
      <c r="BR105" s="3">
        <f t="shared" si="28"/>
        <v>0</v>
      </c>
      <c r="BS105" s="3">
        <f t="shared" si="28"/>
        <v>0</v>
      </c>
      <c r="BT105" s="3">
        <f t="shared" si="28"/>
        <v>0</v>
      </c>
      <c r="BU105" s="3">
        <f t="shared" si="28"/>
        <v>0</v>
      </c>
      <c r="BV105" s="3">
        <f t="shared" si="28"/>
        <v>2299.5</v>
      </c>
      <c r="BW105" s="3">
        <f t="shared" si="28"/>
        <v>6570</v>
      </c>
      <c r="BX105" s="3">
        <f t="shared" si="28"/>
        <v>49275</v>
      </c>
      <c r="BY105" s="3">
        <f t="shared" si="28"/>
        <v>3696750.3972000005</v>
      </c>
      <c r="BZ105" s="3">
        <f t="shared" si="28"/>
        <v>3129125.2607999998</v>
      </c>
      <c r="CA105" s="27">
        <f>SUM(BQ105:BZ105)+1</f>
        <v>6884021.1579999998</v>
      </c>
      <c r="CB105" s="27"/>
    </row>
    <row r="106" spans="13:81" x14ac:dyDescent="0.3">
      <c r="P106" s="28"/>
      <c r="Q106" s="28"/>
      <c r="R106" s="10" t="s">
        <v>15</v>
      </c>
      <c r="S106" s="3"/>
      <c r="T106" s="3"/>
      <c r="U106" s="7"/>
      <c r="V106" s="7"/>
      <c r="W106" s="7"/>
      <c r="X106" s="7">
        <v>0</v>
      </c>
      <c r="Y106" s="7">
        <f>U90*0.00007</f>
        <v>3.0659999999999998</v>
      </c>
      <c r="Z106" s="7">
        <f>U90*0.0002</f>
        <v>8.76</v>
      </c>
      <c r="AA106" s="7">
        <f>U90*0.0015</f>
        <v>65.7</v>
      </c>
      <c r="AB106" s="7">
        <f>U90*0.11527</f>
        <v>5048.826</v>
      </c>
      <c r="AC106" s="27">
        <f t="shared" si="35"/>
        <v>5126.3519999999999</v>
      </c>
      <c r="AD106" s="27"/>
      <c r="AV106" s="31"/>
      <c r="AW106" s="25" t="s">
        <v>16</v>
      </c>
      <c r="AX106" s="6"/>
      <c r="AY106" s="6"/>
      <c r="AZ106" s="6"/>
      <c r="BA106" s="6"/>
      <c r="BB106" s="6"/>
      <c r="BC106" s="20"/>
      <c r="BD106" s="6"/>
      <c r="BE106" s="6"/>
      <c r="BF106" s="6"/>
      <c r="BG106" s="6"/>
      <c r="BH106" s="16"/>
      <c r="BI106" s="29">
        <f>SUM(BI95:BJ105)</f>
        <v>3299730.5019999999</v>
      </c>
      <c r="BJ106" s="29"/>
      <c r="BN106" s="31"/>
      <c r="BO106" s="25" t="s">
        <v>16</v>
      </c>
      <c r="BP106" s="6"/>
      <c r="BQ106" s="6"/>
      <c r="BR106" s="6"/>
      <c r="BS106" s="6"/>
      <c r="BT106" s="6"/>
      <c r="BU106" s="20"/>
      <c r="BV106" s="6"/>
      <c r="BW106" s="6"/>
      <c r="BX106" s="6"/>
      <c r="BY106" s="6"/>
      <c r="BZ106" s="16"/>
      <c r="CA106" s="29">
        <f>SUM(CA95:CB105)</f>
        <v>21959814.894799996</v>
      </c>
      <c r="CB106" s="29"/>
    </row>
    <row r="107" spans="13:81" x14ac:dyDescent="0.3">
      <c r="P107" s="28"/>
      <c r="Q107" s="28"/>
      <c r="R107" s="28" t="s">
        <v>16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9">
        <f>SUM(AC96:AD106)</f>
        <v>43800.313999999991</v>
      </c>
      <c r="AD107" s="29"/>
      <c r="AV107" s="31"/>
      <c r="AW107" s="13"/>
      <c r="AX107" s="4"/>
      <c r="AY107" s="4"/>
      <c r="AZ107" s="4"/>
      <c r="BA107" s="4"/>
      <c r="BB107" s="4"/>
      <c r="BC107" s="19"/>
      <c r="BD107" s="4"/>
      <c r="BE107" s="4"/>
      <c r="BF107" s="4"/>
      <c r="BG107" s="4"/>
      <c r="BH107" s="15"/>
      <c r="BI107" s="29"/>
      <c r="BJ107" s="29"/>
      <c r="BN107" s="31"/>
      <c r="BO107" s="13"/>
      <c r="BP107" s="4"/>
      <c r="BQ107" s="4"/>
      <c r="BR107" s="4"/>
      <c r="BS107" s="4"/>
      <c r="BT107" s="4"/>
      <c r="BU107" s="19"/>
      <c r="BV107" s="4"/>
      <c r="BW107" s="4"/>
      <c r="BX107" s="4"/>
      <c r="BY107" s="4"/>
      <c r="BZ107" s="15"/>
      <c r="CA107" s="29"/>
      <c r="CB107" s="29"/>
    </row>
    <row r="108" spans="13:81" x14ac:dyDescent="0.3">
      <c r="P108" s="28"/>
      <c r="Q108" s="28"/>
      <c r="R108" s="2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29"/>
      <c r="AD108" s="29"/>
      <c r="AV108" s="32"/>
      <c r="AW108" s="26"/>
      <c r="AX108" s="5"/>
      <c r="AY108" s="5"/>
      <c r="AZ108" s="5"/>
      <c r="BA108" s="5"/>
      <c r="BB108" s="5"/>
      <c r="BC108" s="21"/>
      <c r="BD108" s="5"/>
      <c r="BE108" s="5"/>
      <c r="BF108" s="5"/>
      <c r="BG108" s="5"/>
      <c r="BH108" s="17"/>
      <c r="BI108" s="29"/>
      <c r="BJ108" s="29"/>
      <c r="BN108" s="32"/>
      <c r="BO108" s="26"/>
      <c r="BP108" s="5"/>
      <c r="BQ108" s="5"/>
      <c r="BR108" s="5"/>
      <c r="BS108" s="5"/>
      <c r="BT108" s="5"/>
      <c r="BU108" s="21"/>
      <c r="BV108" s="5"/>
      <c r="BW108" s="5"/>
      <c r="BX108" s="5"/>
      <c r="BY108" s="5"/>
      <c r="BZ108" s="17"/>
      <c r="CA108" s="29"/>
      <c r="CB108" s="29"/>
    </row>
    <row r="109" spans="13:81" x14ac:dyDescent="0.3">
      <c r="P109" s="28"/>
      <c r="Q109" s="28"/>
      <c r="R109" s="28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9"/>
      <c r="AD109" s="29"/>
      <c r="BI109" s="36">
        <f>BI106/5</f>
        <v>659946.1004</v>
      </c>
      <c r="BJ109" s="37"/>
      <c r="BK109" s="40" t="s">
        <v>17</v>
      </c>
      <c r="CA109" s="36">
        <f>CA106/5</f>
        <v>4391962.978959999</v>
      </c>
      <c r="CB109" s="37"/>
      <c r="CC109" s="40" t="s">
        <v>17</v>
      </c>
    </row>
    <row r="110" spans="13:81" x14ac:dyDescent="0.3">
      <c r="BI110" s="38"/>
      <c r="BJ110" s="39"/>
      <c r="BK110" s="41"/>
      <c r="CA110" s="38"/>
      <c r="CB110" s="39"/>
      <c r="CC110" s="41"/>
    </row>
    <row r="111" spans="13:81" x14ac:dyDescent="0.3">
      <c r="BI111" s="42">
        <f>BI109*0.001</f>
        <v>659.94610039999998</v>
      </c>
      <c r="BJ111" s="43"/>
      <c r="BK111" s="46" t="s">
        <v>18</v>
      </c>
      <c r="CA111" s="42">
        <f>CA109*0.001</f>
        <v>4391.9629789599994</v>
      </c>
      <c r="CB111" s="43"/>
      <c r="CC111" s="46" t="s">
        <v>18</v>
      </c>
    </row>
    <row r="112" spans="13:81" x14ac:dyDescent="0.3">
      <c r="BI112" s="44"/>
      <c r="BJ112" s="45"/>
      <c r="BK112" s="47"/>
      <c r="CA112" s="44"/>
      <c r="CB112" s="45"/>
      <c r="CC112" s="47"/>
    </row>
  </sheetData>
  <mergeCells count="286">
    <mergeCell ref="BI111:BJ112"/>
    <mergeCell ref="BK111:BK112"/>
    <mergeCell ref="CA111:CB112"/>
    <mergeCell ref="CC111:CC112"/>
    <mergeCell ref="BI23:BJ24"/>
    <mergeCell ref="BK23:BK24"/>
    <mergeCell ref="BI44:BJ45"/>
    <mergeCell ref="BK44:BK45"/>
    <mergeCell ref="BI66:BJ67"/>
    <mergeCell ref="BK66:BK67"/>
    <mergeCell ref="BI88:BJ89"/>
    <mergeCell ref="BK88:BK89"/>
    <mergeCell ref="CA109:CB110"/>
    <mergeCell ref="CC109:CC110"/>
    <mergeCell ref="CA23:CB24"/>
    <mergeCell ref="CC23:CC24"/>
    <mergeCell ref="CA44:CB45"/>
    <mergeCell ref="CC44:CC45"/>
    <mergeCell ref="CA66:CB67"/>
    <mergeCell ref="CC66:CC67"/>
    <mergeCell ref="CA88:CB89"/>
    <mergeCell ref="CC88:CC89"/>
    <mergeCell ref="CA101:CB101"/>
    <mergeCell ref="CA102:CB102"/>
    <mergeCell ref="CA103:CB103"/>
    <mergeCell ref="CA104:CB104"/>
    <mergeCell ref="CA105:CB105"/>
    <mergeCell ref="CA106:CB108"/>
    <mergeCell ref="CA95:CB95"/>
    <mergeCell ref="CA96:CB96"/>
    <mergeCell ref="CA97:CB97"/>
    <mergeCell ref="CA98:CB98"/>
    <mergeCell ref="CA99:CB99"/>
    <mergeCell ref="CA100:CB100"/>
    <mergeCell ref="CA86:CB87"/>
    <mergeCell ref="CC86:CC87"/>
    <mergeCell ref="BN93:BO94"/>
    <mergeCell ref="BP93:CB93"/>
    <mergeCell ref="CA94:CB94"/>
    <mergeCell ref="CA76:CB76"/>
    <mergeCell ref="CA77:CB77"/>
    <mergeCell ref="CA78:CB78"/>
    <mergeCell ref="CA79:CB79"/>
    <mergeCell ref="CA80:CB80"/>
    <mergeCell ref="CA81:CB81"/>
    <mergeCell ref="CA64:CB65"/>
    <mergeCell ref="CC64:CC65"/>
    <mergeCell ref="BN70:BO71"/>
    <mergeCell ref="BP70:CB70"/>
    <mergeCell ref="CA71:CB71"/>
    <mergeCell ref="BN72:BN85"/>
    <mergeCell ref="CA72:CB72"/>
    <mergeCell ref="CA73:CB73"/>
    <mergeCell ref="CA74:CB74"/>
    <mergeCell ref="CA75:CB75"/>
    <mergeCell ref="CA82:CB82"/>
    <mergeCell ref="CA83:CB85"/>
    <mergeCell ref="CA56:CB56"/>
    <mergeCell ref="CA57:CB57"/>
    <mergeCell ref="CA58:CB58"/>
    <mergeCell ref="CA59:CB59"/>
    <mergeCell ref="CA60:CB60"/>
    <mergeCell ref="CA61:CB63"/>
    <mergeCell ref="CA50:CB50"/>
    <mergeCell ref="CA51:CB51"/>
    <mergeCell ref="CA52:CB52"/>
    <mergeCell ref="CA53:CB53"/>
    <mergeCell ref="CA54:CB54"/>
    <mergeCell ref="CA55:CB55"/>
    <mergeCell ref="CA42:CB43"/>
    <mergeCell ref="CC42:CC43"/>
    <mergeCell ref="BN48:BO49"/>
    <mergeCell ref="BP48:CB48"/>
    <mergeCell ref="CA49:CB49"/>
    <mergeCell ref="CA33:CB33"/>
    <mergeCell ref="CA34:CB34"/>
    <mergeCell ref="CA35:CB35"/>
    <mergeCell ref="CA36:CB36"/>
    <mergeCell ref="CA37:CB37"/>
    <mergeCell ref="CA38:CB38"/>
    <mergeCell ref="CC21:CC22"/>
    <mergeCell ref="BN26:BO27"/>
    <mergeCell ref="BP26:CB26"/>
    <mergeCell ref="CA27:CB27"/>
    <mergeCell ref="BN28:BN41"/>
    <mergeCell ref="CA28:CB28"/>
    <mergeCell ref="CA29:CB29"/>
    <mergeCell ref="CA30:CB30"/>
    <mergeCell ref="CA31:CB31"/>
    <mergeCell ref="CA32:CB32"/>
    <mergeCell ref="CA39:CB41"/>
    <mergeCell ref="CA14:CB14"/>
    <mergeCell ref="CA15:CB15"/>
    <mergeCell ref="CA16:CB16"/>
    <mergeCell ref="CA17:CB17"/>
    <mergeCell ref="CA18:CB20"/>
    <mergeCell ref="CA21:CB22"/>
    <mergeCell ref="BP5:CB5"/>
    <mergeCell ref="CA6:CB6"/>
    <mergeCell ref="BN7:BN20"/>
    <mergeCell ref="CA7:CB7"/>
    <mergeCell ref="CA8:CB8"/>
    <mergeCell ref="CA9:CB9"/>
    <mergeCell ref="CA10:CB10"/>
    <mergeCell ref="CA11:CB11"/>
    <mergeCell ref="CA12:CB12"/>
    <mergeCell ref="CA13:CB13"/>
    <mergeCell ref="BI104:BJ104"/>
    <mergeCell ref="BI105:BJ105"/>
    <mergeCell ref="BI106:BJ108"/>
    <mergeCell ref="BI109:BJ110"/>
    <mergeCell ref="BK109:BK110"/>
    <mergeCell ref="BN5:BO6"/>
    <mergeCell ref="BN50:BN63"/>
    <mergeCell ref="BN95:BN108"/>
    <mergeCell ref="AV95:AV108"/>
    <mergeCell ref="BI95:BJ95"/>
    <mergeCell ref="BI96:BJ96"/>
    <mergeCell ref="BI97:BJ97"/>
    <mergeCell ref="BI98:BJ98"/>
    <mergeCell ref="BI99:BJ99"/>
    <mergeCell ref="BI100:BJ100"/>
    <mergeCell ref="BI101:BJ101"/>
    <mergeCell ref="BI102:BJ102"/>
    <mergeCell ref="BI103:BJ103"/>
    <mergeCell ref="BI82:BJ82"/>
    <mergeCell ref="BI83:BJ85"/>
    <mergeCell ref="BI86:BJ87"/>
    <mergeCell ref="BK86:BK87"/>
    <mergeCell ref="AV93:AW94"/>
    <mergeCell ref="AX93:BJ93"/>
    <mergeCell ref="BI94:BJ94"/>
    <mergeCell ref="BI76:BJ76"/>
    <mergeCell ref="BI77:BJ77"/>
    <mergeCell ref="BI78:BJ78"/>
    <mergeCell ref="BI79:BJ79"/>
    <mergeCell ref="BI80:BJ80"/>
    <mergeCell ref="BI81:BJ81"/>
    <mergeCell ref="BI64:BJ65"/>
    <mergeCell ref="BK64:BK65"/>
    <mergeCell ref="AV70:AW71"/>
    <mergeCell ref="AX70:BJ70"/>
    <mergeCell ref="BI71:BJ71"/>
    <mergeCell ref="AV72:AV85"/>
    <mergeCell ref="BI72:BJ72"/>
    <mergeCell ref="BI73:BJ73"/>
    <mergeCell ref="BI74:BJ74"/>
    <mergeCell ref="BI75:BJ75"/>
    <mergeCell ref="BI56:BJ56"/>
    <mergeCell ref="BI57:BJ57"/>
    <mergeCell ref="BI58:BJ58"/>
    <mergeCell ref="BI59:BJ59"/>
    <mergeCell ref="BI60:BJ60"/>
    <mergeCell ref="BI61:BJ63"/>
    <mergeCell ref="BI37:BJ37"/>
    <mergeCell ref="BI38:BJ38"/>
    <mergeCell ref="BI39:BJ41"/>
    <mergeCell ref="AV48:AW49"/>
    <mergeCell ref="AX48:BJ48"/>
    <mergeCell ref="BI49:BJ49"/>
    <mergeCell ref="AV50:AV63"/>
    <mergeCell ref="BI50:BJ50"/>
    <mergeCell ref="BI51:BJ51"/>
    <mergeCell ref="BI52:BJ52"/>
    <mergeCell ref="BI53:BJ53"/>
    <mergeCell ref="BI54:BJ54"/>
    <mergeCell ref="BI55:BJ55"/>
    <mergeCell ref="BI28:BJ28"/>
    <mergeCell ref="BI29:BJ29"/>
    <mergeCell ref="BI30:BJ30"/>
    <mergeCell ref="BI31:BJ31"/>
    <mergeCell ref="BI32:BJ32"/>
    <mergeCell ref="BI33:BJ33"/>
    <mergeCell ref="BI34:BJ34"/>
    <mergeCell ref="BI35:BJ35"/>
    <mergeCell ref="BI36:BJ36"/>
    <mergeCell ref="AV7:AV20"/>
    <mergeCell ref="AX5:BJ5"/>
    <mergeCell ref="BI21:BJ22"/>
    <mergeCell ref="BK21:BK22"/>
    <mergeCell ref="BI42:BJ43"/>
    <mergeCell ref="BK42:BK43"/>
    <mergeCell ref="BI13:BJ13"/>
    <mergeCell ref="BI14:BJ14"/>
    <mergeCell ref="BI15:BJ15"/>
    <mergeCell ref="BI16:BJ16"/>
    <mergeCell ref="BI17:BJ17"/>
    <mergeCell ref="BI18:BJ20"/>
    <mergeCell ref="AV5:AW6"/>
    <mergeCell ref="BI6:BJ6"/>
    <mergeCell ref="BI7:BJ7"/>
    <mergeCell ref="BI8:BJ8"/>
    <mergeCell ref="BI9:BJ9"/>
    <mergeCell ref="BI10:BJ10"/>
    <mergeCell ref="BI11:BJ11"/>
    <mergeCell ref="BI12:BJ12"/>
    <mergeCell ref="AV26:AW27"/>
    <mergeCell ref="AX26:BJ26"/>
    <mergeCell ref="BI27:BJ27"/>
    <mergeCell ref="AV28:AV41"/>
    <mergeCell ref="AC105:AD105"/>
    <mergeCell ref="AC106:AD106"/>
    <mergeCell ref="R107:R109"/>
    <mergeCell ref="AC107:AD109"/>
    <mergeCell ref="AG5:AH6"/>
    <mergeCell ref="AI5:AS5"/>
    <mergeCell ref="AG7:AG17"/>
    <mergeCell ref="AG26:AH27"/>
    <mergeCell ref="AI26:AS26"/>
    <mergeCell ref="AG28:AG38"/>
    <mergeCell ref="AC99:AD99"/>
    <mergeCell ref="AC100:AD100"/>
    <mergeCell ref="AC101:AD101"/>
    <mergeCell ref="AC102:AD102"/>
    <mergeCell ref="AC103:AD103"/>
    <mergeCell ref="AC104:AD104"/>
    <mergeCell ref="AC82:AD82"/>
    <mergeCell ref="AC83:AD83"/>
    <mergeCell ref="R84:R86"/>
    <mergeCell ref="AC84:AD86"/>
    <mergeCell ref="P93:AD94"/>
    <mergeCell ref="P95:Q109"/>
    <mergeCell ref="AC95:AD95"/>
    <mergeCell ref="AC96:AD96"/>
    <mergeCell ref="AC97:AD97"/>
    <mergeCell ref="AC98:AD98"/>
    <mergeCell ref="AC76:AD76"/>
    <mergeCell ref="AC77:AD77"/>
    <mergeCell ref="AC78:AD78"/>
    <mergeCell ref="AC79:AD79"/>
    <mergeCell ref="AC80:AD80"/>
    <mergeCell ref="AC81:AD81"/>
    <mergeCell ref="AC60:AD60"/>
    <mergeCell ref="AC61:AD61"/>
    <mergeCell ref="P72:Q86"/>
    <mergeCell ref="AC72:AD72"/>
    <mergeCell ref="AC73:AD73"/>
    <mergeCell ref="AC74:AD74"/>
    <mergeCell ref="AC75:AD75"/>
    <mergeCell ref="AC54:AD54"/>
    <mergeCell ref="AC55:AD55"/>
    <mergeCell ref="AC56:AD56"/>
    <mergeCell ref="AC57:AD57"/>
    <mergeCell ref="AC58:AD58"/>
    <mergeCell ref="AC59:AD59"/>
    <mergeCell ref="P48:AD49"/>
    <mergeCell ref="P50:Q64"/>
    <mergeCell ref="AC50:AD50"/>
    <mergeCell ref="AC51:AD51"/>
    <mergeCell ref="AC52:AD52"/>
    <mergeCell ref="AC53:AD53"/>
    <mergeCell ref="R62:R64"/>
    <mergeCell ref="AC62:AD64"/>
    <mergeCell ref="P70:AD71"/>
    <mergeCell ref="AC32:AD32"/>
    <mergeCell ref="AC33:AD33"/>
    <mergeCell ref="AC34:AD34"/>
    <mergeCell ref="AC35:AD35"/>
    <mergeCell ref="AC36:AD36"/>
    <mergeCell ref="AC37:AD37"/>
    <mergeCell ref="AC16:AD16"/>
    <mergeCell ref="AC17:AD17"/>
    <mergeCell ref="AC18:AD18"/>
    <mergeCell ref="AC19:AD21"/>
    <mergeCell ref="P26:AD27"/>
    <mergeCell ref="P28:Q42"/>
    <mergeCell ref="AC28:AD28"/>
    <mergeCell ref="AC29:AD29"/>
    <mergeCell ref="AC30:AD30"/>
    <mergeCell ref="AC31:AD31"/>
    <mergeCell ref="AC38:AD38"/>
    <mergeCell ref="AC39:AD39"/>
    <mergeCell ref="R40:R42"/>
    <mergeCell ref="AC40:AD42"/>
    <mergeCell ref="AC10:AD10"/>
    <mergeCell ref="AC11:AD11"/>
    <mergeCell ref="AC12:AD12"/>
    <mergeCell ref="AC13:AD13"/>
    <mergeCell ref="AC14:AD14"/>
    <mergeCell ref="AC15:AD15"/>
    <mergeCell ref="P7:Q21"/>
    <mergeCell ref="AC7:AD7"/>
    <mergeCell ref="P5:AD6"/>
    <mergeCell ref="R19:R21"/>
    <mergeCell ref="AC8:AD8"/>
    <mergeCell ref="AC9:AD9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Strathclyde Standard Desktop</dc:creator>
  <cp:keywords/>
  <dc:description/>
  <cp:lastModifiedBy>Eva Topham</cp:lastModifiedBy>
  <cp:revision/>
  <dcterms:created xsi:type="dcterms:W3CDTF">2015-02-18T18:46:11Z</dcterms:created>
  <dcterms:modified xsi:type="dcterms:W3CDTF">2015-05-09T21:37:19Z</dcterms:modified>
</cp:coreProperties>
</file>