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30" yWindow="495" windowWidth="14055" windowHeight="9240" tabRatio="824"/>
  </bookViews>
  <sheets>
    <sheet name="Region" sheetId="7" r:id="rId1"/>
    <sheet name="System Data" sheetId="1" r:id="rId2"/>
    <sheet name="Financial Data" sheetId="10" r:id="rId3"/>
    <sheet name="Hot Water Use" sheetId="6" r:id="rId4"/>
    <sheet name="Results" sheetId="5" r:id="rId5"/>
    <sheet name="Monthly Results" sheetId="9" r:id="rId6"/>
    <sheet name="Results 2" sheetId="4" state="hidden" r:id="rId7"/>
    <sheet name="Calculations" sheetId="2" state="veryHidden" r:id="rId8"/>
    <sheet name="Tables" sheetId="3" state="veryHidden" r:id="rId9"/>
  </sheets>
  <definedNames>
    <definedName name="a_1">'System Data'!$D$5</definedName>
    <definedName name="a_2">'System Data'!$D$6</definedName>
    <definedName name="a_star">Calculations!$B$82</definedName>
    <definedName name="Actual_hot_water_use">'Hot Water Use'!$F$5</definedName>
    <definedName name="Aperture">'System Data'!$D$3</definedName>
    <definedName name="Assumed_Loss_Factor">Calculations!$B$72</definedName>
    <definedName name="Assumed_N">Calculations!$B$86</definedName>
    <definedName name="Calc_hot_water_use">Calculations!$A$45:$M$47</definedName>
    <definedName name="Calc_OT_Conversion">Calculations!$A$1:$M$9</definedName>
    <definedName name="Calc_Sol_Contribution">Calculations!$A$31:$M$33</definedName>
    <definedName name="Calc_Sol_Energy">Calculations!$A$15:$M$17</definedName>
    <definedName name="Calc_Sol_Energy_Available">Calculations!$A$19:$M$21</definedName>
    <definedName name="Calc_Sol_Energy_Available_f_1">Calculations!$A$23:$M$25</definedName>
    <definedName name="Calc_Sol_Energy_Available_f_1_UF">Calculations!$A$27:$M$29</definedName>
    <definedName name="Calc_Sol_Rad">Calculations!$A$11:$M$13</definedName>
    <definedName name="Calc_Total_Heating_Requirement">Calculations!$A$61:$M$65</definedName>
    <definedName name="Calc_Water_Energy_Content">Calculations!$A$49:$M$53</definedName>
    <definedName name="Calc_Water_Heat_Loss">Calculations!$A$55:$M$59</definedName>
    <definedName name="Collector_losses">Calculations!#REF!</definedName>
    <definedName name="Corrected_power" localSheetId="5">Calculations!#REF!</definedName>
    <definedName name="Declared_loss_factor">'System Data'!$D$17</definedName>
    <definedName name="Dedicated_storage">'System Data'!$D$16</definedName>
    <definedName name="Effecive_Solar_Volume">Calculations!$B$74</definedName>
    <definedName name="eta_0">'System Data'!$D$4</definedName>
    <definedName name="f_1">Calculations!$B$84</definedName>
    <definedName name="f_2">Calculations!$B$73</definedName>
    <definedName name="Hot_water_use">Calculations!$B$87</definedName>
    <definedName name="Install_cost">'Financial Data'!$D$4</definedName>
    <definedName name="Insulation_thickness">'System Data'!$D$19</definedName>
    <definedName name="Insulation_Type">'System Data'!$D$18</definedName>
    <definedName name="K_1">Calculations!$P$2</definedName>
    <definedName name="K_2">Calculations!$P$4</definedName>
    <definedName name="K_3">Calculations!$P$7</definedName>
    <definedName name="K_4">Calculations!$P$8</definedName>
    <definedName name="K_5">Calculations!$P$9</definedName>
    <definedName name="K_6">Calculations!$P$10</definedName>
    <definedName name="K_7">Calculations!$P$11</definedName>
    <definedName name="K_8">Calculations!$P$12</definedName>
    <definedName name="K_9">Calculations!$P$13</definedName>
    <definedName name="L_125">'Hot Water Use'!$F$8</definedName>
    <definedName name="Latitude">Region!$C$3</definedName>
    <definedName name="Lifespan">'Financial Data'!$D$6</definedName>
    <definedName name="Maintenance_cost">'Financial Data'!$D$5</definedName>
    <definedName name="Mean_Ext_Temp">Tables!$A$26:$M$49</definedName>
    <definedName name="Mean_Solar_Irrad">Calculations!$B$13:$M$13</definedName>
    <definedName name="Mean_Temp">Calculations!$B$5:$M$5</definedName>
    <definedName name="Monthly_contribution">Calculations!$B$33:$M$33</definedName>
    <definedName name="N">'Hot Water Use'!$F$6</definedName>
    <definedName name="Orientation">'System Data'!$D$9</definedName>
    <definedName name="Overshading">Calculations!$B$70</definedName>
    <definedName name="Performance_ratio">Calculations!$B$83</definedName>
    <definedName name="Region">Region!$C$2</definedName>
    <definedName name="RHI_Tarrif">'Financial Data'!$D$7</definedName>
    <definedName name="Shower_use">'Hot Water Use'!$F$9</definedName>
    <definedName name="Solar_Cylinder_Volume">'System Data'!$D$15</definedName>
    <definedName name="Solar_Energy_Available" localSheetId="5">'Monthly Results'!$F$3</definedName>
    <definedName name="Solar_Energy_Available">Results!$F$3</definedName>
    <definedName name="Solar_load_ratio">Calculations!$B$77</definedName>
    <definedName name="Storage_loss">Calculations!$B$80</definedName>
    <definedName name="System_cost">'Financial Data'!$D$3</definedName>
    <definedName name="Table_Cylinder_Loss_Factor">Tables!$BQ$1:$BR$4</definedName>
    <definedName name="Table_Default_Collector">Tables!$AC$1:$AF$5</definedName>
    <definedName name="Table_Latitude">Tables!$O$1:$P$24</definedName>
    <definedName name="Table_Mean_Hor_Rad">Tables!$A$1:$M$24</definedName>
    <definedName name="Table_Monthly_Water_Use">Tables!$AQ$1:$BB$3</definedName>
    <definedName name="Table_Orientation_Const">Tables!$R$1:$AA$7</definedName>
    <definedName name="Table_Overshading">Tables!$AH$1:$AJ$6</definedName>
    <definedName name="Table_Primary_Loss_Reduction">Tables!$BT$1:$CE$3</definedName>
    <definedName name="Table_Shower_Use">Tables!$AL$1:$AM$6</definedName>
    <definedName name="Table_temp_rise">Tables!$BD$1:$BO$3</definedName>
    <definedName name="TFA">'Hot Water Use'!$F$7</definedName>
    <definedName name="Tilt">'System Data'!$D$10</definedName>
    <definedName name="Total_Cylinder_Volume">'System Data'!$D$14</definedName>
    <definedName name="UF">Calculations!$B$78</definedName>
    <definedName name="UF_f2">Calculations!$B$39:$M$39</definedName>
    <definedName name="Volume_Factor">Calculations!$B$75</definedName>
    <definedName name="Volume_ratio">Calculations!$B$79</definedName>
    <definedName name="X">Calculations!$P$16</definedName>
    <definedName name="Y">Calculations!$P$17</definedName>
    <definedName name="Yes_No">Tables!$AO$1:$AO$2</definedName>
    <definedName name="Z">Calculations!$P$18</definedName>
  </definedNames>
  <calcPr calcId="145621"/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L5" i="2"/>
  <c r="M5" i="2"/>
  <c r="B5" i="2"/>
  <c r="E8" i="2"/>
  <c r="F8" i="2"/>
  <c r="G8" i="2"/>
  <c r="H8" i="2"/>
  <c r="I8" i="2"/>
  <c r="J8" i="2"/>
  <c r="K8" i="2"/>
  <c r="L8" i="2"/>
  <c r="M8" i="2"/>
  <c r="D8" i="2"/>
  <c r="C8" i="2"/>
  <c r="B8" i="2"/>
  <c r="B86" i="2" l="1"/>
  <c r="B87" i="2" s="1"/>
  <c r="B82" i="2"/>
  <c r="B83" i="2" s="1"/>
  <c r="B84" i="2" s="1"/>
  <c r="C3" i="7"/>
  <c r="B74" i="2"/>
  <c r="B75" i="2"/>
  <c r="B70" i="2"/>
  <c r="B79" i="2" l="1"/>
  <c r="BR3" i="3" l="1"/>
  <c r="B59" i="2"/>
  <c r="C59" i="2"/>
  <c r="D59" i="2"/>
  <c r="E59" i="2"/>
  <c r="F59" i="2"/>
  <c r="G59" i="2"/>
  <c r="H59" i="2"/>
  <c r="I59" i="2"/>
  <c r="J59" i="2"/>
  <c r="K59" i="2"/>
  <c r="L59" i="2"/>
  <c r="M59" i="2"/>
  <c r="BR4" i="3"/>
  <c r="B72" i="2" s="1"/>
  <c r="B80" i="2" s="1"/>
  <c r="B58" i="2" l="1"/>
  <c r="P13" i="2"/>
  <c r="P12" i="2"/>
  <c r="P11" i="2"/>
  <c r="P10" i="2"/>
  <c r="P9" i="2"/>
  <c r="P8" i="2"/>
  <c r="P7" i="2"/>
  <c r="P4" i="2"/>
  <c r="P2" i="2"/>
  <c r="L58" i="2" l="1"/>
  <c r="K58" i="2"/>
  <c r="D58" i="2"/>
  <c r="H58" i="2"/>
  <c r="E58" i="2"/>
  <c r="B73" i="2"/>
  <c r="I58" i="2"/>
  <c r="C58" i="2"/>
  <c r="F58" i="2"/>
  <c r="M58" i="2"/>
  <c r="G58" i="2"/>
  <c r="J58" i="2"/>
  <c r="P16" i="2"/>
  <c r="P18" i="2"/>
  <c r="P17" i="2"/>
  <c r="E9" i="2" l="1"/>
  <c r="E13" i="2" s="1"/>
  <c r="F9" i="2"/>
  <c r="F13" i="2" s="1"/>
  <c r="I9" i="2"/>
  <c r="I13" i="2" s="1"/>
  <c r="K9" i="2"/>
  <c r="K13" i="2" s="1"/>
  <c r="C47" i="2"/>
  <c r="L9" i="2"/>
  <c r="L13" i="2" s="1"/>
  <c r="G9" i="2"/>
  <c r="G13" i="2" s="1"/>
  <c r="B9" i="2"/>
  <c r="B13" i="2" s="1"/>
  <c r="M47" i="2"/>
  <c r="H9" i="2"/>
  <c r="H13" i="2" s="1"/>
  <c r="C9" i="2"/>
  <c r="C13" i="2" s="1"/>
  <c r="M9" i="2"/>
  <c r="M13" i="2" s="1"/>
  <c r="H47" i="2"/>
  <c r="D9" i="2"/>
  <c r="D13" i="2" s="1"/>
  <c r="J9" i="2"/>
  <c r="J13" i="2" s="1"/>
  <c r="L47" i="2"/>
  <c r="G47" i="2"/>
  <c r="J47" i="2"/>
  <c r="I47" i="2"/>
  <c r="K47" i="2"/>
  <c r="F47" i="2"/>
  <c r="B47" i="2"/>
  <c r="E47" i="2"/>
  <c r="D47" i="2"/>
  <c r="F53" i="2" l="1"/>
  <c r="F38" i="2"/>
  <c r="G53" i="2"/>
  <c r="G38" i="2"/>
  <c r="H53" i="2"/>
  <c r="H38" i="2"/>
  <c r="M53" i="2"/>
  <c r="M38" i="2"/>
  <c r="D53" i="2"/>
  <c r="D38" i="2"/>
  <c r="B53" i="2"/>
  <c r="B38" i="2"/>
  <c r="K53" i="2"/>
  <c r="K38" i="2"/>
  <c r="J53" i="2"/>
  <c r="J38" i="2"/>
  <c r="L53" i="2"/>
  <c r="L38" i="2"/>
  <c r="E53" i="2"/>
  <c r="E38" i="2"/>
  <c r="I53" i="2"/>
  <c r="I38" i="2"/>
  <c r="C53" i="2"/>
  <c r="C38" i="2"/>
  <c r="D17" i="2"/>
  <c r="M17" i="2"/>
  <c r="H17" i="2"/>
  <c r="B17" i="2"/>
  <c r="L17" i="2"/>
  <c r="K17" i="2"/>
  <c r="F17" i="2"/>
  <c r="J17" i="2"/>
  <c r="C17" i="2"/>
  <c r="G17" i="2"/>
  <c r="I17" i="2"/>
  <c r="E17" i="2"/>
  <c r="J51" i="2"/>
  <c r="K51" i="2"/>
  <c r="G51" i="2"/>
  <c r="H51" i="2"/>
  <c r="M51" i="2"/>
  <c r="C51" i="2"/>
  <c r="E51" i="2"/>
  <c r="I51" i="2"/>
  <c r="L51" i="2"/>
  <c r="B51" i="2"/>
  <c r="F51" i="2"/>
  <c r="D51" i="2"/>
  <c r="D37" i="2" l="1"/>
  <c r="D39" i="2" s="1"/>
  <c r="B37" i="2"/>
  <c r="B39" i="2" s="1"/>
  <c r="G21" i="2"/>
  <c r="G3" i="4" s="1"/>
  <c r="G37" i="2"/>
  <c r="G39" i="2" s="1"/>
  <c r="K25" i="2"/>
  <c r="K37" i="2"/>
  <c r="K39" i="2" s="1"/>
  <c r="M25" i="2"/>
  <c r="M37" i="2"/>
  <c r="M39" i="2" s="1"/>
  <c r="E25" i="2"/>
  <c r="E37" i="2"/>
  <c r="E39" i="2" s="1"/>
  <c r="J25" i="2"/>
  <c r="J37" i="2"/>
  <c r="J39" i="2" s="1"/>
  <c r="I21" i="2"/>
  <c r="I3" i="4" s="1"/>
  <c r="I37" i="2"/>
  <c r="I39" i="2" s="1"/>
  <c r="C21" i="2"/>
  <c r="C3" i="4" s="1"/>
  <c r="C37" i="2"/>
  <c r="C39" i="2" s="1"/>
  <c r="F21" i="2"/>
  <c r="F3" i="4" s="1"/>
  <c r="F37" i="2"/>
  <c r="F39" i="2" s="1"/>
  <c r="L21" i="2"/>
  <c r="L3" i="4" s="1"/>
  <c r="L37" i="2"/>
  <c r="L39" i="2" s="1"/>
  <c r="H21" i="2"/>
  <c r="H3" i="4" s="1"/>
  <c r="H37" i="2"/>
  <c r="H39" i="2" s="1"/>
  <c r="J21" i="2"/>
  <c r="J3" i="4" s="1"/>
  <c r="K21" i="2"/>
  <c r="K3" i="4" s="1"/>
  <c r="E21" i="2"/>
  <c r="E3" i="4" s="1"/>
  <c r="M21" i="2"/>
  <c r="M3" i="4" s="1"/>
  <c r="F25" i="2"/>
  <c r="C25" i="2"/>
  <c r="I25" i="2"/>
  <c r="L25" i="2"/>
  <c r="H25" i="2"/>
  <c r="G25" i="2"/>
  <c r="B21" i="2"/>
  <c r="D25" i="2"/>
  <c r="D21" i="2"/>
  <c r="D3" i="4" s="1"/>
  <c r="B25" i="2"/>
  <c r="D57" i="2"/>
  <c r="D11" i="4" s="1"/>
  <c r="D52" i="2"/>
  <c r="F57" i="2"/>
  <c r="F63" i="2" s="1"/>
  <c r="F52" i="2"/>
  <c r="B57" i="2"/>
  <c r="B11" i="4" s="1"/>
  <c r="B52" i="2"/>
  <c r="L57" i="2"/>
  <c r="L11" i="4" s="1"/>
  <c r="L52" i="2"/>
  <c r="I57" i="2"/>
  <c r="I11" i="4" s="1"/>
  <c r="I52" i="2"/>
  <c r="E57" i="2"/>
  <c r="E52" i="2"/>
  <c r="C57" i="2"/>
  <c r="C11" i="4" s="1"/>
  <c r="C52" i="2"/>
  <c r="M57" i="2"/>
  <c r="M11" i="4" s="1"/>
  <c r="M52" i="2"/>
  <c r="H57" i="2"/>
  <c r="H11" i="4" s="1"/>
  <c r="H52" i="2"/>
  <c r="G57" i="2"/>
  <c r="G11" i="4" s="1"/>
  <c r="G52" i="2"/>
  <c r="K57" i="2"/>
  <c r="K11" i="4" s="1"/>
  <c r="K52" i="2"/>
  <c r="J57" i="2"/>
  <c r="J11" i="4" s="1"/>
  <c r="J52" i="2"/>
  <c r="B3" i="4"/>
  <c r="H63" i="2" l="1"/>
  <c r="H7" i="4" s="1"/>
  <c r="D9" i="9" s="1"/>
  <c r="D63" i="2"/>
  <c r="K63" i="2"/>
  <c r="L63" i="2"/>
  <c r="I63" i="2"/>
  <c r="F7" i="4"/>
  <c r="G63" i="2"/>
  <c r="M63" i="2"/>
  <c r="B63" i="2"/>
  <c r="J63" i="2"/>
  <c r="E63" i="2"/>
  <c r="E7" i="4" s="1"/>
  <c r="D6" i="9" s="1"/>
  <c r="C63" i="2"/>
  <c r="H40" i="2"/>
  <c r="H41" i="2" s="1"/>
  <c r="L40" i="2"/>
  <c r="L41" i="2" s="1"/>
  <c r="F40" i="2"/>
  <c r="F41" i="2" s="1"/>
  <c r="C40" i="2"/>
  <c r="C41" i="2" s="1"/>
  <c r="I40" i="2"/>
  <c r="I41" i="2" s="1"/>
  <c r="J40" i="2"/>
  <c r="J41" i="2" s="1"/>
  <c r="E40" i="2"/>
  <c r="E41" i="2" s="1"/>
  <c r="M40" i="2"/>
  <c r="M41" i="2" s="1"/>
  <c r="K40" i="2"/>
  <c r="K41" i="2" s="1"/>
  <c r="G40" i="2"/>
  <c r="G41" i="2" s="1"/>
  <c r="B40" i="2"/>
  <c r="B41" i="2" s="1"/>
  <c r="D40" i="2"/>
  <c r="D41" i="2" s="1"/>
  <c r="D7" i="9"/>
  <c r="F3" i="5"/>
  <c r="B77" i="2" s="1"/>
  <c r="B78" i="2" s="1"/>
  <c r="L7" i="4"/>
  <c r="D13" i="9" s="1"/>
  <c r="D7" i="4"/>
  <c r="D5" i="9" s="1"/>
  <c r="C7" i="4"/>
  <c r="D4" i="9" s="1"/>
  <c r="M7" i="4"/>
  <c r="D14" i="9" s="1"/>
  <c r="K7" i="4"/>
  <c r="I7" i="4"/>
  <c r="D10" i="9" s="1"/>
  <c r="G7" i="4"/>
  <c r="D8" i="9" s="1"/>
  <c r="F11" i="4"/>
  <c r="F23" i="4" s="1"/>
  <c r="J7" i="4"/>
  <c r="D11" i="9" s="1"/>
  <c r="E11" i="4"/>
  <c r="E23" i="4" l="1"/>
  <c r="D12" i="9"/>
  <c r="K23" i="4"/>
  <c r="E29" i="2"/>
  <c r="J29" i="2"/>
  <c r="J33" i="2" s="1"/>
  <c r="M29" i="2"/>
  <c r="C29" i="2"/>
  <c r="C33" i="2" s="1"/>
  <c r="L29" i="2"/>
  <c r="L33" i="2" s="1"/>
  <c r="G29" i="2"/>
  <c r="K29" i="2"/>
  <c r="K33" i="2" s="1"/>
  <c r="B29" i="2"/>
  <c r="B33" i="2" s="1"/>
  <c r="I29" i="2"/>
  <c r="I33" i="2" s="1"/>
  <c r="F29" i="2"/>
  <c r="F33" i="2" s="1"/>
  <c r="H29" i="2"/>
  <c r="H33" i="2" s="1"/>
  <c r="D29" i="2"/>
  <c r="D33" i="2" s="1"/>
  <c r="E33" i="2"/>
  <c r="H23" i="4"/>
  <c r="I23" i="4"/>
  <c r="C23" i="4"/>
  <c r="J23" i="4"/>
  <c r="G23" i="4"/>
  <c r="M23" i="4"/>
  <c r="D23" i="4"/>
  <c r="B7" i="4"/>
  <c r="D3" i="9" s="1"/>
  <c r="F2" i="5"/>
  <c r="L23" i="4"/>
  <c r="E64" i="2" l="1"/>
  <c r="E65" i="2" s="1"/>
  <c r="E19" i="4" s="1"/>
  <c r="K64" i="2"/>
  <c r="K65" i="2" s="1"/>
  <c r="K19" i="4" s="1"/>
  <c r="G33" i="2"/>
  <c r="M33" i="2"/>
  <c r="C64" i="2"/>
  <c r="C65" i="2" s="1"/>
  <c r="C19" i="4" s="1"/>
  <c r="B23" i="4"/>
  <c r="H64" i="2"/>
  <c r="H65" i="2" s="1"/>
  <c r="H19" i="4" s="1"/>
  <c r="D64" i="2"/>
  <c r="D65" i="2" s="1"/>
  <c r="D19" i="4" s="1"/>
  <c r="J64" i="2"/>
  <c r="J65" i="2" s="1"/>
  <c r="J19" i="4" s="1"/>
  <c r="L64" i="2"/>
  <c r="L65" i="2" s="1"/>
  <c r="L19" i="4" s="1"/>
  <c r="I64" i="2"/>
  <c r="I65" i="2" s="1"/>
  <c r="I19" i="4" s="1"/>
  <c r="F64" i="2"/>
  <c r="F65" i="2" s="1"/>
  <c r="F19" i="4" s="1"/>
  <c r="B64" i="2"/>
  <c r="B65" i="2" s="1"/>
  <c r="B19" i="4" s="1"/>
  <c r="M15" i="4" l="1"/>
  <c r="M26" i="4" s="1"/>
  <c r="B15" i="4"/>
  <c r="B26" i="4" s="1"/>
  <c r="F15" i="4"/>
  <c r="F26" i="4" s="1"/>
  <c r="J15" i="4"/>
  <c r="J26" i="4" s="1"/>
  <c r="C15" i="4"/>
  <c r="C26" i="4" s="1"/>
  <c r="G15" i="4"/>
  <c r="G26" i="4" s="1"/>
  <c r="K15" i="4"/>
  <c r="K26" i="4" s="1"/>
  <c r="D15" i="4"/>
  <c r="D26" i="4" s="1"/>
  <c r="H15" i="4"/>
  <c r="H26" i="4" s="1"/>
  <c r="L15" i="4"/>
  <c r="L26" i="4" s="1"/>
  <c r="E15" i="4"/>
  <c r="E26" i="4" s="1"/>
  <c r="I15" i="4"/>
  <c r="I26" i="4" s="1"/>
  <c r="M64" i="2"/>
  <c r="M65" i="2" s="1"/>
  <c r="M19" i="4" s="1"/>
  <c r="G64" i="2"/>
  <c r="G65" i="2" s="1"/>
  <c r="G19" i="4" s="1"/>
  <c r="F4" i="5"/>
  <c r="F7" i="5" s="1"/>
  <c r="F8" i="5" s="1"/>
  <c r="F5" i="5" l="1"/>
  <c r="E10" i="9"/>
  <c r="E13" i="9"/>
  <c r="E5" i="9"/>
  <c r="E11" i="9"/>
  <c r="E3" i="9"/>
  <c r="E6" i="9"/>
  <c r="E9" i="9"/>
  <c r="E12" i="9"/>
  <c r="E4" i="9"/>
  <c r="E7" i="9"/>
  <c r="E14" i="9"/>
  <c r="E8" i="9"/>
</calcChain>
</file>

<file path=xl/sharedStrings.xml><?xml version="1.0" encoding="utf-8"?>
<sst xmlns="http://schemas.openxmlformats.org/spreadsheetml/2006/main" count="571" uniqueCount="206">
  <si>
    <t>Collector Technical Data</t>
  </si>
  <si>
    <t>System Configuration Data</t>
  </si>
  <si>
    <t>Collector Orientation</t>
  </si>
  <si>
    <t>South</t>
  </si>
  <si>
    <t>Tilt</t>
  </si>
  <si>
    <t>k1</t>
  </si>
  <si>
    <t>Water Usage Data</t>
  </si>
  <si>
    <t>k2</t>
  </si>
  <si>
    <t>k3</t>
  </si>
  <si>
    <t>k4</t>
  </si>
  <si>
    <t>k5</t>
  </si>
  <si>
    <t>k6</t>
  </si>
  <si>
    <t>k7</t>
  </si>
  <si>
    <t>k8</t>
  </si>
  <si>
    <t>k9</t>
  </si>
  <si>
    <t>Utilisation factor</t>
  </si>
  <si>
    <t>Solar storage volume factor</t>
  </si>
  <si>
    <t>Region</t>
  </si>
  <si>
    <t>Latitude (degrees north)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</si>
  <si>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</si>
  <si>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</si>
  <si>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</si>
  <si>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</si>
  <si>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</si>
  <si>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</si>
  <si>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</si>
  <si>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</si>
  <si>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</si>
  <si>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</si>
  <si>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</si>
  <si>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</si>
  <si>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</si>
  <si>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Days in month</t>
  </si>
  <si>
    <t>Latitude</t>
  </si>
  <si>
    <t>Orientation</t>
  </si>
  <si>
    <t>North</t>
  </si>
  <si>
    <t>NE/NW</t>
  </si>
  <si>
    <t>East/West</t>
  </si>
  <si>
    <t>SE/SW</t>
  </si>
  <si>
    <t>Overshading</t>
  </si>
  <si>
    <t>% sky blocked</t>
  </si>
  <si>
    <t>Factor</t>
  </si>
  <si>
    <t>Shower usage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</si>
  <si>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</si>
  <si>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</si>
  <si>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</si>
  <si>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</si>
  <si>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</si>
  <si>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</si>
  <si>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</si>
  <si>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</si>
  <si>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</si>
  <si>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</si>
  <si>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</si>
  <si>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Heavy</t>
  </si>
  <si>
    <t>&gt;80%</t>
  </si>
  <si>
    <t>Significant</t>
  </si>
  <si>
    <t>60% - 80%</t>
  </si>
  <si>
    <t>Modest</t>
  </si>
  <si>
    <t>20% - 60%</t>
  </si>
  <si>
    <t>Both electric and non-electric showers</t>
  </si>
  <si>
    <t>None or very little</t>
  </si>
  <si>
    <t>&lt; 20%</t>
  </si>
  <si>
    <t>0 - UK average</t>
  </si>
  <si>
    <t>1 - Thames</t>
  </si>
  <si>
    <t>2 - South East England</t>
  </si>
  <si>
    <t>3 - Southern England</t>
  </si>
  <si>
    <t>4 - South West England</t>
  </si>
  <si>
    <t>5 - Severn Wales/Severn England</t>
  </si>
  <si>
    <t>6 - Midlands</t>
  </si>
  <si>
    <t>7 - West Pennines Wales/West Pennines England</t>
  </si>
  <si>
    <t>8 - North West England</t>
  </si>
  <si>
    <t>9 - Border Scotland</t>
  </si>
  <si>
    <t>10 - North East England</t>
  </si>
  <si>
    <t>11 - East Pennines</t>
  </si>
  <si>
    <t>12 - East Anglia</t>
  </si>
  <si>
    <t>13 - Wales</t>
  </si>
  <si>
    <t>14 - West Scotland</t>
  </si>
  <si>
    <t>15 - East Scotland</t>
  </si>
  <si>
    <t>16 - North East Scotland</t>
  </si>
  <si>
    <t>17 - Highland</t>
  </si>
  <si>
    <t>18 - Western Isles</t>
  </si>
  <si>
    <t>19 - Orkney</t>
  </si>
  <si>
    <t>20 - Shetland</t>
  </si>
  <si>
    <t>21 - Northern Ireland</t>
  </si>
  <si>
    <t>Table U5: Constants for calculation of solar flux on vertical and inclined surfaces</t>
  </si>
  <si>
    <t>Collector type</t>
  </si>
  <si>
    <t>a*</t>
  </si>
  <si>
    <t>Aperture area/
gross area</t>
  </si>
  <si>
    <t>Evacuated tube</t>
  </si>
  <si>
    <t>Flat plate, glazed</t>
  </si>
  <si>
    <t>Unglazed</t>
  </si>
  <si>
    <t>Table H1: Default collector parameters</t>
  </si>
  <si>
    <t>Table H2: Overshading factor</t>
  </si>
  <si>
    <t>Table H3: Hot water use adjustment factor</t>
  </si>
  <si>
    <t>Monthly mean solar irradiance on vertical and inclined surfaces</t>
  </si>
  <si>
    <t>Orientation Constants</t>
  </si>
  <si>
    <t>X</t>
  </si>
  <si>
    <t>Y</t>
  </si>
  <si>
    <t>Z</t>
  </si>
  <si>
    <t>Solar declination - δ</t>
  </si>
  <si>
    <r>
      <t>Horizontal solar flux - S</t>
    </r>
    <r>
      <rPr>
        <vertAlign val="subscript"/>
        <sz val="12"/>
        <color theme="1"/>
        <rFont val="Calibri"/>
        <family val="2"/>
        <scheme val="minor"/>
      </rPr>
      <t>h,m</t>
    </r>
  </si>
  <si>
    <r>
      <t>R</t>
    </r>
    <r>
      <rPr>
        <vertAlign val="subscript"/>
        <sz val="12"/>
        <color theme="1"/>
        <rFont val="Calibri"/>
        <family val="2"/>
        <scheme val="minor"/>
      </rPr>
      <t>h-inc</t>
    </r>
    <r>
      <rPr>
        <sz val="12"/>
        <color theme="1"/>
        <rFont val="Calibri"/>
        <family val="2"/>
        <scheme val="minor"/>
      </rPr>
      <t>(orient, p, m) constants</t>
    </r>
  </si>
  <si>
    <r>
      <t>ɳ</t>
    </r>
    <r>
      <rPr>
        <vertAlign val="subscript"/>
        <sz val="12"/>
        <color theme="1"/>
        <rFont val="Calibri"/>
        <family val="2"/>
        <scheme val="minor"/>
      </rPr>
      <t>0</t>
    </r>
  </si>
  <si>
    <t>Table U4: Representative Latitude (°N)</t>
  </si>
  <si>
    <r>
      <t>Table U3: Mean global solar radiation on a horizontal plane (W/m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</si>
  <si>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Solar irradiance</t>
  </si>
  <si>
    <t>Solar energy</t>
  </si>
  <si>
    <r>
      <t>Monthly mean solar irradiance (W/m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</si>
  <si>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Monthly solar energy (kWh/m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</si>
  <si>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Performance ratio, a*/</t>
    </r>
    <r>
      <rPr>
        <sz val="12"/>
        <color theme="1"/>
        <rFont val="Calibri"/>
        <family val="2"/>
      </rPr>
      <t>η</t>
    </r>
    <r>
      <rPr>
        <vertAlign val="subscript"/>
        <sz val="12"/>
        <color theme="1"/>
        <rFont val="Calibri"/>
        <family val="2"/>
      </rPr>
      <t>0</t>
    </r>
  </si>
  <si>
    <r>
      <t>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order heat loss coefficient, a</t>
    </r>
    <r>
      <rPr>
        <vertAlign val="subscript"/>
        <sz val="12"/>
        <color theme="1"/>
        <rFont val="Calibri"/>
        <family val="2"/>
        <scheme val="minor"/>
      </rPr>
      <t>1</t>
    </r>
  </si>
  <si>
    <r>
      <t>2</t>
    </r>
    <r>
      <rPr>
        <vertAlign val="superscript"/>
        <sz val="12"/>
        <color theme="1"/>
        <rFont val="Calibri"/>
        <family val="2"/>
        <scheme val="minor"/>
      </rPr>
      <t>nd</t>
    </r>
    <r>
      <rPr>
        <sz val="12"/>
        <color theme="1"/>
        <rFont val="Calibri"/>
        <family val="2"/>
        <scheme val="minor"/>
      </rPr>
      <t xml:space="preserve"> order heat loss coefficient, a</t>
    </r>
    <r>
      <rPr>
        <vertAlign val="subscript"/>
        <sz val="12"/>
        <color theme="1"/>
        <rFont val="Calibri"/>
        <family val="2"/>
        <scheme val="minor"/>
      </rPr>
      <t>2</t>
    </r>
  </si>
  <si>
    <r>
      <t>Performance factor, f</t>
    </r>
    <r>
      <rPr>
        <vertAlign val="subscript"/>
        <sz val="12"/>
        <color theme="1"/>
        <rFont val="Calibri"/>
        <family val="2"/>
        <scheme val="minor"/>
      </rPr>
      <t>1</t>
    </r>
  </si>
  <si>
    <r>
      <t>Overshading factor, Z</t>
    </r>
    <r>
      <rPr>
        <vertAlign val="subscript"/>
        <sz val="12"/>
        <color theme="1"/>
        <rFont val="Calibri"/>
        <family val="2"/>
        <scheme val="minor"/>
      </rPr>
      <t>panel</t>
    </r>
  </si>
  <si>
    <t>Annual average hot water use, litres per day</t>
  </si>
  <si>
    <r>
      <t>Total floor area of dwelling, m</t>
    </r>
    <r>
      <rPr>
        <vertAlign val="superscript"/>
        <sz val="12"/>
        <color theme="1"/>
        <rFont val="Calibri"/>
        <family val="2"/>
        <scheme val="minor"/>
      </rPr>
      <t>2</t>
    </r>
  </si>
  <si>
    <t>Number of dwelling occupants</t>
  </si>
  <si>
    <t>125 litre water use target</t>
  </si>
  <si>
    <t>Yes</t>
  </si>
  <si>
    <t>No</t>
  </si>
  <si>
    <t>Assumed number of occupants</t>
  </si>
  <si>
    <t>Monthly factors for hot water use</t>
  </si>
  <si>
    <t>Monthly average hot water use (litres/day)</t>
  </si>
  <si>
    <t>Hot water use</t>
  </si>
  <si>
    <t>Hot Water Use Calculations</t>
  </si>
  <si>
    <t>Temperature rise of hot water drawn off (K)</t>
  </si>
  <si>
    <t>Distribution loss</t>
  </si>
  <si>
    <t>Energy content of water used</t>
  </si>
  <si>
    <t>Storage Tank Data</t>
  </si>
  <si>
    <t>Insulation type</t>
  </si>
  <si>
    <t>Loose jacket</t>
  </si>
  <si>
    <t>Factory insulated</t>
  </si>
  <si>
    <t>Cylinder loss factors</t>
  </si>
  <si>
    <t>Loss factor</t>
  </si>
  <si>
    <t>Storage loss</t>
  </si>
  <si>
    <t>Primary circuit loss</t>
  </si>
  <si>
    <t>Primary circuit loss reduction factors for solar water heating</t>
  </si>
  <si>
    <t>Total heating requirement (kWh/month)</t>
  </si>
  <si>
    <t>Total heat required for water heating</t>
  </si>
  <si>
    <t>Solar hot water input</t>
  </si>
  <si>
    <t>Water heater output</t>
  </si>
  <si>
    <t>Cylinder volume factor</t>
  </si>
  <si>
    <t>Effective solar volume</t>
  </si>
  <si>
    <t>Volume ratio</t>
  </si>
  <si>
    <t>Average hot water use, litres per day</t>
  </si>
  <si>
    <t>Solar to load ratio</t>
  </si>
  <si>
    <t>Energy content of water used shower adjusted</t>
  </si>
  <si>
    <t>Non-electric shower(s) only</t>
  </si>
  <si>
    <t>Electric shower(s) only*</t>
  </si>
  <si>
    <t>No shower (bath only)</t>
  </si>
  <si>
    <t>Total volume of cylinder, litres</t>
  </si>
  <si>
    <t>Solar storage volume, litres</t>
  </si>
  <si>
    <t>Manufacturers declared loss factor, kWh/day</t>
  </si>
  <si>
    <t>Insulation thickness, mm</t>
  </si>
  <si>
    <t>Assumed loss factor, kWh/day</t>
  </si>
  <si>
    <t>Total solar energy available, kWh</t>
  </si>
  <si>
    <t>Energy lost from water storage, kWh/day</t>
  </si>
  <si>
    <r>
      <t>Aperture area, A</t>
    </r>
    <r>
      <rPr>
        <vertAlign val="subscript"/>
        <sz val="12"/>
        <color theme="1"/>
        <rFont val="Calibri"/>
        <family val="2"/>
        <scheme val="minor"/>
      </rPr>
      <t>ap</t>
    </r>
    <r>
      <rPr>
        <sz val="12"/>
        <color theme="1"/>
        <rFont val="Calibri"/>
        <family val="2"/>
        <scheme val="minor"/>
      </rPr>
      <t xml:space="preserve"> (m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</si>
  <si>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Energy</t>
  </si>
  <si>
    <t>Monthly solar energy available (kWh)</t>
  </si>
  <si>
    <r>
      <t>Monthly solar energy available collector performance corrected (kWh</t>
    </r>
    <r>
      <rPr>
        <sz val="12"/>
        <color theme="1"/>
        <rFont val="Calibri"/>
        <family val="2"/>
        <scheme val="minor"/>
      </rPr>
      <t>)</t>
    </r>
  </si>
  <si>
    <r>
      <t>Monthly solar energy available collector performance and utilisation corrected (kWh</t>
    </r>
    <r>
      <rPr>
        <sz val="12"/>
        <color theme="1"/>
        <rFont val="Calibri"/>
        <family val="2"/>
        <scheme val="minor"/>
      </rPr>
      <t>)</t>
    </r>
  </si>
  <si>
    <r>
      <t>Monthly solar contribution to domestic hot water (kWh</t>
    </r>
    <r>
      <rPr>
        <sz val="12"/>
        <color theme="1"/>
        <rFont val="Calibri"/>
        <family val="2"/>
        <scheme val="minor"/>
      </rPr>
      <t>)</t>
    </r>
  </si>
  <si>
    <t>Water energy content (kWh)</t>
  </si>
  <si>
    <t>Losses (kWh)</t>
  </si>
  <si>
    <t>Total heating requirement (kWh)</t>
  </si>
  <si>
    <t>Energy loss</t>
  </si>
  <si>
    <t>Water heating requirement (kWh)</t>
  </si>
  <si>
    <t>Solar energy available (kWh)</t>
  </si>
  <si>
    <t>Heat loss (kWh)</t>
  </si>
  <si>
    <t>Solar contribution (kWh)</t>
  </si>
  <si>
    <t>Additional Heat Required (kWh)</t>
  </si>
  <si>
    <t>Solar fraction</t>
  </si>
  <si>
    <t>Average energy content of water used</t>
  </si>
  <si>
    <t>Calculated System Configuration Data</t>
  </si>
  <si>
    <t>Hot Water Demand, kWh</t>
  </si>
  <si>
    <t>Enter total monthly hot water demand, if known.
Otherwise leave blank.</t>
  </si>
  <si>
    <t>Enter values if monthly hot water demand is not known.</t>
  </si>
  <si>
    <r>
      <t>Zero-loss efficiency, η</t>
    </r>
    <r>
      <rPr>
        <vertAlign val="subscript"/>
        <sz val="12"/>
        <color theme="1"/>
        <rFont val="Calibri"/>
        <family val="2"/>
        <scheme val="minor"/>
      </rPr>
      <t>0</t>
    </r>
  </si>
  <si>
    <t>Total hot water demand, kWh</t>
  </si>
  <si>
    <t>Solar Fraction</t>
  </si>
  <si>
    <t>Demand, kWh</t>
  </si>
  <si>
    <t>Dedicated solar storage?</t>
  </si>
  <si>
    <r>
      <t>R</t>
    </r>
    <r>
      <rPr>
        <vertAlign val="subscript"/>
        <sz val="12"/>
        <color theme="1"/>
        <rFont val="Calibri"/>
        <family val="2"/>
        <scheme val="minor"/>
      </rPr>
      <t>h-inc</t>
    </r>
    <r>
      <rPr>
        <sz val="12"/>
        <color theme="1"/>
        <rFont val="Calibri"/>
        <family val="2"/>
        <scheme val="minor"/>
      </rPr>
      <t>(orient, p, m)</t>
    </r>
  </si>
  <si>
    <t>Mean external temperature</t>
  </si>
  <si>
    <t>Table U1: Mean external temperature (degC)</t>
  </si>
  <si>
    <t>Column number</t>
  </si>
  <si>
    <t>Estimated monthly contribution</t>
  </si>
  <si>
    <t>Mean collector temperature</t>
  </si>
  <si>
    <t>Experimental Correction Factor</t>
  </si>
  <si>
    <t>Correction factor</t>
  </si>
  <si>
    <t>System cost</t>
  </si>
  <si>
    <t>Annual maintenance cost</t>
  </si>
  <si>
    <t>Installation cost</t>
  </si>
  <si>
    <t>Financial Data (Optional)</t>
  </si>
  <si>
    <t>Lifespan (years)</t>
  </si>
  <si>
    <t>Cost per kWh without RHI</t>
  </si>
  <si>
    <t>Cost per kWh with RHI</t>
  </si>
  <si>
    <t>Annual solar contribution to hot water, kWh</t>
  </si>
  <si>
    <t>*Electric showers refers to showers which heat the water as it runs.  All showers
which are supplied from a storage tank are classed as non-electric showers,
regardless of how the water is heated.</t>
  </si>
  <si>
    <t>Shower use*</t>
  </si>
  <si>
    <t>RHI Tarrif (p/kWh)</t>
  </si>
  <si>
    <t>UF</t>
  </si>
  <si>
    <t>f2</t>
  </si>
  <si>
    <t>UF*f2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</si>
</sst>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164" formatCode="0.000"/>
    <numFmt numFmtId="165" formatCode="[$£-809]#,##0.00;[Red]&quot;-&quot;[$£-809]#,##0.00"/>
    <numFmt numFmtId="166" formatCode="0.0"/>
    <numFmt numFmtId="167" formatCode="&quot;£&quot;#,##0.00"/>
    <numFmt numFmtId="168" formatCode="&quot;£&quot;#,##0.000"/>
  </numFmts>
  <fonts count="14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theme="1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Font="1" applyBorder="1"/>
    <xf numFmtId="164" fontId="7" fillId="0" borderId="1" xfId="0" applyNumberFormat="1" applyFont="1" applyBorder="1"/>
    <xf numFmtId="164" fontId="3" fillId="0" borderId="1" xfId="0" applyNumberFormat="1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1" xfId="0" applyNumberFormat="1" applyFont="1" applyBorder="1"/>
    <xf numFmtId="2" fontId="3" fillId="0" borderId="1" xfId="0" applyNumberFormat="1" applyFont="1" applyFill="1" applyBorder="1"/>
    <xf numFmtId="2" fontId="0" fillId="0" borderId="1" xfId="0" applyNumberFormat="1" applyBorder="1"/>
    <xf numFmtId="164" fontId="11" fillId="2" borderId="5" xfId="0" applyNumberFormat="1" applyFont="1" applyFill="1" applyBorder="1" applyAlignment="1">
      <alignment horizontal="left"/>
    </xf>
    <xf numFmtId="2" fontId="0" fillId="0" borderId="5" xfId="0" applyNumberFormat="1" applyBorder="1"/>
    <xf numFmtId="164" fontId="3" fillId="3" borderId="1" xfId="0" applyNumberFormat="1" applyFont="1" applyFill="1" applyBorder="1" applyAlignment="1">
      <alignment horizontal="left"/>
    </xf>
    <xf numFmtId="164" fontId="11" fillId="3" borderId="1" xfId="0" applyNumberFormat="1" applyFont="1" applyFill="1" applyBorder="1"/>
    <xf numFmtId="164" fontId="3" fillId="3" borderId="1" xfId="0" applyNumberFormat="1" applyFont="1" applyFill="1" applyBorder="1"/>
    <xf numFmtId="164" fontId="3" fillId="0" borderId="5" xfId="0" applyNumberFormat="1" applyFont="1" applyBorder="1"/>
    <xf numFmtId="2" fontId="11" fillId="0" borderId="5" xfId="0" applyNumberFormat="1" applyFont="1" applyBorder="1" applyAlignment="1">
      <alignment horizontal="center" vertical="center"/>
    </xf>
    <xf numFmtId="0" fontId="11" fillId="2" borderId="0" xfId="0" applyFont="1" applyFill="1"/>
    <xf numFmtId="0" fontId="3" fillId="2" borderId="0" xfId="0" applyFont="1" applyFill="1"/>
    <xf numFmtId="166" fontId="11" fillId="2" borderId="5" xfId="0" applyNumberFormat="1" applyFont="1" applyFill="1" applyBorder="1" applyAlignment="1" applyProtection="1">
      <alignment horizontal="center" vertical="center"/>
      <protection hidden="1"/>
    </xf>
    <xf numFmtId="164" fontId="11" fillId="2" borderId="0" xfId="0" applyNumberFormat="1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164" fontId="3" fillId="2" borderId="5" xfId="0" applyNumberFormat="1" applyFont="1" applyFill="1" applyBorder="1" applyProtection="1">
      <protection hidden="1"/>
    </xf>
    <xf numFmtId="164" fontId="3" fillId="2" borderId="6" xfId="0" applyNumberFormat="1" applyFont="1" applyFill="1" applyBorder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1" fillId="2" borderId="7" xfId="0" applyFont="1" applyFill="1" applyBorder="1" applyProtection="1">
      <protection hidden="1"/>
    </xf>
    <xf numFmtId="0" fontId="3" fillId="2" borderId="5" xfId="0" applyFont="1" applyFill="1" applyBorder="1" applyProtection="1">
      <protection hidden="1"/>
    </xf>
    <xf numFmtId="0" fontId="3" fillId="4" borderId="0" xfId="0" applyFont="1" applyFill="1" applyProtection="1">
      <protection hidden="1"/>
    </xf>
    <xf numFmtId="2" fontId="11" fillId="3" borderId="5" xfId="0" applyNumberFormat="1" applyFont="1" applyFill="1" applyBorder="1" applyAlignment="1" applyProtection="1">
      <alignment horizontal="center" vertical="center"/>
      <protection hidden="1"/>
    </xf>
    <xf numFmtId="9" fontId="11" fillId="3" borderId="5" xfId="5" applyFont="1" applyFill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2" fontId="3" fillId="3" borderId="5" xfId="0" applyNumberFormat="1" applyFont="1" applyFill="1" applyBorder="1" applyAlignment="1" applyProtection="1">
      <alignment horizontal="center" vertical="center"/>
      <protection hidden="1"/>
    </xf>
    <xf numFmtId="9" fontId="3" fillId="3" borderId="5" xfId="5" applyFont="1" applyFill="1" applyBorder="1" applyAlignment="1" applyProtection="1">
      <alignment horizontal="center" vertical="center"/>
      <protection hidden="1"/>
    </xf>
    <xf numFmtId="164" fontId="3" fillId="4" borderId="0" xfId="0" applyNumberFormat="1" applyFont="1" applyFill="1" applyProtection="1">
      <protection hidden="1"/>
    </xf>
    <xf numFmtId="166" fontId="12" fillId="3" borderId="5" xfId="0" applyNumberFormat="1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 applyProtection="1">
      <alignment horizontal="center" vertical="center"/>
      <protection locked="0"/>
    </xf>
    <xf numFmtId="164" fontId="12" fillId="3" borderId="6" xfId="0" applyNumberFormat="1" applyFont="1" applyFill="1" applyBorder="1" applyAlignment="1" applyProtection="1">
      <alignment horizontal="center" vertical="center"/>
      <protection locked="0"/>
    </xf>
    <xf numFmtId="1" fontId="12" fillId="3" borderId="6" xfId="0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 applyProtection="1">
      <alignment horizontal="center"/>
      <protection locked="0"/>
    </xf>
    <xf numFmtId="166" fontId="3" fillId="0" borderId="1" xfId="0" applyNumberFormat="1" applyFont="1" applyBorder="1"/>
    <xf numFmtId="2" fontId="3" fillId="0" borderId="0" xfId="0" applyNumberFormat="1" applyFont="1"/>
    <xf numFmtId="0" fontId="0" fillId="4" borderId="0" xfId="0" applyFill="1"/>
    <xf numFmtId="167" fontId="12" fillId="3" borderId="5" xfId="6" applyNumberFormat="1" applyFont="1" applyFill="1" applyBorder="1" applyAlignment="1" applyProtection="1">
      <alignment horizontal="center" vertical="center"/>
      <protection locked="0"/>
    </xf>
    <xf numFmtId="0" fontId="12" fillId="3" borderId="5" xfId="6" applyNumberFormat="1" applyFont="1" applyFill="1" applyBorder="1" applyAlignment="1" applyProtection="1">
      <alignment horizontal="center" vertical="center"/>
      <protection locked="0"/>
    </xf>
    <xf numFmtId="168" fontId="11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2" borderId="5" xfId="0" applyNumberFormat="1" applyFont="1" applyFill="1" applyBorder="1" applyAlignment="1" applyProtection="1">
      <alignment horizontal="center" vertical="center"/>
      <protection hidden="1"/>
    </xf>
    <xf numFmtId="164" fontId="3" fillId="2" borderId="6" xfId="0" applyNumberFormat="1" applyFont="1" applyFill="1" applyBorder="1" applyAlignment="1" applyProtection="1">
      <alignment horizontal="center" vertical="center"/>
      <protection hidden="1"/>
    </xf>
    <xf numFmtId="164" fontId="3" fillId="2" borderId="5" xfId="0" applyNumberFormat="1" applyFont="1" applyFill="1" applyBorder="1" applyAlignment="1" applyProtection="1">
      <alignment horizontal="center"/>
      <protection hidden="1"/>
    </xf>
    <xf numFmtId="164" fontId="11" fillId="2" borderId="5" xfId="0" applyNumberFormat="1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4" borderId="5" xfId="0" applyFill="1" applyBorder="1" applyAlignment="1">
      <alignment horizontal="center"/>
    </xf>
    <xf numFmtId="164" fontId="3" fillId="4" borderId="5" xfId="0" applyNumberFormat="1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164" fontId="3" fillId="4" borderId="8" xfId="0" applyNumberFormat="1" applyFont="1" applyFill="1" applyBorder="1" applyAlignment="1" applyProtection="1">
      <alignment horizontal="center"/>
      <protection hidden="1"/>
    </xf>
    <xf numFmtId="164" fontId="3" fillId="4" borderId="10" xfId="0" applyNumberFormat="1" applyFont="1" applyFill="1" applyBorder="1" applyAlignment="1" applyProtection="1">
      <alignment horizontal="center"/>
      <protection hidden="1"/>
    </xf>
    <xf numFmtId="164" fontId="3" fillId="4" borderId="9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7">
    <cellStyle name="Currency" xfId="6" builtinId="4"/>
    <cellStyle name="Heading" xfId="1"/>
    <cellStyle name="Heading1" xfId="2"/>
    <cellStyle name="Normal" xfId="0" builtinId="0" customBuiltin="1"/>
    <cellStyle name="Percent" xfId="5" builtinId="5"/>
    <cellStyle name="Result" xfId="3"/>
    <cellStyle name="Result2" xfId="4"/>
  </cellStyles>
  <dxfs count="0"/>
  <tableStyles count="0" defaultTableStyle="TableStyleMedium2" defaultPivotStyle="PivotStyleLight16"/>
  <colors>
    <mruColors>
      <color rgb="FF0000FF"/>
      <color rgb="FF1FA125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Solar Energy</a:t>
            </a:r>
            <a:r>
              <a:rPr lang="en-GB" baseline="0"/>
              <a:t> vs Heating Requirement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'Results 2'!$A$1</c:f>
              <c:strCache>
                <c:ptCount val="1"/>
                <c:pt idx="0">
                  <c:v>Solar energy available (kWh)</c:v>
                </c:pt>
              </c:strCache>
            </c:strRef>
          </c:tx>
          <c:marker>
            <c:symbol val="none"/>
          </c:marker>
          <c:cat>
            <c:strRef>
              <c:f>'Results 2'!$B$2:$M$2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'Results 2'!$B$3:$M$3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'Results 2'!$A$5</c:f>
              <c:strCache>
                <c:ptCount val="1"/>
                <c:pt idx="0">
                  <c:v>Total heating requirement (kWh)</c:v>
                </c:pt>
              </c:strCache>
            </c:strRef>
          </c:tx>
          <c:marker>
            <c:symbol val="none"/>
          </c:marker>
          <c:val>
            <c:numRef>
              <c:f>'Results 2'!$B$7:$M$7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8608"/>
        <c:axId val="102070144"/>
      </c:lineChart>
      <c:catAx>
        <c:axId val="102068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2070144"/>
        <c:crosses val="autoZero"/>
        <c:auto val="1"/>
        <c:lblAlgn val="ctr"/>
        <c:lblOffset val="100"/>
        <c:noMultiLvlLbl val="0"/>
      </c:catAx>
      <c:valAx>
        <c:axId val="1020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Energy, kWh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2068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Solar</a:t>
            </a:r>
            <a:r>
              <a:rPr lang="en-GB" baseline="0"/>
              <a:t> Contribution vs Heating Requirement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'Results 2'!$A$5</c:f>
              <c:strCache>
                <c:ptCount val="1"/>
                <c:pt idx="0">
                  <c:v>Total heating requirement (kWh)</c:v>
                </c:pt>
              </c:strCache>
            </c:strRef>
          </c:tx>
          <c:marker>
            <c:symbol val="none"/>
          </c:marker>
          <c:cat>
            <c:strRef>
              <c:f>'Results 2'!$B$2:$M$2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'Results 2'!$B$7:$M$7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'Results 2'!$A$13</c:f>
              <c:strCache>
                <c:ptCount val="1"/>
                <c:pt idx="0">
                  <c:v>Solar contribution (kWh)</c:v>
                </c:pt>
              </c:strCache>
            </c:strRef>
          </c:tx>
          <c:marker>
            <c:symbol val="none"/>
          </c:marker>
          <c:cat>
            <c:strRef>
              <c:f>'Results 2'!$B$2:$M$2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'Results 2'!$B$15:$M$15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03680"/>
        <c:axId val="102113664"/>
      </c:lineChart>
      <c:lineChart>
        <c:grouping val="standard"/>
        <c:varyColors val="0"/>
        <c:ser>
          <c:idx val="2"/>
          <c:order val="2"/>
          <c:tx>
            <c:strRef>
              <c:f>'Results 2'!$A$26</c:f>
              <c:strCache>
                <c:ptCount val="1"/>
                <c:pt idx="0">
                  <c:v>Solar fraction</c:v>
                </c:pt>
              </c:strCache>
            </c:strRef>
          </c:tx>
          <c:marker>
            <c:symbol val="none"/>
          </c:marker>
          <c:cat>
            <c:strRef>
              <c:f>'Results 2'!$B$2:$M$2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'Results 2'!$B$26:$M$26</c:f>
              <c:numCache>
                <c:formatCode>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25568"/>
        <c:axId val="102115584"/>
      </c:lineChart>
      <c:catAx>
        <c:axId val="10210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2113664"/>
        <c:crosses val="autoZero"/>
        <c:auto val="1"/>
        <c:lblAlgn val="ctr"/>
        <c:lblOffset val="100"/>
        <c:noMultiLvlLbl val="0"/>
      </c:catAx>
      <c:valAx>
        <c:axId val="10211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Energy,</a:t>
                </a:r>
                <a:r>
                  <a:rPr lang="en-GB" baseline="0"/>
                  <a:t> kWh</a:t>
                </a:r>
                <a:endParaRPr lang="en-GB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2103680"/>
        <c:crosses val="autoZero"/>
        <c:crossBetween val="between"/>
      </c:valAx>
      <c:valAx>
        <c:axId val="10211558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102125568"/>
        <c:crosses val="max"/>
        <c:crossBetween val="between"/>
      </c:valAx>
      <c:catAx>
        <c:axId val="10212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0211558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Additional</a:t>
            </a:r>
            <a:r>
              <a:rPr lang="en-US" baseline="0"/>
              <a:t> Heat Required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30459828885025"/>
          <c:y val="0.12750775471247913"/>
          <c:w val="0.59339047172544035"/>
          <c:h val="0.68117383487256411"/>
        </c:manualLayout>
      </c:layout>
      <c:lineChart>
        <c:grouping val="standard"/>
        <c:varyColors val="0"/>
        <c:ser>
          <c:idx val="0"/>
          <c:order val="0"/>
          <c:tx>
            <c:strRef>
              <c:f>'Results 2'!$A$17</c:f>
              <c:strCache>
                <c:ptCount val="1"/>
                <c:pt idx="0">
                  <c:v>Additional Heat Required (kWh)</c:v>
                </c:pt>
              </c:strCache>
            </c:strRef>
          </c:tx>
          <c:marker>
            <c:symbol val="none"/>
          </c:marker>
          <c:cat>
            <c:strRef>
              <c:f>'Results 2'!$B$18:$M$18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'Results 2'!$B$19:$M$19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6048"/>
        <c:axId val="102147584"/>
      </c:lineChart>
      <c:catAx>
        <c:axId val="102146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2147584"/>
        <c:crosses val="autoZero"/>
        <c:auto val="1"/>
        <c:lblAlgn val="ctr"/>
        <c:lblOffset val="100"/>
        <c:noMultiLvlLbl val="0"/>
      </c:catAx>
      <c:valAx>
        <c:axId val="10214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Energy, kWh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02146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4</xdr:row>
      <xdr:rowOff>19050</xdr:rowOff>
    </xdr:from>
    <xdr:to>
      <xdr:col>3</xdr:col>
      <xdr:colOff>129908</xdr:colOff>
      <xdr:row>39</xdr:row>
      <xdr:rowOff>197864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847725"/>
          <a:ext cx="5282933" cy="7179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1049110</xdr:colOff>
      <xdr:row>36</xdr:row>
      <xdr:rowOff>10887</xdr:rowOff>
    </xdr:from>
    <xdr:to>
      <xdr:col>6</xdr:col>
      <xdr:colOff>962025</xdr:colOff>
      <xdr:row>55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1032784</xdr:colOff>
      <xdr:row>15</xdr:row>
      <xdr:rowOff>39461</xdr:rowOff>
    </xdr:from>
    <xdr:to>
      <xdr:col>6</xdr:col>
      <xdr:colOff>981075</xdr:colOff>
      <xdr:row>34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1073605</xdr:colOff>
      <xdr:row>56</xdr:row>
      <xdr:rowOff>44904</xdr:rowOff>
    </xdr:from>
    <xdr:to>
      <xdr:col>6</xdr:col>
      <xdr:colOff>1000126</xdr:colOff>
      <xdr:row>73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3"/>
  <sheetViews>
    <sheetView showGridLines="0" tabSelected="1" workbookViewId="0">
      <selection activeCell="C2" sqref="C2"/>
    </sheetView>
  </sheetViews>
  <sheetFormatPr defaultRowHeight="15.75"/>
  <cols>
    <col min="1" max="1" width="16.75" style="29" customWidth="1"/>
    <col min="2" max="2" width="22.125" style="29" bestFit="1" customWidth="1"/>
    <col min="3" max="3" width="43.625" style="29" bestFit="1" customWidth="1"/>
    <col min="4" max="4" width="16.75" style="29" customWidth="1"/>
    <col min="5" max="16384" width="9" style="29"/>
  </cols>
  <sheetData>
    <row r="1" spans="1:3" ht="16.5" thickBot="1">
      <c r="A1" s="28"/>
    </row>
    <row r="2" spans="1:3" ht="16.5" thickBot="1">
      <c r="B2" s="21" t="s">
        <v>17</v>
      </c>
      <c r="C2" s="54"/>
    </row>
    <row r="3" spans="1:3" ht="16.5" thickBot="1">
      <c r="B3" s="21" t="s">
        <v>18</v>
      </c>
      <c r="C3" s="30" t="str">
        <f>IF(Region="", "", VLOOKUP(Region, Table_Latitude, 2, FALSE))</f>
        <v/>
      </c>
    </row>
  </sheetData>
  <sheetProtection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Tables!$A$3:$A$24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59"/>
  <sheetViews>
    <sheetView showGridLines="0" zoomScaleNormal="100" workbookViewId="0">
      <selection activeCell="D3" sqref="D3"/>
    </sheetView>
  </sheetViews>
  <sheetFormatPr defaultRowHeight="15.75"/>
  <cols>
    <col min="1" max="2" width="15.875" style="32" customWidth="1"/>
    <col min="3" max="3" width="38.375" style="32" bestFit="1" customWidth="1"/>
    <col min="4" max="4" width="16.75" style="32" bestFit="1" customWidth="1"/>
    <col min="5" max="6" width="15.875" style="32" customWidth="1"/>
    <col min="7" max="7" width="42.875" style="32" bestFit="1" customWidth="1"/>
    <col min="8" max="9" width="10.625" style="32" customWidth="1"/>
    <col min="10" max="16384" width="9" style="32"/>
  </cols>
  <sheetData>
    <row r="1" spans="2:8" ht="16.5" thickBot="1">
      <c r="B1" s="31"/>
    </row>
    <row r="2" spans="2:8" ht="16.5" thickBot="1">
      <c r="C2" s="61" t="s">
        <v>0</v>
      </c>
      <c r="D2" s="61"/>
    </row>
    <row r="3" spans="2:8" ht="20.25" thickBot="1">
      <c r="C3" s="33" t="s">
        <v>158</v>
      </c>
      <c r="D3" s="48"/>
    </row>
    <row r="4" spans="2:8" ht="19.5" thickBot="1">
      <c r="C4" s="33" t="s">
        <v>179</v>
      </c>
      <c r="D4" s="49"/>
    </row>
    <row r="5" spans="2:8" ht="20.25" thickBot="1">
      <c r="C5" s="33" t="s">
        <v>111</v>
      </c>
      <c r="D5" s="49"/>
    </row>
    <row r="6" spans="2:8" ht="20.25" thickBot="1">
      <c r="C6" s="33" t="s">
        <v>112</v>
      </c>
      <c r="D6" s="49"/>
    </row>
    <row r="7" spans="2:8" ht="16.5" thickBot="1"/>
    <row r="8" spans="2:8" ht="16.5" thickBot="1">
      <c r="C8" s="62" t="s">
        <v>1</v>
      </c>
      <c r="D8" s="62"/>
    </row>
    <row r="9" spans="2:8" ht="16.5" thickBot="1">
      <c r="C9" s="34" t="s">
        <v>2</v>
      </c>
      <c r="D9" s="50"/>
    </row>
    <row r="10" spans="2:8" ht="16.5" thickBot="1">
      <c r="C10" s="34" t="s">
        <v>4</v>
      </c>
      <c r="D10" s="51"/>
    </row>
    <row r="11" spans="2:8" ht="16.5" thickBot="1">
      <c r="C11" s="34" t="s">
        <v>39</v>
      </c>
      <c r="D11" s="50"/>
    </row>
    <row r="12" spans="2:8" ht="16.5" thickBot="1"/>
    <row r="13" spans="2:8" ht="16.5" thickBot="1">
      <c r="C13" s="63" t="s">
        <v>129</v>
      </c>
      <c r="D13" s="63"/>
    </row>
    <row r="14" spans="2:8" ht="16.5" thickBot="1">
      <c r="C14" s="33" t="s">
        <v>151</v>
      </c>
      <c r="D14" s="52"/>
    </row>
    <row r="15" spans="2:8" ht="16.5" thickBot="1">
      <c r="C15" s="33" t="s">
        <v>152</v>
      </c>
      <c r="D15" s="52"/>
    </row>
    <row r="16" spans="2:8" ht="16.5" thickBot="1">
      <c r="C16" s="33" t="s">
        <v>183</v>
      </c>
      <c r="D16" s="53"/>
      <c r="H16" s="35"/>
    </row>
    <row r="17" spans="3:8" ht="16.5" thickBot="1">
      <c r="C17" s="33" t="s">
        <v>153</v>
      </c>
      <c r="D17" s="49"/>
      <c r="H17" s="35"/>
    </row>
    <row r="18" spans="3:8" ht="16.5" thickBot="1">
      <c r="C18" s="33" t="s">
        <v>130</v>
      </c>
      <c r="D18" s="49"/>
      <c r="H18" s="35"/>
    </row>
    <row r="19" spans="3:8" ht="16.5" thickBot="1">
      <c r="C19" s="33" t="s">
        <v>154</v>
      </c>
      <c r="D19" s="52"/>
      <c r="H19" s="35"/>
    </row>
    <row r="20" spans="3:8">
      <c r="H20" s="35"/>
    </row>
    <row r="21" spans="3:8">
      <c r="H21" s="35"/>
    </row>
    <row r="22" spans="3:8">
      <c r="H22" s="35"/>
    </row>
    <row r="23" spans="3:8">
      <c r="H23" s="35"/>
    </row>
    <row r="24" spans="3:8">
      <c r="H24" s="35"/>
    </row>
    <row r="59" spans="3:3">
      <c r="C59" s="31"/>
    </row>
  </sheetData>
  <sheetProtection sheet="1" objects="1" scenarios="1"/>
  <dataConsolidate/>
  <mergeCells count="3">
    <mergeCell ref="C2:D2"/>
    <mergeCell ref="C8:D8"/>
    <mergeCell ref="C13:D13"/>
  </mergeCells>
  <dataValidations count="7">
    <dataValidation allowBlank="1" showInputMessage="1" showErrorMessage="1" promptTitle="Declared Loss Factor" prompt="Enter the manufacturer's declared loss factor in kWh/day, if known.  Otherwise, enter 0." sqref="D17"/>
    <dataValidation type="list" allowBlank="1" showInputMessage="1" showErrorMessage="1" promptTitle="Dedicated solar storage" prompt="Does the solar system have its own dedicated storage volume?" sqref="D16">
      <formula1>Yes_No</formula1>
    </dataValidation>
    <dataValidation allowBlank="1" showInputMessage="1" showErrorMessage="1" promptTitle="Solar storage volume" prompt="For a combined cylinder, this is the volume of the cylinder that the solar heat exchanger occupies." sqref="D15"/>
    <dataValidation allowBlank="1" showInputMessage="1" showErrorMessage="1" promptTitle="Insulation thickness" prompt="Enter a valule in millimetres._x000a_This information is not required if the manufacturer's declared loss factor is known." sqref="D19"/>
    <dataValidation allowBlank="1" showErrorMessage="1" sqref="D4"/>
    <dataValidation allowBlank="1" showErrorMessage="1" promptTitle="1st order heat loss coefficient" prompt="This is usually available from the manufacturer's data sheet." sqref="D5"/>
    <dataValidation allowBlank="1" showErrorMessage="1" promptTitle="2nd order heat loss coefficient" prompt="This is ually available from the manufacturer's data sheet." sqref="D6"/>
  </dataValidations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Tables!$R$3:$R$7</xm:f>
          </x14:formula1>
          <xm:sqref>D9</xm:sqref>
        </x14:dataValidation>
        <x14:dataValidation type="list" allowBlank="1" showInputMessage="1" showErrorMessage="1" promptTitle="Overshading = % of sky blocked" prompt="Heavy = &gt;80%_x000a_Significant = 60-80%_x000a_Modest = 20-60%_x000a_None or very little = &lt;20%">
          <x14:formula1>
            <xm:f>Tables!$AH$3:$AH$6</xm:f>
          </x14:formula1>
          <xm:sqref>D11</xm:sqref>
        </x14:dataValidation>
        <x14:dataValidation type="list" allowBlank="1" showInputMessage="1" showErrorMessage="1" promptTitle="Insulation type" prompt="Choose the insulation type.  This information is not required if the manufacturer's declared loss factor is known.">
          <x14:formula1>
            <xm:f>Tables!$BQ$3:$BQ$4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4"/>
  <sheetViews>
    <sheetView showGridLines="0" zoomScaleNormal="100" workbookViewId="0">
      <selection activeCell="D3" sqref="D3"/>
    </sheetView>
  </sheetViews>
  <sheetFormatPr defaultRowHeight="15.75"/>
  <cols>
    <col min="1" max="2" width="20.125" style="32" customWidth="1"/>
    <col min="3" max="3" width="22.875" style="32" bestFit="1" customWidth="1"/>
    <col min="4" max="4" width="15.375" style="32" customWidth="1"/>
    <col min="5" max="6" width="20.125" style="32" customWidth="1"/>
    <col min="7" max="8" width="10.625" style="32" customWidth="1"/>
    <col min="9" max="16384" width="9" style="32"/>
  </cols>
  <sheetData>
    <row r="1" spans="1:7" ht="16.5" thickBot="1">
      <c r="A1" s="31"/>
    </row>
    <row r="2" spans="1:7" ht="16.5" thickBot="1">
      <c r="C2" s="63" t="s">
        <v>195</v>
      </c>
      <c r="D2" s="63"/>
    </row>
    <row r="3" spans="1:7" ht="16.5" thickBot="1">
      <c r="C3" s="33" t="s">
        <v>192</v>
      </c>
      <c r="D3" s="58"/>
    </row>
    <row r="4" spans="1:7" ht="16.5" thickBot="1">
      <c r="C4" s="33" t="s">
        <v>194</v>
      </c>
      <c r="D4" s="58"/>
    </row>
    <row r="5" spans="1:7" ht="16.5" thickBot="1">
      <c r="C5" s="33" t="s">
        <v>193</v>
      </c>
      <c r="D5" s="58"/>
    </row>
    <row r="6" spans="1:7" ht="16.5" thickBot="1">
      <c r="C6" s="33" t="s">
        <v>196</v>
      </c>
      <c r="D6" s="59"/>
    </row>
    <row r="7" spans="1:7" ht="16.5" thickBot="1">
      <c r="C7" s="33" t="s">
        <v>202</v>
      </c>
      <c r="D7" s="48"/>
    </row>
    <row r="16" spans="1:7">
      <c r="G16" s="35"/>
    </row>
    <row r="17" spans="7:7">
      <c r="G17" s="35"/>
    </row>
    <row r="18" spans="7:7">
      <c r="G18" s="35"/>
    </row>
    <row r="19" spans="7:7">
      <c r="G19" s="35"/>
    </row>
    <row r="20" spans="7:7">
      <c r="G20" s="35"/>
    </row>
    <row r="21" spans="7:7">
      <c r="G21" s="35"/>
    </row>
    <row r="22" spans="7:7">
      <c r="G22" s="35"/>
    </row>
    <row r="23" spans="7:7">
      <c r="G23" s="35"/>
    </row>
    <row r="24" spans="7:7">
      <c r="G24" s="35"/>
    </row>
  </sheetData>
  <sheetProtection sheet="1" objects="1" scenarios="1"/>
  <dataConsolidate/>
  <mergeCells count="1">
    <mergeCell ref="C2:D2"/>
  </mergeCells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6"/>
  <sheetViews>
    <sheetView workbookViewId="0">
      <selection activeCell="C5" sqref="C5"/>
    </sheetView>
  </sheetViews>
  <sheetFormatPr defaultRowHeight="15.75"/>
  <cols>
    <col min="1" max="1" width="2.25" style="37" customWidth="1"/>
    <col min="2" max="3" width="22.5" style="37" bestFit="1" customWidth="1"/>
    <col min="4" max="4" width="2" style="37" customWidth="1"/>
    <col min="5" max="5" width="36.75" style="37" customWidth="1"/>
    <col min="6" max="6" width="33.875" style="37" customWidth="1"/>
    <col min="7" max="16384" width="9" style="37"/>
  </cols>
  <sheetData>
    <row r="1" spans="1:6">
      <c r="A1" s="36"/>
    </row>
    <row r="2" spans="1:6" ht="16.5" thickBot="1"/>
    <row r="3" spans="1:6" ht="36" customHeight="1" thickBot="1">
      <c r="B3" s="65" t="s">
        <v>177</v>
      </c>
      <c r="C3" s="66"/>
      <c r="E3" s="67" t="s">
        <v>178</v>
      </c>
      <c r="F3" s="66"/>
    </row>
    <row r="4" spans="1:6" ht="16.5" thickBot="1">
      <c r="B4" s="38" t="s">
        <v>19</v>
      </c>
      <c r="C4" s="38" t="s">
        <v>176</v>
      </c>
      <c r="E4" s="64" t="s">
        <v>6</v>
      </c>
      <c r="F4" s="64"/>
    </row>
    <row r="5" spans="1:6" ht="16.5" thickBot="1">
      <c r="B5" s="39" t="s">
        <v>20</v>
      </c>
      <c r="C5" s="53"/>
      <c r="E5" s="33" t="s">
        <v>115</v>
      </c>
      <c r="F5" s="52"/>
    </row>
    <row r="6" spans="1:6" ht="16.5" thickBot="1">
      <c r="B6" s="39" t="s">
        <v>21</v>
      </c>
      <c r="C6" s="53"/>
      <c r="E6" s="33" t="s">
        <v>117</v>
      </c>
      <c r="F6" s="52"/>
    </row>
    <row r="7" spans="1:6" ht="18.75" thickBot="1">
      <c r="B7" s="39" t="s">
        <v>22</v>
      </c>
      <c r="C7" s="53"/>
      <c r="E7" s="33" t="s">
        <v>116</v>
      </c>
      <c r="F7" s="52"/>
    </row>
    <row r="8" spans="1:6" ht="16.5" thickBot="1">
      <c r="B8" s="39" t="s">
        <v>23</v>
      </c>
      <c r="C8" s="53"/>
      <c r="E8" s="33" t="s">
        <v>118</v>
      </c>
      <c r="F8" s="49"/>
    </row>
    <row r="9" spans="1:6" ht="16.5" thickBot="1">
      <c r="B9" s="39" t="s">
        <v>24</v>
      </c>
      <c r="C9" s="53"/>
      <c r="E9" s="33" t="s">
        <v>201</v>
      </c>
      <c r="F9" s="49"/>
    </row>
    <row r="10" spans="1:6" ht="16.5" thickBot="1">
      <c r="B10" s="39" t="s">
        <v>25</v>
      </c>
      <c r="C10" s="53"/>
    </row>
    <row r="11" spans="1:6" ht="16.5" thickBot="1">
      <c r="B11" s="39" t="s">
        <v>26</v>
      </c>
      <c r="C11" s="53"/>
      <c r="E11" s="68" t="s">
        <v>200</v>
      </c>
      <c r="F11" s="69"/>
    </row>
    <row r="12" spans="1:6" ht="16.5" thickBot="1">
      <c r="B12" s="39" t="s">
        <v>27</v>
      </c>
      <c r="C12" s="53"/>
      <c r="E12" s="69"/>
      <c r="F12" s="69"/>
    </row>
    <row r="13" spans="1:6" ht="16.5" thickBot="1">
      <c r="B13" s="39" t="s">
        <v>28</v>
      </c>
      <c r="C13" s="53"/>
      <c r="E13" s="69"/>
      <c r="F13" s="69"/>
    </row>
    <row r="14" spans="1:6" ht="16.5" thickBot="1">
      <c r="B14" s="39" t="s">
        <v>29</v>
      </c>
      <c r="C14" s="53"/>
    </row>
    <row r="15" spans="1:6" ht="16.5" thickBot="1">
      <c r="B15" s="39" t="s">
        <v>30</v>
      </c>
      <c r="C15" s="53"/>
    </row>
    <row r="16" spans="1:6" ht="16.5" thickBot="1">
      <c r="B16" s="39" t="s">
        <v>31</v>
      </c>
      <c r="C16" s="53"/>
    </row>
  </sheetData>
  <sheetProtection sheet="1" objects="1" scenarios="1"/>
  <mergeCells count="4">
    <mergeCell ref="E4:F4"/>
    <mergeCell ref="B3:C3"/>
    <mergeCell ref="E3:F3"/>
    <mergeCell ref="E11:F13"/>
  </mergeCells>
  <dataValidations count="4">
    <dataValidation type="list" allowBlank="1" showInputMessage="1" showErrorMessage="1" promptTitle="125 litre water use target" prompt="Is the dwelling designed to achieve a water use target of not more than 125 litres per person per day (all water use, hot and cold)?  Note: A value must be entered." sqref="F8">
      <formula1>Yes_No</formula1>
    </dataValidation>
    <dataValidation allowBlank="1" showInputMessage="1" showErrorMessage="1" promptTitle="Number of dwelling occupants" prompt="If the annual average hot water use is not known, enter a value. Leave blank if the annual average hot water use is known or if the number of occupants is unknown." sqref="F6"/>
    <dataValidation allowBlank="1" showInputMessage="1" showErrorMessage="1" promptTitle="Total floor area of dwelling" prompt="Enter a value in square metres, if known._x000a_Enter 0 if hot water use is known and enered above or if the number of occupants is known and entered above._x000a_Note: a value must be entered if the hot water use is unknown and the number of occupants is unknown." sqref="F7"/>
    <dataValidation allowBlank="1" showInputMessage="1" showErrorMessage="1" promptTitle="Annual average hot water use" prompt="Enter a value in litres per day, if known.  Otherwise, enter 0." sqref="F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ot water use" prompt="Choose the option that best describes the type of showers present in the property._x000a_Note: A value must be entered">
          <x14:formula1>
            <xm:f>Tables!$AL$3:$AL$6</xm:f>
          </x14:formula1>
          <xm:sqref>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54"/>
  <sheetViews>
    <sheetView zoomScaleNormal="100" workbookViewId="0">
      <selection activeCell="F2" sqref="F2"/>
    </sheetView>
  </sheetViews>
  <sheetFormatPr defaultRowHeight="15.75"/>
  <cols>
    <col min="1" max="2" width="15.75" style="40" customWidth="1"/>
    <col min="3" max="3" width="16.75" style="40" bestFit="1" customWidth="1"/>
    <col min="4" max="4" width="13.125" style="40" bestFit="1" customWidth="1"/>
    <col min="5" max="5" width="13.5" style="40" customWidth="1"/>
    <col min="6" max="6" width="11.625" style="40" customWidth="1"/>
    <col min="7" max="8" width="15.375" style="40" customWidth="1"/>
    <col min="9" max="16384" width="9" style="40"/>
  </cols>
  <sheetData>
    <row r="1" spans="3:6" ht="16.5" thickBot="1"/>
    <row r="2" spans="3:6" ht="16.5" thickBot="1">
      <c r="C2" s="73" t="s">
        <v>180</v>
      </c>
      <c r="D2" s="74"/>
      <c r="E2" s="75"/>
      <c r="F2" s="41" t="str">
        <f>IFERROR(SUM(Calculations!B63:M63), " ")</f>
        <v xml:space="preserve"> </v>
      </c>
    </row>
    <row r="3" spans="3:6" ht="16.5" thickBot="1">
      <c r="C3" s="71" t="s">
        <v>156</v>
      </c>
      <c r="D3" s="71"/>
      <c r="E3" s="71"/>
      <c r="F3" s="41" t="str">
        <f>IFERROR(SUM(Calculations!B21:M21), " ")</f>
        <v xml:space="preserve"> </v>
      </c>
    </row>
    <row r="4" spans="3:6" ht="16.5" thickBot="1">
      <c r="C4" s="71" t="s">
        <v>199</v>
      </c>
      <c r="D4" s="71"/>
      <c r="E4" s="71"/>
      <c r="F4" s="41" t="str">
        <f>IFERROR(SUM(Calculations!B33:M33), " ")</f>
        <v xml:space="preserve"> </v>
      </c>
    </row>
    <row r="5" spans="3:6" ht="16.5" thickBot="1">
      <c r="C5" s="72" t="s">
        <v>173</v>
      </c>
      <c r="D5" s="72"/>
      <c r="E5" s="72"/>
      <c r="F5" s="42" t="str">
        <f>IFERROR(F4/F2, " ")</f>
        <v xml:space="preserve"> </v>
      </c>
    </row>
    <row r="6" spans="3:6" ht="16.5" thickBot="1"/>
    <row r="7" spans="3:6" ht="16.5" thickBot="1">
      <c r="C7" s="72" t="s">
        <v>197</v>
      </c>
      <c r="D7" s="72"/>
      <c r="E7" s="72"/>
      <c r="F7" s="60" t="str">
        <f>IFERROR((Install_cost+System_cost+(Maintenance_cost*Lifespan))/(F4*Lifespan), " ")</f>
        <v xml:space="preserve"> </v>
      </c>
    </row>
    <row r="8" spans="3:6" ht="16.5" thickBot="1">
      <c r="C8" s="70" t="s">
        <v>198</v>
      </c>
      <c r="D8" s="70"/>
      <c r="E8" s="70"/>
      <c r="F8" s="60" t="str">
        <f>IFERROR(F7-(RHI_Tarrif/100), " ")</f>
        <v xml:space="preserve"> </v>
      </c>
    </row>
    <row r="9" spans="3:6">
      <c r="C9" s="57"/>
    </row>
    <row r="12" spans="3:6">
      <c r="C12" s="57"/>
      <c r="D12" s="57"/>
      <c r="E12" s="57"/>
    </row>
    <row r="13" spans="3:6">
      <c r="C13" s="57"/>
      <c r="D13" s="57"/>
      <c r="E13" s="57"/>
    </row>
    <row r="14" spans="3:6">
      <c r="C14" s="57"/>
      <c r="D14" s="57"/>
      <c r="E14" s="57"/>
    </row>
    <row r="15" spans="3:6">
      <c r="C15" s="57"/>
      <c r="D15" s="57"/>
      <c r="E15" s="57"/>
    </row>
    <row r="16" spans="3:6">
      <c r="C16" s="57"/>
      <c r="D16" s="57"/>
      <c r="E16" s="57"/>
    </row>
    <row r="17" spans="3:5">
      <c r="C17" s="57"/>
      <c r="D17" s="57"/>
      <c r="E17" s="57"/>
    </row>
    <row r="18" spans="3:5">
      <c r="C18" s="57"/>
      <c r="D18" s="57"/>
      <c r="E18" s="57"/>
    </row>
    <row r="19" spans="3:5">
      <c r="C19" s="57"/>
      <c r="D19" s="57"/>
      <c r="E19" s="57"/>
    </row>
    <row r="52" spans="1:2">
      <c r="A52" s="47"/>
      <c r="B52" s="47"/>
    </row>
    <row r="53" spans="1:2">
      <c r="A53" s="47"/>
      <c r="B53" s="47"/>
    </row>
    <row r="54" spans="1:2">
      <c r="A54" s="47"/>
      <c r="B54" s="47"/>
    </row>
  </sheetData>
  <sheetProtection sheet="1" objects="1" scenarios="1"/>
  <mergeCells count="6">
    <mergeCell ref="C8:E8"/>
    <mergeCell ref="C3:E3"/>
    <mergeCell ref="C4:E4"/>
    <mergeCell ref="C5:E5"/>
    <mergeCell ref="C2:E2"/>
    <mergeCell ref="C7:E7"/>
  </mergeCells>
  <dataValidations count="1">
    <dataValidation allowBlank="1" showErrorMessage="1" promptTitle="Total solar energy available" prompt="This is the total solar energy available to the collector, based on its aperture area, zero-loss efficiency and the level of overshading.  The amount of heat which the collector contibutes is likely to be much less than this." sqref="F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54"/>
  <sheetViews>
    <sheetView zoomScaleNormal="100" workbookViewId="0"/>
  </sheetViews>
  <sheetFormatPr defaultRowHeight="15.75"/>
  <cols>
    <col min="1" max="2" width="15.75" style="40" customWidth="1"/>
    <col min="3" max="3" width="16.75" style="40" bestFit="1" customWidth="1"/>
    <col min="4" max="4" width="13.125" style="40" bestFit="1" customWidth="1"/>
    <col min="5" max="5" width="13.5" style="40" customWidth="1"/>
    <col min="6" max="6" width="11.625" style="40" customWidth="1"/>
    <col min="7" max="8" width="15.375" style="40" customWidth="1"/>
    <col min="9" max="16384" width="9" style="40"/>
  </cols>
  <sheetData>
    <row r="1" spans="3:6" ht="16.5" thickBot="1"/>
    <row r="2" spans="3:6" ht="16.5" thickBot="1">
      <c r="C2" s="43" t="s">
        <v>19</v>
      </c>
      <c r="D2" s="43" t="s">
        <v>182</v>
      </c>
      <c r="E2" s="43" t="s">
        <v>181</v>
      </c>
      <c r="F2" s="57"/>
    </row>
    <row r="3" spans="3:6" ht="16.5" thickBot="1">
      <c r="C3" s="44" t="s">
        <v>20</v>
      </c>
      <c r="D3" s="45" t="str">
        <f>IFERROR('Results 2'!B7, " ")</f>
        <v xml:space="preserve"> </v>
      </c>
      <c r="E3" s="46" t="str">
        <f>IFERROR('Results 2'!B26, " ")</f>
        <v xml:space="preserve"> </v>
      </c>
      <c r="F3" s="57"/>
    </row>
    <row r="4" spans="3:6" ht="16.5" thickBot="1">
      <c r="C4" s="44" t="s">
        <v>21</v>
      </c>
      <c r="D4" s="45" t="str">
        <f>IFERROR('Results 2'!C7, " ")</f>
        <v xml:space="preserve"> </v>
      </c>
      <c r="E4" s="46" t="str">
        <f>IFERROR('Results 2'!C26, " ")</f>
        <v xml:space="preserve"> </v>
      </c>
      <c r="F4" s="57"/>
    </row>
    <row r="5" spans="3:6" ht="16.5" thickBot="1">
      <c r="C5" s="44" t="s">
        <v>22</v>
      </c>
      <c r="D5" s="45" t="str">
        <f>IFERROR('Results 2'!D7, " ")</f>
        <v xml:space="preserve"> </v>
      </c>
      <c r="E5" s="46" t="str">
        <f>IFERROR('Results 2'!D26, " ")</f>
        <v xml:space="preserve"> </v>
      </c>
      <c r="F5" s="57"/>
    </row>
    <row r="6" spans="3:6" ht="16.5" thickBot="1">
      <c r="C6" s="44" t="s">
        <v>23</v>
      </c>
      <c r="D6" s="45" t="str">
        <f>IFERROR('Results 2'!E7, " ")</f>
        <v xml:space="preserve"> </v>
      </c>
      <c r="E6" s="46" t="str">
        <f>IFERROR('Results 2'!E26, " ")</f>
        <v xml:space="preserve"> </v>
      </c>
    </row>
    <row r="7" spans="3:6" ht="16.5" thickBot="1">
      <c r="C7" s="44" t="s">
        <v>24</v>
      </c>
      <c r="D7" s="45" t="str">
        <f>IFERROR('Results 2'!F7, " ")</f>
        <v xml:space="preserve"> </v>
      </c>
      <c r="E7" s="46" t="str">
        <f>IFERROR('Results 2'!F26, " ")</f>
        <v xml:space="preserve"> </v>
      </c>
    </row>
    <row r="8" spans="3:6" ht="16.5" thickBot="1">
      <c r="C8" s="44" t="s">
        <v>25</v>
      </c>
      <c r="D8" s="45" t="str">
        <f>IFERROR('Results 2'!G7, " ")</f>
        <v xml:space="preserve"> </v>
      </c>
      <c r="E8" s="46" t="str">
        <f>IFERROR('Results 2'!G26, " ")</f>
        <v xml:space="preserve"> </v>
      </c>
    </row>
    <row r="9" spans="3:6" ht="16.5" thickBot="1">
      <c r="C9" s="44" t="s">
        <v>26</v>
      </c>
      <c r="D9" s="45" t="str">
        <f>IFERROR('Results 2'!H7, " ")</f>
        <v xml:space="preserve"> </v>
      </c>
      <c r="E9" s="46" t="str">
        <f>IFERROR('Results 2'!H26, " ")</f>
        <v xml:space="preserve"> </v>
      </c>
    </row>
    <row r="10" spans="3:6" ht="16.5" thickBot="1">
      <c r="C10" s="44" t="s">
        <v>27</v>
      </c>
      <c r="D10" s="45" t="str">
        <f>IFERROR('Results 2'!I7, " ")</f>
        <v xml:space="preserve"> </v>
      </c>
      <c r="E10" s="46" t="str">
        <f>IFERROR('Results 2'!I26, " ")</f>
        <v xml:space="preserve"> </v>
      </c>
    </row>
    <row r="11" spans="3:6" ht="16.5" thickBot="1">
      <c r="C11" s="44" t="s">
        <v>28</v>
      </c>
      <c r="D11" s="45" t="str">
        <f>IFERROR('Results 2'!J7, " ")</f>
        <v xml:space="preserve"> </v>
      </c>
      <c r="E11" s="46" t="str">
        <f>IFERROR('Results 2'!J26, " ")</f>
        <v xml:space="preserve"> </v>
      </c>
    </row>
    <row r="12" spans="3:6" ht="16.5" thickBot="1">
      <c r="C12" s="44" t="s">
        <v>29</v>
      </c>
      <c r="D12" s="45" t="str">
        <f>IFERROR('Results 2'!K7, " ")</f>
        <v xml:space="preserve"> </v>
      </c>
      <c r="E12" s="46" t="str">
        <f>IFERROR('Results 2'!K26, " ")</f>
        <v xml:space="preserve"> </v>
      </c>
    </row>
    <row r="13" spans="3:6" ht="16.5" thickBot="1">
      <c r="C13" s="44" t="s">
        <v>30</v>
      </c>
      <c r="D13" s="45" t="str">
        <f>IFERROR('Results 2'!L7, " ")</f>
        <v xml:space="preserve"> </v>
      </c>
      <c r="E13" s="46" t="str">
        <f>IFERROR('Results 2'!L26, " ")</f>
        <v xml:space="preserve"> </v>
      </c>
    </row>
    <row r="14" spans="3:6" ht="16.5" thickBot="1">
      <c r="C14" s="44" t="s">
        <v>31</v>
      </c>
      <c r="D14" s="45" t="str">
        <f>IFERROR('Results 2'!M7, " ")</f>
        <v xml:space="preserve"> </v>
      </c>
      <c r="E14" s="46" t="str">
        <f>IFERROR('Results 2'!M26, " ")</f>
        <v xml:space="preserve"> </v>
      </c>
    </row>
    <row r="52" spans="1:2">
      <c r="A52" s="47"/>
      <c r="B52" s="47"/>
    </row>
    <row r="53" spans="1:2">
      <c r="A53" s="47"/>
      <c r="B53" s="47"/>
    </row>
    <row r="54" spans="1:2">
      <c r="A54" s="47"/>
      <c r="B54" s="47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6"/>
  <sheetViews>
    <sheetView topLeftCell="A13" workbookViewId="0">
      <selection activeCell="H25" sqref="H25"/>
    </sheetView>
  </sheetViews>
  <sheetFormatPr defaultRowHeight="14.25"/>
  <cols>
    <col min="1" max="1" width="11.625" style="17" bestFit="1" customWidth="1"/>
    <col min="2" max="13" width="9.125" style="17" customWidth="1"/>
    <col min="14" max="16384" width="9" style="17"/>
  </cols>
  <sheetData>
    <row r="1" spans="1:13" ht="15.75">
      <c r="A1" s="77" t="s">
        <v>169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>
      <c r="A2" s="18" t="s">
        <v>19</v>
      </c>
      <c r="B2" s="18" t="s">
        <v>20</v>
      </c>
      <c r="C2" s="18" t="s">
        <v>21</v>
      </c>
      <c r="D2" s="18" t="s">
        <v>22</v>
      </c>
      <c r="E2" s="18" t="s">
        <v>23</v>
      </c>
      <c r="F2" s="18" t="s">
        <v>24</v>
      </c>
      <c r="G2" s="18" t="s">
        <v>25</v>
      </c>
      <c r="H2" s="18" t="s">
        <v>26</v>
      </c>
      <c r="I2" s="18" t="s">
        <v>27</v>
      </c>
      <c r="J2" s="18" t="s">
        <v>28</v>
      </c>
      <c r="K2" s="18" t="s">
        <v>29</v>
      </c>
      <c r="L2" s="18" t="s">
        <v>30</v>
      </c>
      <c r="M2" s="18" t="s">
        <v>31</v>
      </c>
    </row>
    <row r="3" spans="1:13" ht="15.75">
      <c r="A3" s="18" t="s">
        <v>107</v>
      </c>
      <c r="B3" s="18" t="e">
        <f>Calculations!B21</f>
        <v>#N/A</v>
      </c>
      <c r="C3" s="18" t="e">
        <f>Calculations!C21</f>
        <v>#N/A</v>
      </c>
      <c r="D3" s="18" t="e">
        <f>Calculations!D21</f>
        <v>#N/A</v>
      </c>
      <c r="E3" s="18" t="e">
        <f>Calculations!E21</f>
        <v>#N/A</v>
      </c>
      <c r="F3" s="18" t="e">
        <f>Calculations!F21</f>
        <v>#N/A</v>
      </c>
      <c r="G3" s="18" t="e">
        <f>Calculations!G21</f>
        <v>#N/A</v>
      </c>
      <c r="H3" s="18" t="e">
        <f>Calculations!H21</f>
        <v>#N/A</v>
      </c>
      <c r="I3" s="18" t="e">
        <f>Calculations!I21</f>
        <v>#N/A</v>
      </c>
      <c r="J3" s="18" t="e">
        <f>Calculations!J21</f>
        <v>#N/A</v>
      </c>
      <c r="K3" s="18" t="e">
        <f>Calculations!K21</f>
        <v>#N/A</v>
      </c>
      <c r="L3" s="18" t="e">
        <f>Calculations!L21</f>
        <v>#N/A</v>
      </c>
      <c r="M3" s="18" t="e">
        <f>Calculations!M21</f>
        <v>#N/A</v>
      </c>
    </row>
    <row r="5" spans="1:13" ht="15.75">
      <c r="A5" s="78" t="s">
        <v>166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5.75">
      <c r="A6" s="3" t="s">
        <v>19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29</v>
      </c>
      <c r="L6" s="3" t="s">
        <v>30</v>
      </c>
      <c r="M6" s="3" t="s">
        <v>31</v>
      </c>
    </row>
    <row r="7" spans="1:13">
      <c r="A7" s="20" t="s">
        <v>159</v>
      </c>
      <c r="B7" s="20" t="e">
        <f>Calculations!B63</f>
        <v>#VALUE!</v>
      </c>
      <c r="C7" s="20" t="e">
        <f>Calculations!C63</f>
        <v>#VALUE!</v>
      </c>
      <c r="D7" s="20" t="e">
        <f>Calculations!D63</f>
        <v>#VALUE!</v>
      </c>
      <c r="E7" s="20" t="e">
        <f>Calculations!E63</f>
        <v>#VALUE!</v>
      </c>
      <c r="F7" s="20" t="e">
        <f>Calculations!F63</f>
        <v>#VALUE!</v>
      </c>
      <c r="G7" s="20" t="e">
        <f>Calculations!G63</f>
        <v>#VALUE!</v>
      </c>
      <c r="H7" s="20" t="e">
        <f>Calculations!H63</f>
        <v>#VALUE!</v>
      </c>
      <c r="I7" s="20" t="e">
        <f>Calculations!I63</f>
        <v>#VALUE!</v>
      </c>
      <c r="J7" s="20" t="e">
        <f>Calculations!J63</f>
        <v>#VALUE!</v>
      </c>
      <c r="K7" s="20" t="e">
        <f>Calculations!K63</f>
        <v>#VALUE!</v>
      </c>
      <c r="L7" s="20" t="e">
        <f>Calculations!L63</f>
        <v>#VALUE!</v>
      </c>
      <c r="M7" s="20" t="e">
        <f>Calculations!M63</f>
        <v>#VALUE!</v>
      </c>
    </row>
    <row r="9" spans="1:13" ht="15.75">
      <c r="A9" s="77" t="s">
        <v>170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.75">
      <c r="A10" s="18" t="s">
        <v>19</v>
      </c>
      <c r="B10" s="18" t="s">
        <v>20</v>
      </c>
      <c r="C10" s="18" t="s">
        <v>21</v>
      </c>
      <c r="D10" s="18" t="s">
        <v>22</v>
      </c>
      <c r="E10" s="18" t="s">
        <v>23</v>
      </c>
      <c r="F10" s="18" t="s">
        <v>24</v>
      </c>
      <c r="G10" s="18" t="s">
        <v>25</v>
      </c>
      <c r="H10" s="18" t="s">
        <v>26</v>
      </c>
      <c r="I10" s="18" t="s">
        <v>27</v>
      </c>
      <c r="J10" s="18" t="s">
        <v>28</v>
      </c>
      <c r="K10" s="18" t="s">
        <v>29</v>
      </c>
      <c r="L10" s="18" t="s">
        <v>30</v>
      </c>
      <c r="M10" s="18" t="s">
        <v>31</v>
      </c>
    </row>
    <row r="11" spans="1:13">
      <c r="A11" s="20" t="s">
        <v>167</v>
      </c>
      <c r="B11" s="20" t="e">
        <f>SUM(Calculations!B57:B59)</f>
        <v>#VALUE!</v>
      </c>
      <c r="C11" s="20" t="e">
        <f>SUM(Calculations!C57:C59)</f>
        <v>#VALUE!</v>
      </c>
      <c r="D11" s="20" t="e">
        <f>SUM(Calculations!D57:D59)</f>
        <v>#VALUE!</v>
      </c>
      <c r="E11" s="20" t="e">
        <f>SUM(Calculations!E57:E59)</f>
        <v>#VALUE!</v>
      </c>
      <c r="F11" s="20" t="e">
        <f>SUM(Calculations!F57:F59)</f>
        <v>#VALUE!</v>
      </c>
      <c r="G11" s="20" t="e">
        <f>SUM(Calculations!G57:G59)</f>
        <v>#VALUE!</v>
      </c>
      <c r="H11" s="20" t="e">
        <f>SUM(Calculations!H57:H59)</f>
        <v>#VALUE!</v>
      </c>
      <c r="I11" s="20" t="e">
        <f>SUM(Calculations!I57:I59)</f>
        <v>#VALUE!</v>
      </c>
      <c r="J11" s="20" t="e">
        <f>SUM(Calculations!J57:J59)</f>
        <v>#VALUE!</v>
      </c>
      <c r="K11" s="20" t="e">
        <f>SUM(Calculations!K57:K59)</f>
        <v>#VALUE!</v>
      </c>
      <c r="L11" s="20" t="e">
        <f>SUM(Calculations!L57:L59)</f>
        <v>#VALUE!</v>
      </c>
      <c r="M11" s="20" t="e">
        <f>SUM(Calculations!M57:M59)</f>
        <v>#VALUE!</v>
      </c>
    </row>
    <row r="13" spans="1:13" ht="15.75">
      <c r="A13" s="77" t="s">
        <v>171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.75">
      <c r="A14" s="18" t="s">
        <v>19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24</v>
      </c>
      <c r="G14" s="18" t="s">
        <v>25</v>
      </c>
      <c r="H14" s="18" t="s">
        <v>26</v>
      </c>
      <c r="I14" s="18" t="s">
        <v>27</v>
      </c>
      <c r="J14" s="18" t="s">
        <v>28</v>
      </c>
      <c r="K14" s="18" t="s">
        <v>29</v>
      </c>
      <c r="L14" s="18" t="s">
        <v>30</v>
      </c>
      <c r="M14" s="18" t="s">
        <v>31</v>
      </c>
    </row>
    <row r="15" spans="1:13" ht="15.75">
      <c r="A15" s="19" t="s">
        <v>159</v>
      </c>
      <c r="B15" s="20" t="e">
        <f>Calculations!B41</f>
        <v>#N/A</v>
      </c>
      <c r="C15" s="20" t="e">
        <f>Calculations!C41</f>
        <v>#N/A</v>
      </c>
      <c r="D15" s="20" t="e">
        <f>Calculations!D41</f>
        <v>#N/A</v>
      </c>
      <c r="E15" s="20" t="e">
        <f>Calculations!E41</f>
        <v>#N/A</v>
      </c>
      <c r="F15" s="20" t="e">
        <f>Calculations!F41</f>
        <v>#N/A</v>
      </c>
      <c r="G15" s="20" t="e">
        <f>Calculations!G41</f>
        <v>#N/A</v>
      </c>
      <c r="H15" s="20" t="e">
        <f>Calculations!H41</f>
        <v>#N/A</v>
      </c>
      <c r="I15" s="20" t="e">
        <f>Calculations!I41</f>
        <v>#N/A</v>
      </c>
      <c r="J15" s="20" t="e">
        <f>Calculations!J41</f>
        <v>#N/A</v>
      </c>
      <c r="K15" s="20" t="e">
        <f>Calculations!K41</f>
        <v>#N/A</v>
      </c>
      <c r="L15" s="20" t="e">
        <f>Calculations!L41</f>
        <v>#N/A</v>
      </c>
      <c r="M15" s="20" t="e">
        <f>Calculations!M41</f>
        <v>#N/A</v>
      </c>
    </row>
    <row r="17" spans="1:13" ht="15.75">
      <c r="A17" s="77" t="s">
        <v>172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13" ht="15.75">
      <c r="A18" s="18" t="s">
        <v>19</v>
      </c>
      <c r="B18" s="18" t="s">
        <v>20</v>
      </c>
      <c r="C18" s="18" t="s">
        <v>21</v>
      </c>
      <c r="D18" s="18" t="s">
        <v>22</v>
      </c>
      <c r="E18" s="18" t="s">
        <v>23</v>
      </c>
      <c r="F18" s="18" t="s">
        <v>24</v>
      </c>
      <c r="G18" s="18" t="s">
        <v>25</v>
      </c>
      <c r="H18" s="18" t="s">
        <v>26</v>
      </c>
      <c r="I18" s="18" t="s">
        <v>27</v>
      </c>
      <c r="J18" s="18" t="s">
        <v>28</v>
      </c>
      <c r="K18" s="18" t="s">
        <v>29</v>
      </c>
      <c r="L18" s="18" t="s">
        <v>30</v>
      </c>
      <c r="M18" s="18" t="s">
        <v>31</v>
      </c>
    </row>
    <row r="19" spans="1:13">
      <c r="A19" s="20" t="s">
        <v>159</v>
      </c>
      <c r="B19" s="20" t="e">
        <f>Calculations!B65</f>
        <v>#VALUE!</v>
      </c>
      <c r="C19" s="20" t="e">
        <f>Calculations!C65</f>
        <v>#VALUE!</v>
      </c>
      <c r="D19" s="20" t="e">
        <f>Calculations!D65</f>
        <v>#VALUE!</v>
      </c>
      <c r="E19" s="20" t="e">
        <f>Calculations!E65</f>
        <v>#VALUE!</v>
      </c>
      <c r="F19" s="20" t="e">
        <f>Calculations!F65</f>
        <v>#VALUE!</v>
      </c>
      <c r="G19" s="20" t="e">
        <f>Calculations!G65</f>
        <v>#VALUE!</v>
      </c>
      <c r="H19" s="20" t="e">
        <f>Calculations!H65</f>
        <v>#VALUE!</v>
      </c>
      <c r="I19" s="20" t="e">
        <f>Calculations!I65</f>
        <v>#VALUE!</v>
      </c>
      <c r="J19" s="20" t="e">
        <f>Calculations!J65</f>
        <v>#VALUE!</v>
      </c>
      <c r="K19" s="20" t="e">
        <f>Calculations!K65</f>
        <v>#VALUE!</v>
      </c>
      <c r="L19" s="20" t="e">
        <f>Calculations!L65</f>
        <v>#VALUE!</v>
      </c>
      <c r="M19" s="20" t="e">
        <f>Calculations!M65</f>
        <v>#VALUE!</v>
      </c>
    </row>
    <row r="21" spans="1:13">
      <c r="A21" s="76" t="s">
        <v>168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3" ht="15.75">
      <c r="A22" s="18" t="s">
        <v>19</v>
      </c>
      <c r="B22" s="18" t="s">
        <v>20</v>
      </c>
      <c r="C22" s="18" t="s">
        <v>21</v>
      </c>
      <c r="D22" s="18" t="s">
        <v>22</v>
      </c>
      <c r="E22" s="18" t="s">
        <v>23</v>
      </c>
      <c r="F22" s="18" t="s">
        <v>24</v>
      </c>
      <c r="G22" s="18" t="s">
        <v>25</v>
      </c>
      <c r="H22" s="18" t="s">
        <v>26</v>
      </c>
      <c r="I22" s="18" t="s">
        <v>27</v>
      </c>
      <c r="J22" s="18" t="s">
        <v>28</v>
      </c>
      <c r="K22" s="18" t="s">
        <v>29</v>
      </c>
      <c r="L22" s="18" t="s">
        <v>30</v>
      </c>
      <c r="M22" s="18" t="s">
        <v>31</v>
      </c>
    </row>
    <row r="23" spans="1:13">
      <c r="A23" s="20" t="s">
        <v>159</v>
      </c>
      <c r="B23" s="20" t="e">
        <f>B7-B11</f>
        <v>#VALUE!</v>
      </c>
      <c r="C23" s="20" t="e">
        <f t="shared" ref="C23:M23" si="0">C7-C11</f>
        <v>#VALUE!</v>
      </c>
      <c r="D23" s="20" t="e">
        <f t="shared" si="0"/>
        <v>#VALUE!</v>
      </c>
      <c r="E23" s="20" t="e">
        <f t="shared" si="0"/>
        <v>#VALUE!</v>
      </c>
      <c r="F23" s="20" t="e">
        <f t="shared" si="0"/>
        <v>#VALUE!</v>
      </c>
      <c r="G23" s="20" t="e">
        <f t="shared" si="0"/>
        <v>#VALUE!</v>
      </c>
      <c r="H23" s="20" t="e">
        <f t="shared" si="0"/>
        <v>#VALUE!</v>
      </c>
      <c r="I23" s="20" t="e">
        <f t="shared" si="0"/>
        <v>#VALUE!</v>
      </c>
      <c r="J23" s="20" t="e">
        <f t="shared" si="0"/>
        <v>#VALUE!</v>
      </c>
      <c r="K23" s="20" t="e">
        <f t="shared" si="0"/>
        <v>#VALUE!</v>
      </c>
      <c r="L23" s="20" t="e">
        <f t="shared" si="0"/>
        <v>#VALUE!</v>
      </c>
      <c r="M23" s="20" t="e">
        <f t="shared" si="0"/>
        <v>#VALUE!</v>
      </c>
    </row>
    <row r="25" spans="1:13" ht="15" thickBot="1"/>
    <row r="26" spans="1:13" ht="15" thickBot="1">
      <c r="A26" s="22" t="s">
        <v>173</v>
      </c>
      <c r="B26" s="22" t="e">
        <f>B15/B7</f>
        <v>#N/A</v>
      </c>
      <c r="C26" s="22" t="e">
        <f t="shared" ref="C26:M26" si="1">C15/C7</f>
        <v>#N/A</v>
      </c>
      <c r="D26" s="22" t="e">
        <f t="shared" si="1"/>
        <v>#N/A</v>
      </c>
      <c r="E26" s="22" t="e">
        <f t="shared" si="1"/>
        <v>#N/A</v>
      </c>
      <c r="F26" s="22" t="e">
        <f t="shared" si="1"/>
        <v>#N/A</v>
      </c>
      <c r="G26" s="22" t="e">
        <f t="shared" si="1"/>
        <v>#N/A</v>
      </c>
      <c r="H26" s="22" t="e">
        <f t="shared" si="1"/>
        <v>#N/A</v>
      </c>
      <c r="I26" s="22" t="e">
        <f t="shared" si="1"/>
        <v>#N/A</v>
      </c>
      <c r="J26" s="22" t="e">
        <f t="shared" si="1"/>
        <v>#N/A</v>
      </c>
      <c r="K26" s="22" t="e">
        <f t="shared" si="1"/>
        <v>#N/A</v>
      </c>
      <c r="L26" s="22" t="e">
        <f t="shared" si="1"/>
        <v>#N/A</v>
      </c>
      <c r="M26" s="22" t="e">
        <f t="shared" si="1"/>
        <v>#N/A</v>
      </c>
    </row>
  </sheetData>
  <mergeCells count="6">
    <mergeCell ref="A21:M21"/>
    <mergeCell ref="A1:M1"/>
    <mergeCell ref="A13:M13"/>
    <mergeCell ref="A9:M9"/>
    <mergeCell ref="A5:M5"/>
    <mergeCell ref="A17:M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J87"/>
  <sheetViews>
    <sheetView topLeftCell="A49" zoomScaleNormal="100" workbookViewId="0">
      <selection activeCell="B53" sqref="B53"/>
    </sheetView>
  </sheetViews>
  <sheetFormatPr defaultRowHeight="17.25" customHeight="1"/>
  <cols>
    <col min="1" max="1" width="39.375" style="1" bestFit="1" customWidth="1"/>
    <col min="2" max="5" width="9.375" style="1" customWidth="1"/>
    <col min="6" max="6" width="10.375" style="1" customWidth="1"/>
    <col min="7" max="13" width="9.375" style="1" customWidth="1"/>
    <col min="14" max="14" width="10.625" style="1" customWidth="1"/>
    <col min="15" max="15" width="13.375" style="1" customWidth="1"/>
    <col min="16" max="16" width="11.875" style="1" customWidth="1"/>
    <col min="17" max="17" width="15.625" style="1" customWidth="1"/>
    <col min="18" max="1024" width="10.625" style="1" customWidth="1"/>
    <col min="1025" max="16384" width="9" style="2"/>
  </cols>
  <sheetData>
    <row r="1" spans="1:16" ht="17.25" customHeight="1">
      <c r="A1" s="78" t="s">
        <v>95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O1" s="80" t="s">
        <v>96</v>
      </c>
      <c r="P1" s="82"/>
    </row>
    <row r="2" spans="1:16" ht="17.25" customHeight="1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O2" s="3" t="s">
        <v>5</v>
      </c>
      <c r="P2" s="4" t="e">
        <f>VLOOKUP(Orientation, Table_Orientation_Const, 2, FALSE)</f>
        <v>#N/A</v>
      </c>
    </row>
    <row r="3" spans="1:16" ht="17.25" customHeight="1">
      <c r="A3" s="3" t="s">
        <v>187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O3" s="3"/>
      <c r="P3" s="4"/>
    </row>
    <row r="4" spans="1:16" ht="17.25" customHeight="1">
      <c r="A4" s="3" t="s">
        <v>32</v>
      </c>
      <c r="B4" s="4">
        <v>31</v>
      </c>
      <c r="C4" s="4">
        <v>28</v>
      </c>
      <c r="D4" s="4">
        <v>31</v>
      </c>
      <c r="E4" s="4">
        <v>30</v>
      </c>
      <c r="F4" s="4">
        <v>31</v>
      </c>
      <c r="G4" s="4">
        <v>30</v>
      </c>
      <c r="H4" s="4">
        <v>31</v>
      </c>
      <c r="I4" s="4">
        <v>31</v>
      </c>
      <c r="J4" s="4">
        <v>30</v>
      </c>
      <c r="K4" s="4">
        <v>31</v>
      </c>
      <c r="L4" s="4">
        <v>30</v>
      </c>
      <c r="M4" s="4">
        <v>31</v>
      </c>
      <c r="O4" s="3" t="s">
        <v>7</v>
      </c>
      <c r="P4" s="4" t="e">
        <f>VLOOKUP(Orientation, Table_Orientation_Const, 3, FALSE)</f>
        <v>#N/A</v>
      </c>
    </row>
    <row r="5" spans="1:16" ht="17.25" customHeight="1">
      <c r="A5" s="3" t="s">
        <v>185</v>
      </c>
      <c r="B5" s="4" t="e">
        <f t="shared" ref="B5:M5" si="0">VLOOKUP(Region, Mean_Ext_Temp, B3, FALSE)</f>
        <v>#N/A</v>
      </c>
      <c r="C5" s="4" t="e">
        <f t="shared" si="0"/>
        <v>#N/A</v>
      </c>
      <c r="D5" s="4" t="e">
        <f t="shared" si="0"/>
        <v>#N/A</v>
      </c>
      <c r="E5" s="4" t="e">
        <f t="shared" si="0"/>
        <v>#N/A</v>
      </c>
      <c r="F5" s="4" t="e">
        <f t="shared" si="0"/>
        <v>#N/A</v>
      </c>
      <c r="G5" s="4" t="e">
        <f t="shared" si="0"/>
        <v>#N/A</v>
      </c>
      <c r="H5" s="4" t="e">
        <f t="shared" si="0"/>
        <v>#N/A</v>
      </c>
      <c r="I5" s="4" t="e">
        <f t="shared" si="0"/>
        <v>#N/A</v>
      </c>
      <c r="J5" s="4" t="e">
        <f t="shared" si="0"/>
        <v>#N/A</v>
      </c>
      <c r="K5" s="4" t="e">
        <f t="shared" si="0"/>
        <v>#N/A</v>
      </c>
      <c r="L5" s="4" t="e">
        <f t="shared" si="0"/>
        <v>#N/A</v>
      </c>
      <c r="M5" s="4" t="e">
        <f t="shared" si="0"/>
        <v>#N/A</v>
      </c>
      <c r="O5" s="3"/>
      <c r="P5" s="4"/>
    </row>
    <row r="6" spans="1:16" ht="17.25" customHeight="1">
      <c r="A6" s="3" t="s">
        <v>189</v>
      </c>
      <c r="B6" s="4">
        <v>40</v>
      </c>
      <c r="C6" s="4">
        <v>40</v>
      </c>
      <c r="D6" s="4">
        <v>40</v>
      </c>
      <c r="E6" s="4">
        <v>40</v>
      </c>
      <c r="F6" s="4">
        <v>40</v>
      </c>
      <c r="G6" s="4">
        <v>40</v>
      </c>
      <c r="H6" s="4">
        <v>40</v>
      </c>
      <c r="I6" s="4">
        <v>40</v>
      </c>
      <c r="J6" s="4">
        <v>40</v>
      </c>
      <c r="K6" s="4">
        <v>40</v>
      </c>
      <c r="L6" s="4">
        <v>40</v>
      </c>
      <c r="M6" s="4">
        <v>40</v>
      </c>
      <c r="O6" s="3"/>
      <c r="P6" s="4"/>
    </row>
    <row r="7" spans="1:16" ht="17.25" customHeight="1">
      <c r="A7" s="3" t="s">
        <v>100</v>
      </c>
      <c r="B7" s="4">
        <v>-20.7</v>
      </c>
      <c r="C7" s="4">
        <v>-12.8</v>
      </c>
      <c r="D7" s="4">
        <v>-1.8</v>
      </c>
      <c r="E7" s="4">
        <v>9.8000000000000007</v>
      </c>
      <c r="F7" s="4">
        <v>18.8</v>
      </c>
      <c r="G7" s="4">
        <v>23.1</v>
      </c>
      <c r="H7" s="4">
        <v>21.2</v>
      </c>
      <c r="I7" s="4">
        <v>13.7</v>
      </c>
      <c r="J7" s="4">
        <v>2.9</v>
      </c>
      <c r="K7" s="4">
        <v>-8.6999999999999993</v>
      </c>
      <c r="L7" s="4">
        <v>-18.399999999999999</v>
      </c>
      <c r="M7" s="4">
        <v>-23</v>
      </c>
      <c r="O7" s="3" t="s">
        <v>8</v>
      </c>
      <c r="P7" s="4" t="e">
        <f>VLOOKUP(Orientation, Table_Orientation_Const, 4, FALSE)</f>
        <v>#N/A</v>
      </c>
    </row>
    <row r="8" spans="1:16" ht="17.25" customHeight="1">
      <c r="A8" s="3" t="s">
        <v>101</v>
      </c>
      <c r="B8" s="4" t="e">
        <f t="shared" ref="B8:M8" si="1">VLOOKUP(Region, Table_Mean_Hor_Rad, B3, FALSE)</f>
        <v>#N/A</v>
      </c>
      <c r="C8" s="4" t="e">
        <f t="shared" si="1"/>
        <v>#N/A</v>
      </c>
      <c r="D8" s="4" t="e">
        <f t="shared" si="1"/>
        <v>#N/A</v>
      </c>
      <c r="E8" s="4" t="e">
        <f t="shared" si="1"/>
        <v>#N/A</v>
      </c>
      <c r="F8" s="4" t="e">
        <f t="shared" si="1"/>
        <v>#N/A</v>
      </c>
      <c r="G8" s="4" t="e">
        <f t="shared" si="1"/>
        <v>#N/A</v>
      </c>
      <c r="H8" s="4" t="e">
        <f t="shared" si="1"/>
        <v>#N/A</v>
      </c>
      <c r="I8" s="4" t="e">
        <f t="shared" si="1"/>
        <v>#N/A</v>
      </c>
      <c r="J8" s="4" t="e">
        <f t="shared" si="1"/>
        <v>#N/A</v>
      </c>
      <c r="K8" s="4" t="e">
        <f t="shared" si="1"/>
        <v>#N/A</v>
      </c>
      <c r="L8" s="4" t="e">
        <f t="shared" si="1"/>
        <v>#N/A</v>
      </c>
      <c r="M8" s="4" t="e">
        <f t="shared" si="1"/>
        <v>#N/A</v>
      </c>
      <c r="O8" s="3" t="s">
        <v>9</v>
      </c>
      <c r="P8" s="4" t="e">
        <f>VLOOKUP(Orientation, Table_Orientation_Const, 5, FALSE)</f>
        <v>#N/A</v>
      </c>
    </row>
    <row r="9" spans="1:16" ht="17.25" customHeight="1">
      <c r="A9" s="3" t="s">
        <v>184</v>
      </c>
      <c r="B9" s="5" t="e">
        <f t="shared" ref="B9:M9" si="2">X*COS((Latitude-B7)*PI()/180)^2+Y*COS((Latitude-B7)*PI()/180)+Z</f>
        <v>#N/A</v>
      </c>
      <c r="C9" s="5" t="e">
        <f t="shared" si="2"/>
        <v>#N/A</v>
      </c>
      <c r="D9" s="5" t="e">
        <f t="shared" si="2"/>
        <v>#N/A</v>
      </c>
      <c r="E9" s="5" t="e">
        <f t="shared" si="2"/>
        <v>#N/A</v>
      </c>
      <c r="F9" s="5" t="e">
        <f t="shared" si="2"/>
        <v>#N/A</v>
      </c>
      <c r="G9" s="5" t="e">
        <f t="shared" si="2"/>
        <v>#N/A</v>
      </c>
      <c r="H9" s="5" t="e">
        <f t="shared" si="2"/>
        <v>#N/A</v>
      </c>
      <c r="I9" s="5" t="e">
        <f t="shared" si="2"/>
        <v>#N/A</v>
      </c>
      <c r="J9" s="5" t="e">
        <f t="shared" si="2"/>
        <v>#N/A</v>
      </c>
      <c r="K9" s="5" t="e">
        <f t="shared" si="2"/>
        <v>#N/A</v>
      </c>
      <c r="L9" s="5" t="e">
        <f t="shared" si="2"/>
        <v>#N/A</v>
      </c>
      <c r="M9" s="5" t="e">
        <f t="shared" si="2"/>
        <v>#N/A</v>
      </c>
      <c r="O9" s="3" t="s">
        <v>10</v>
      </c>
      <c r="P9" s="4" t="e">
        <f>VLOOKUP(Orientation, Table_Orientation_Const, 6, FALSE)</f>
        <v>#N/A</v>
      </c>
    </row>
    <row r="10" spans="1:16" ht="17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O10" s="3" t="s">
        <v>11</v>
      </c>
      <c r="P10" s="4" t="e">
        <f>VLOOKUP(Orientation, Table_Orientation_Const, 7, FALSE)</f>
        <v>#N/A</v>
      </c>
    </row>
    <row r="11" spans="1:16" ht="17.25" customHeight="1">
      <c r="A11" s="80" t="s">
        <v>108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  <c r="O11" s="3" t="s">
        <v>12</v>
      </c>
      <c r="P11" s="4" t="e">
        <f>VLOOKUP(Orientation, Table_Orientation_Const, 8, FALSE)</f>
        <v>#N/A</v>
      </c>
    </row>
    <row r="12" spans="1:16" ht="17.25" customHeight="1">
      <c r="A12" s="3" t="s">
        <v>19</v>
      </c>
      <c r="B12" s="3" t="s">
        <v>20</v>
      </c>
      <c r="C12" s="3" t="s">
        <v>21</v>
      </c>
      <c r="D12" s="3" t="s">
        <v>22</v>
      </c>
      <c r="E12" s="3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28</v>
      </c>
      <c r="K12" s="3" t="s">
        <v>29</v>
      </c>
      <c r="L12" s="3" t="s">
        <v>30</v>
      </c>
      <c r="M12" s="3" t="s">
        <v>31</v>
      </c>
      <c r="O12" s="3" t="s">
        <v>13</v>
      </c>
      <c r="P12" s="4" t="e">
        <f>VLOOKUP(Orientation, Table_Orientation_Const, 9, FALSE)</f>
        <v>#N/A</v>
      </c>
    </row>
    <row r="13" spans="1:16" ht="17.25" customHeight="1">
      <c r="A13" s="3" t="s">
        <v>106</v>
      </c>
      <c r="B13" s="5" t="e">
        <f t="shared" ref="B13:M13" si="3">B8*B9</f>
        <v>#N/A</v>
      </c>
      <c r="C13" s="5" t="e">
        <f t="shared" si="3"/>
        <v>#N/A</v>
      </c>
      <c r="D13" s="5" t="e">
        <f t="shared" si="3"/>
        <v>#N/A</v>
      </c>
      <c r="E13" s="5" t="e">
        <f t="shared" si="3"/>
        <v>#N/A</v>
      </c>
      <c r="F13" s="5" t="e">
        <f t="shared" si="3"/>
        <v>#N/A</v>
      </c>
      <c r="G13" s="5" t="e">
        <f t="shared" si="3"/>
        <v>#N/A</v>
      </c>
      <c r="H13" s="5" t="e">
        <f t="shared" si="3"/>
        <v>#N/A</v>
      </c>
      <c r="I13" s="5" t="e">
        <f t="shared" si="3"/>
        <v>#N/A</v>
      </c>
      <c r="J13" s="5" t="e">
        <f t="shared" si="3"/>
        <v>#N/A</v>
      </c>
      <c r="K13" s="5" t="e">
        <f t="shared" si="3"/>
        <v>#N/A</v>
      </c>
      <c r="L13" s="5" t="e">
        <f t="shared" si="3"/>
        <v>#N/A</v>
      </c>
      <c r="M13" s="5" t="e">
        <f t="shared" si="3"/>
        <v>#N/A</v>
      </c>
      <c r="O13" s="3" t="s">
        <v>14</v>
      </c>
      <c r="P13" s="4" t="e">
        <f>VLOOKUP(Orientation, Table_Orientation_Const, 10, FALSE)</f>
        <v>#N/A</v>
      </c>
    </row>
    <row r="15" spans="1:16" ht="17.25" customHeight="1">
      <c r="A15" s="80" t="s">
        <v>109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  <c r="O15" s="80" t="s">
        <v>102</v>
      </c>
      <c r="P15" s="82"/>
    </row>
    <row r="16" spans="1:16" ht="17.25" customHeight="1">
      <c r="A16" s="3" t="s">
        <v>19</v>
      </c>
      <c r="B16" s="3" t="s">
        <v>20</v>
      </c>
      <c r="C16" s="3" t="s">
        <v>21</v>
      </c>
      <c r="D16" s="3" t="s">
        <v>22</v>
      </c>
      <c r="E16" s="3" t="s">
        <v>23</v>
      </c>
      <c r="F16" s="3" t="s">
        <v>24</v>
      </c>
      <c r="G16" s="3" t="s">
        <v>25</v>
      </c>
      <c r="H16" s="3" t="s">
        <v>26</v>
      </c>
      <c r="I16" s="3" t="s">
        <v>27</v>
      </c>
      <c r="J16" s="3" t="s">
        <v>28</v>
      </c>
      <c r="K16" s="3" t="s">
        <v>29</v>
      </c>
      <c r="L16" s="3" t="s">
        <v>30</v>
      </c>
      <c r="M16" s="3" t="s">
        <v>31</v>
      </c>
      <c r="O16" s="3" t="s">
        <v>97</v>
      </c>
      <c r="P16" s="3" t="e">
        <f>K_1*(SIN((Tilt*PI()/180)/2))^3+K_2*(SIN((Tilt*PI()/180)/2))^2+K_3*SIN((Tilt*PI()/180)/2)</f>
        <v>#N/A</v>
      </c>
    </row>
    <row r="17" spans="1:16" ht="17.25" customHeight="1">
      <c r="A17" s="3" t="s">
        <v>107</v>
      </c>
      <c r="B17" s="6" t="e">
        <f t="shared" ref="B17:M17" si="4">0.024*B13*B4</f>
        <v>#N/A</v>
      </c>
      <c r="C17" s="6" t="e">
        <f t="shared" si="4"/>
        <v>#N/A</v>
      </c>
      <c r="D17" s="6" t="e">
        <f t="shared" si="4"/>
        <v>#N/A</v>
      </c>
      <c r="E17" s="6" t="e">
        <f t="shared" si="4"/>
        <v>#N/A</v>
      </c>
      <c r="F17" s="6" t="e">
        <f t="shared" si="4"/>
        <v>#N/A</v>
      </c>
      <c r="G17" s="6" t="e">
        <f t="shared" si="4"/>
        <v>#N/A</v>
      </c>
      <c r="H17" s="6" t="e">
        <f t="shared" si="4"/>
        <v>#N/A</v>
      </c>
      <c r="I17" s="6" t="e">
        <f t="shared" si="4"/>
        <v>#N/A</v>
      </c>
      <c r="J17" s="6" t="e">
        <f t="shared" si="4"/>
        <v>#N/A</v>
      </c>
      <c r="K17" s="6" t="e">
        <f t="shared" si="4"/>
        <v>#N/A</v>
      </c>
      <c r="L17" s="6" t="e">
        <f t="shared" si="4"/>
        <v>#N/A</v>
      </c>
      <c r="M17" s="6" t="e">
        <f t="shared" si="4"/>
        <v>#N/A</v>
      </c>
      <c r="O17" s="3" t="s">
        <v>98</v>
      </c>
      <c r="P17" s="3" t="e">
        <f>K_4*(SIN((Tilt*PI()/180)/2))^3+K_5*(SIN((Tilt*PI()/180)/2))^2+K_6*SIN((Tilt*PI()/180)/2)</f>
        <v>#N/A</v>
      </c>
    </row>
    <row r="18" spans="1:16" ht="17.25" customHeight="1">
      <c r="O18" s="3" t="s">
        <v>99</v>
      </c>
      <c r="P18" s="3" t="e">
        <f>K_7*(SIN((Tilt*PI()/180)/2))^3+K_8*(SIN((Tilt*PI()/180)/2))^2+K_9*SIN((Tilt*PI()/180)/2)+1</f>
        <v>#N/A</v>
      </c>
    </row>
    <row r="19" spans="1:16" ht="17.25" customHeight="1">
      <c r="A19" s="78" t="s">
        <v>160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6" ht="17.25" customHeight="1">
      <c r="A20" s="3" t="s">
        <v>19</v>
      </c>
      <c r="B20" s="3" t="s">
        <v>20</v>
      </c>
      <c r="C20" s="3" t="s">
        <v>21</v>
      </c>
      <c r="D20" s="3" t="s">
        <v>22</v>
      </c>
      <c r="E20" s="3" t="s">
        <v>23</v>
      </c>
      <c r="F20" s="3" t="s">
        <v>24</v>
      </c>
      <c r="G20" s="3" t="s">
        <v>25</v>
      </c>
      <c r="H20" s="3" t="s">
        <v>26</v>
      </c>
      <c r="I20" s="3" t="s">
        <v>27</v>
      </c>
      <c r="J20" s="3" t="s">
        <v>28</v>
      </c>
      <c r="K20" s="3" t="s">
        <v>29</v>
      </c>
      <c r="L20" s="3" t="s">
        <v>30</v>
      </c>
      <c r="M20" s="3" t="s">
        <v>31</v>
      </c>
    </row>
    <row r="21" spans="1:16" ht="17.25" customHeight="1">
      <c r="A21" s="3" t="s">
        <v>107</v>
      </c>
      <c r="B21" s="3" t="e">
        <f>B17*Aperture*eta_0*Overshading</f>
        <v>#N/A</v>
      </c>
      <c r="C21" s="3" t="e">
        <f t="shared" ref="C21:M21" si="5">C17*Aperture*eta_0*Overshading</f>
        <v>#N/A</v>
      </c>
      <c r="D21" s="3" t="e">
        <f t="shared" si="5"/>
        <v>#N/A</v>
      </c>
      <c r="E21" s="3" t="e">
        <f t="shared" si="5"/>
        <v>#N/A</v>
      </c>
      <c r="F21" s="3" t="e">
        <f t="shared" si="5"/>
        <v>#N/A</v>
      </c>
      <c r="G21" s="3" t="e">
        <f t="shared" si="5"/>
        <v>#N/A</v>
      </c>
      <c r="H21" s="3" t="e">
        <f t="shared" si="5"/>
        <v>#N/A</v>
      </c>
      <c r="I21" s="3" t="e">
        <f t="shared" si="5"/>
        <v>#N/A</v>
      </c>
      <c r="J21" s="3" t="e">
        <f t="shared" si="5"/>
        <v>#N/A</v>
      </c>
      <c r="K21" s="3" t="e">
        <f t="shared" si="5"/>
        <v>#N/A</v>
      </c>
      <c r="L21" s="3" t="e">
        <f t="shared" si="5"/>
        <v>#N/A</v>
      </c>
      <c r="M21" s="3" t="e">
        <f t="shared" si="5"/>
        <v>#N/A</v>
      </c>
    </row>
    <row r="23" spans="1:16" ht="17.25" customHeight="1">
      <c r="A23" s="78" t="s">
        <v>161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6" ht="17.25" customHeight="1">
      <c r="A24" s="3" t="s">
        <v>19</v>
      </c>
      <c r="B24" s="3" t="s">
        <v>20</v>
      </c>
      <c r="C24" s="3" t="s">
        <v>21</v>
      </c>
      <c r="D24" s="3" t="s">
        <v>22</v>
      </c>
      <c r="E24" s="3" t="s">
        <v>23</v>
      </c>
      <c r="F24" s="3" t="s">
        <v>24</v>
      </c>
      <c r="G24" s="3" t="s">
        <v>25</v>
      </c>
      <c r="H24" s="3" t="s">
        <v>26</v>
      </c>
      <c r="I24" s="3" t="s">
        <v>27</v>
      </c>
      <c r="J24" s="3" t="s">
        <v>28</v>
      </c>
      <c r="K24" s="3" t="s">
        <v>29</v>
      </c>
      <c r="L24" s="3" t="s">
        <v>30</v>
      </c>
      <c r="M24" s="3" t="s">
        <v>31</v>
      </c>
    </row>
    <row r="25" spans="1:16" ht="17.25" customHeight="1">
      <c r="A25" s="3" t="s">
        <v>107</v>
      </c>
      <c r="B25" s="3" t="e">
        <f t="shared" ref="B25:M25" si="6">B17*Aperture*eta_0*Overshading*f_1</f>
        <v>#N/A</v>
      </c>
      <c r="C25" s="3" t="e">
        <f t="shared" si="6"/>
        <v>#N/A</v>
      </c>
      <c r="D25" s="3" t="e">
        <f t="shared" si="6"/>
        <v>#N/A</v>
      </c>
      <c r="E25" s="3" t="e">
        <f t="shared" si="6"/>
        <v>#N/A</v>
      </c>
      <c r="F25" s="3" t="e">
        <f t="shared" si="6"/>
        <v>#N/A</v>
      </c>
      <c r="G25" s="3" t="e">
        <f t="shared" si="6"/>
        <v>#N/A</v>
      </c>
      <c r="H25" s="3" t="e">
        <f t="shared" si="6"/>
        <v>#N/A</v>
      </c>
      <c r="I25" s="3" t="e">
        <f t="shared" si="6"/>
        <v>#N/A</v>
      </c>
      <c r="J25" s="3" t="e">
        <f t="shared" si="6"/>
        <v>#N/A</v>
      </c>
      <c r="K25" s="3" t="e">
        <f t="shared" si="6"/>
        <v>#N/A</v>
      </c>
      <c r="L25" s="3" t="e">
        <f t="shared" si="6"/>
        <v>#N/A</v>
      </c>
      <c r="M25" s="3" t="e">
        <f t="shared" si="6"/>
        <v>#N/A</v>
      </c>
    </row>
    <row r="27" spans="1:16" ht="17.25" customHeight="1">
      <c r="A27" s="78" t="s">
        <v>162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6" ht="17.25" customHeight="1">
      <c r="A28" s="3" t="s">
        <v>19</v>
      </c>
      <c r="B28" s="3" t="s">
        <v>20</v>
      </c>
      <c r="C28" s="3" t="s">
        <v>21</v>
      </c>
      <c r="D28" s="3" t="s">
        <v>22</v>
      </c>
      <c r="E28" s="3" t="s">
        <v>23</v>
      </c>
      <c r="F28" s="3" t="s">
        <v>24</v>
      </c>
      <c r="G28" s="3" t="s">
        <v>25</v>
      </c>
      <c r="H28" s="3" t="s">
        <v>26</v>
      </c>
      <c r="I28" s="3" t="s">
        <v>27</v>
      </c>
      <c r="J28" s="3" t="s">
        <v>28</v>
      </c>
      <c r="K28" s="3" t="s">
        <v>29</v>
      </c>
      <c r="L28" s="3" t="s">
        <v>30</v>
      </c>
      <c r="M28" s="3" t="s">
        <v>31</v>
      </c>
    </row>
    <row r="29" spans="1:16" ht="17.25" customHeight="1">
      <c r="A29" s="3" t="s">
        <v>107</v>
      </c>
      <c r="B29" s="3" t="e">
        <f t="shared" ref="B29:M29" si="7">B17*Aperture*eta_0*Overshading*f_1*UF</f>
        <v>#N/A</v>
      </c>
      <c r="C29" s="3" t="e">
        <f t="shared" si="7"/>
        <v>#N/A</v>
      </c>
      <c r="D29" s="3" t="e">
        <f t="shared" si="7"/>
        <v>#N/A</v>
      </c>
      <c r="E29" s="3" t="e">
        <f t="shared" si="7"/>
        <v>#N/A</v>
      </c>
      <c r="F29" s="3" t="e">
        <f t="shared" si="7"/>
        <v>#N/A</v>
      </c>
      <c r="G29" s="3" t="e">
        <f t="shared" si="7"/>
        <v>#N/A</v>
      </c>
      <c r="H29" s="3" t="e">
        <f t="shared" si="7"/>
        <v>#N/A</v>
      </c>
      <c r="I29" s="3" t="e">
        <f t="shared" si="7"/>
        <v>#N/A</v>
      </c>
      <c r="J29" s="3" t="e">
        <f t="shared" si="7"/>
        <v>#N/A</v>
      </c>
      <c r="K29" s="3" t="e">
        <f t="shared" si="7"/>
        <v>#N/A</v>
      </c>
      <c r="L29" s="3" t="e">
        <f t="shared" si="7"/>
        <v>#N/A</v>
      </c>
      <c r="M29" s="3" t="e">
        <f t="shared" si="7"/>
        <v>#N/A</v>
      </c>
    </row>
    <row r="31" spans="1:16" ht="17.25" customHeight="1">
      <c r="A31" s="78" t="s">
        <v>163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</row>
    <row r="32" spans="1:16" ht="17.25" customHeight="1">
      <c r="A32" s="3" t="s">
        <v>19</v>
      </c>
      <c r="B32" s="3" t="s">
        <v>20</v>
      </c>
      <c r="C32" s="3" t="s">
        <v>21</v>
      </c>
      <c r="D32" s="3" t="s">
        <v>22</v>
      </c>
      <c r="E32" s="3" t="s">
        <v>23</v>
      </c>
      <c r="F32" s="3" t="s">
        <v>24</v>
      </c>
      <c r="G32" s="3" t="s">
        <v>25</v>
      </c>
      <c r="H32" s="3" t="s">
        <v>26</v>
      </c>
      <c r="I32" s="3" t="s">
        <v>27</v>
      </c>
      <c r="J32" s="3" t="s">
        <v>28</v>
      </c>
      <c r="K32" s="3" t="s">
        <v>29</v>
      </c>
      <c r="L32" s="3" t="s">
        <v>30</v>
      </c>
      <c r="M32" s="3" t="s">
        <v>31</v>
      </c>
    </row>
    <row r="33" spans="1:13" ht="17.25" customHeight="1">
      <c r="A33" s="3" t="s">
        <v>107</v>
      </c>
      <c r="B33" s="3" t="e">
        <f t="shared" ref="B33:M33" si="8">B29*f_2</f>
        <v>#N/A</v>
      </c>
      <c r="C33" s="3" t="e">
        <f t="shared" si="8"/>
        <v>#N/A</v>
      </c>
      <c r="D33" s="3" t="e">
        <f t="shared" si="8"/>
        <v>#N/A</v>
      </c>
      <c r="E33" s="3" t="e">
        <f t="shared" si="8"/>
        <v>#N/A</v>
      </c>
      <c r="F33" s="3" t="e">
        <f t="shared" si="8"/>
        <v>#N/A</v>
      </c>
      <c r="G33" s="3" t="e">
        <f t="shared" si="8"/>
        <v>#N/A</v>
      </c>
      <c r="H33" s="3" t="e">
        <f t="shared" si="8"/>
        <v>#N/A</v>
      </c>
      <c r="I33" s="3" t="e">
        <f t="shared" si="8"/>
        <v>#N/A</v>
      </c>
      <c r="J33" s="3" t="e">
        <f t="shared" si="8"/>
        <v>#N/A</v>
      </c>
      <c r="K33" s="3" t="e">
        <f t="shared" si="8"/>
        <v>#N/A</v>
      </c>
      <c r="L33" s="3" t="e">
        <f t="shared" si="8"/>
        <v>#N/A</v>
      </c>
      <c r="M33" s="3" t="e">
        <f t="shared" si="8"/>
        <v>#N/A</v>
      </c>
    </row>
    <row r="35" spans="1:13" ht="17.25" customHeight="1">
      <c r="A35" s="78" t="s">
        <v>190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6" spans="1:13" ht="17.25" customHeight="1">
      <c r="A36" s="3" t="s">
        <v>19</v>
      </c>
      <c r="B36" s="3" t="s">
        <v>20</v>
      </c>
      <c r="C36" s="3" t="s">
        <v>21</v>
      </c>
      <c r="D36" s="3" t="s">
        <v>22</v>
      </c>
      <c r="E36" s="3" t="s">
        <v>23</v>
      </c>
      <c r="F36" s="3" t="s">
        <v>24</v>
      </c>
      <c r="G36" s="3" t="s">
        <v>25</v>
      </c>
      <c r="H36" s="3" t="s">
        <v>26</v>
      </c>
      <c r="I36" s="3" t="s">
        <v>27</v>
      </c>
      <c r="J36" s="3" t="s">
        <v>28</v>
      </c>
      <c r="K36" s="3" t="s">
        <v>29</v>
      </c>
      <c r="L36" s="3" t="s">
        <v>30</v>
      </c>
      <c r="M36" s="3" t="s">
        <v>31</v>
      </c>
    </row>
    <row r="37" spans="1:13" ht="17.25" customHeight="1">
      <c r="A37" s="3" t="s">
        <v>203</v>
      </c>
      <c r="B37" s="3" t="e">
        <f>1-EXP(-1/(B17/B53))</f>
        <v>#N/A</v>
      </c>
      <c r="C37" s="3" t="e">
        <f>1-EXP(-1/(C17/C53))</f>
        <v>#N/A</v>
      </c>
      <c r="D37" s="3" t="e">
        <f>1-EXP(-1/(D17/D53))</f>
        <v>#N/A</v>
      </c>
      <c r="E37" s="3" t="e">
        <f>1-EXP(-1/(E17/E53))</f>
        <v>#N/A</v>
      </c>
      <c r="F37" s="3" t="e">
        <f>1-EXP(-1/(F17/F53))</f>
        <v>#N/A</v>
      </c>
      <c r="G37" s="3" t="e">
        <f>1-EXP(-1/(G17/G53))</f>
        <v>#N/A</v>
      </c>
      <c r="H37" s="3" t="e">
        <f>1-EXP(-1/(H17/H53))</f>
        <v>#N/A</v>
      </c>
      <c r="I37" s="3" t="e">
        <f>1-EXP(-1/(I17/I53))</f>
        <v>#N/A</v>
      </c>
      <c r="J37" s="3" t="e">
        <f>1-EXP(-1/(J17/J53))</f>
        <v>#N/A</v>
      </c>
      <c r="K37" s="3" t="e">
        <f>1-EXP(-1/(K17/K53))</f>
        <v>#N/A</v>
      </c>
      <c r="L37" s="3" t="e">
        <f>1-EXP(-1/(L17/L53))</f>
        <v>#N/A</v>
      </c>
      <c r="M37" s="3" t="e">
        <f>1-EXP(-1/(M17/M53))</f>
        <v>#N/A</v>
      </c>
    </row>
    <row r="38" spans="1:13" ht="17.25" customHeight="1">
      <c r="A38" s="3" t="s">
        <v>204</v>
      </c>
      <c r="B38" s="3" t="e">
        <f>1+0.2*LN(Effecive_Solar_Volume/B47)</f>
        <v>#VALUE!</v>
      </c>
      <c r="C38" s="3" t="e">
        <f>1+0.2*LN(Effecive_Solar_Volume/C47)</f>
        <v>#VALUE!</v>
      </c>
      <c r="D38" s="3" t="e">
        <f>1+0.2*LN(Effecive_Solar_Volume/D47)</f>
        <v>#VALUE!</v>
      </c>
      <c r="E38" s="3" t="e">
        <f>1+0.2*LN(Effecive_Solar_Volume/E47)</f>
        <v>#VALUE!</v>
      </c>
      <c r="F38" s="3" t="e">
        <f>1+0.2*LN(Effecive_Solar_Volume/F47)</f>
        <v>#VALUE!</v>
      </c>
      <c r="G38" s="3" t="e">
        <f>1+0.2*LN(Effecive_Solar_Volume/G47)</f>
        <v>#VALUE!</v>
      </c>
      <c r="H38" s="3" t="e">
        <f>1+0.2*LN(Effecive_Solar_Volume/H47)</f>
        <v>#VALUE!</v>
      </c>
      <c r="I38" s="3" t="e">
        <f>1+0.2*LN(Effecive_Solar_Volume/I47)</f>
        <v>#VALUE!</v>
      </c>
      <c r="J38" s="3" t="e">
        <f>1+0.2*LN(Effecive_Solar_Volume/J47)</f>
        <v>#VALUE!</v>
      </c>
      <c r="K38" s="3" t="e">
        <f>1+0.2*LN(Effecive_Solar_Volume/K47)</f>
        <v>#VALUE!</v>
      </c>
      <c r="L38" s="3" t="e">
        <f>1+0.2*LN(Effecive_Solar_Volume/L47)</f>
        <v>#VALUE!</v>
      </c>
      <c r="M38" s="3" t="e">
        <f>1+0.2*LN(Effecive_Solar_Volume/M47)</f>
        <v>#VALUE!</v>
      </c>
    </row>
    <row r="39" spans="1:13" ht="17.25" customHeight="1">
      <c r="A39" s="3" t="s">
        <v>205</v>
      </c>
      <c r="B39" s="3" t="e">
        <f>B37*B38</f>
        <v>#N/A</v>
      </c>
      <c r="C39" s="3" t="e">
        <f t="shared" ref="C39:M39" si="9">C37*C38</f>
        <v>#N/A</v>
      </c>
      <c r="D39" s="3" t="e">
        <f t="shared" si="9"/>
        <v>#N/A</v>
      </c>
      <c r="E39" s="3" t="e">
        <f t="shared" si="9"/>
        <v>#N/A</v>
      </c>
      <c r="F39" s="3" t="e">
        <f t="shared" si="9"/>
        <v>#N/A</v>
      </c>
      <c r="G39" s="3" t="e">
        <f t="shared" si="9"/>
        <v>#N/A</v>
      </c>
      <c r="H39" s="3" t="e">
        <f t="shared" si="9"/>
        <v>#N/A</v>
      </c>
      <c r="I39" s="3" t="e">
        <f t="shared" si="9"/>
        <v>#N/A</v>
      </c>
      <c r="J39" s="3" t="e">
        <f t="shared" si="9"/>
        <v>#N/A</v>
      </c>
      <c r="K39" s="3" t="e">
        <f t="shared" si="9"/>
        <v>#N/A</v>
      </c>
      <c r="L39" s="3" t="e">
        <f t="shared" si="9"/>
        <v>#N/A</v>
      </c>
      <c r="M39" s="3" t="e">
        <f t="shared" si="9"/>
        <v>#N/A</v>
      </c>
    </row>
    <row r="40" spans="1:13" ht="17.25" customHeight="1">
      <c r="A40" s="3" t="s">
        <v>191</v>
      </c>
      <c r="B40" s="3" t="e">
        <f>B39/AVERAGE(UF_f2)</f>
        <v>#N/A</v>
      </c>
      <c r="C40" s="3" t="e">
        <f>C39/AVERAGE(UF_f2)</f>
        <v>#N/A</v>
      </c>
      <c r="D40" s="3" t="e">
        <f>D39/AVERAGE(UF_f2)</f>
        <v>#N/A</v>
      </c>
      <c r="E40" s="3" t="e">
        <f>E39/AVERAGE(UF_f2)</f>
        <v>#N/A</v>
      </c>
      <c r="F40" s="3" t="e">
        <f>F39/AVERAGE(UF_f2)</f>
        <v>#N/A</v>
      </c>
      <c r="G40" s="3" t="e">
        <f>G39/AVERAGE(UF_f2)</f>
        <v>#N/A</v>
      </c>
      <c r="H40" s="3" t="e">
        <f>H39/AVERAGE(UF_f2)</f>
        <v>#N/A</v>
      </c>
      <c r="I40" s="3" t="e">
        <f>I39/AVERAGE(UF_f2)</f>
        <v>#N/A</v>
      </c>
      <c r="J40" s="3" t="e">
        <f>J39/AVERAGE(UF_f2)</f>
        <v>#N/A</v>
      </c>
      <c r="K40" s="3" t="e">
        <f>K39/AVERAGE(UF_f2)</f>
        <v>#N/A</v>
      </c>
      <c r="L40" s="3" t="e">
        <f>L39/AVERAGE(UF_f2)</f>
        <v>#N/A</v>
      </c>
      <c r="M40" s="3" t="e">
        <f>M39/AVERAGE(UF_f2)</f>
        <v>#N/A</v>
      </c>
    </row>
    <row r="41" spans="1:13" ht="17.25" customHeight="1">
      <c r="A41" s="3" t="s">
        <v>188</v>
      </c>
      <c r="B41" s="3" t="e">
        <f>B40*B25</f>
        <v>#N/A</v>
      </c>
      <c r="C41" s="3" t="e">
        <f t="shared" ref="C41:M41" si="10">C40*C25</f>
        <v>#N/A</v>
      </c>
      <c r="D41" s="3" t="e">
        <f t="shared" si="10"/>
        <v>#N/A</v>
      </c>
      <c r="E41" s="3" t="e">
        <f t="shared" si="10"/>
        <v>#N/A</v>
      </c>
      <c r="F41" s="3" t="e">
        <f t="shared" si="10"/>
        <v>#N/A</v>
      </c>
      <c r="G41" s="3" t="e">
        <f t="shared" si="10"/>
        <v>#N/A</v>
      </c>
      <c r="H41" s="3" t="e">
        <f t="shared" si="10"/>
        <v>#N/A</v>
      </c>
      <c r="I41" s="3" t="e">
        <f t="shared" si="10"/>
        <v>#N/A</v>
      </c>
      <c r="J41" s="3" t="e">
        <f t="shared" si="10"/>
        <v>#N/A</v>
      </c>
      <c r="K41" s="3" t="e">
        <f t="shared" si="10"/>
        <v>#N/A</v>
      </c>
      <c r="L41" s="3" t="e">
        <f t="shared" si="10"/>
        <v>#N/A</v>
      </c>
      <c r="M41" s="3" t="e">
        <f t="shared" si="10"/>
        <v>#N/A</v>
      </c>
    </row>
    <row r="43" spans="1:13" ht="17.25" customHeight="1">
      <c r="A43" s="79" t="s">
        <v>125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5" spans="1:13" ht="17.25" customHeight="1">
      <c r="A45" s="80" t="s">
        <v>123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</row>
    <row r="46" spans="1:13" ht="17.25" customHeight="1">
      <c r="A46" s="3" t="s">
        <v>19</v>
      </c>
      <c r="B46" s="3" t="s">
        <v>20</v>
      </c>
      <c r="C46" s="3" t="s">
        <v>21</v>
      </c>
      <c r="D46" s="3" t="s">
        <v>22</v>
      </c>
      <c r="E46" s="3" t="s">
        <v>23</v>
      </c>
      <c r="F46" s="3" t="s">
        <v>24</v>
      </c>
      <c r="G46" s="3" t="s">
        <v>25</v>
      </c>
      <c r="H46" s="3" t="s">
        <v>26</v>
      </c>
      <c r="I46" s="3" t="s">
        <v>27</v>
      </c>
      <c r="J46" s="3" t="s">
        <v>28</v>
      </c>
      <c r="K46" s="3" t="s">
        <v>29</v>
      </c>
      <c r="L46" s="3" t="s">
        <v>30</v>
      </c>
      <c r="M46" s="3" t="s">
        <v>31</v>
      </c>
    </row>
    <row r="47" spans="1:13" ht="17.25" customHeight="1">
      <c r="A47" s="3" t="s">
        <v>124</v>
      </c>
      <c r="B47" s="3" t="e">
        <f>IF(Actual_hot_water_use=0, Hot_water_use*Tables!AQ3, Actual_hot_water_use*Tables!AQ3)</f>
        <v>#VALUE!</v>
      </c>
      <c r="C47" s="3" t="e">
        <f>IF(Actual_hot_water_use=0, Hot_water_use*Tables!AR3, Actual_hot_water_use*Tables!AR3)</f>
        <v>#VALUE!</v>
      </c>
      <c r="D47" s="3" t="e">
        <f>IF(Actual_hot_water_use=0, Hot_water_use*Tables!AS3, Actual_hot_water_use*Tables!AS3)</f>
        <v>#VALUE!</v>
      </c>
      <c r="E47" s="3" t="e">
        <f>IF(Actual_hot_water_use=0, Hot_water_use*Tables!AT3, Actual_hot_water_use*Tables!AT3)</f>
        <v>#VALUE!</v>
      </c>
      <c r="F47" s="3" t="e">
        <f>IF(Actual_hot_water_use=0, Hot_water_use*Tables!AU3, Actual_hot_water_use*Tables!AU3)</f>
        <v>#VALUE!</v>
      </c>
      <c r="G47" s="3" t="e">
        <f>IF(Actual_hot_water_use=0, Hot_water_use*Tables!AV3, Actual_hot_water_use*Tables!AV3)</f>
        <v>#VALUE!</v>
      </c>
      <c r="H47" s="3" t="e">
        <f>IF(Actual_hot_water_use=0, Hot_water_use*Tables!AW3, Actual_hot_water_use*Tables!AW3)</f>
        <v>#VALUE!</v>
      </c>
      <c r="I47" s="3" t="e">
        <f>IF(Actual_hot_water_use=0, Hot_water_use*Tables!AX3, Actual_hot_water_use*Tables!AX3)</f>
        <v>#VALUE!</v>
      </c>
      <c r="J47" s="3" t="e">
        <f>IF(Actual_hot_water_use=0, Hot_water_use*Tables!AY3, Actual_hot_water_use*Tables!AY3)</f>
        <v>#VALUE!</v>
      </c>
      <c r="K47" s="3" t="e">
        <f>IF(Actual_hot_water_use=0, Hot_water_use*Tables!AZ3, Actual_hot_water_use*Tables!AZ3)</f>
        <v>#VALUE!</v>
      </c>
      <c r="L47" s="3" t="e">
        <f>IF(Actual_hot_water_use=0, Hot_water_use*Tables!BA3, Actual_hot_water_use*Tables!BA3)</f>
        <v>#VALUE!</v>
      </c>
      <c r="M47" s="3" t="e">
        <f>IF(Actual_hot_water_use=0, Hot_water_use*Tables!BB3, Actual_hot_water_use*Tables!BB3)</f>
        <v>#VALUE!</v>
      </c>
    </row>
    <row r="49" spans="1:13" ht="17.25" customHeight="1">
      <c r="A49" s="78" t="s">
        <v>164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spans="1:13" ht="17.25" customHeight="1">
      <c r="A50" s="3" t="s">
        <v>19</v>
      </c>
      <c r="B50" s="3" t="s">
        <v>20</v>
      </c>
      <c r="C50" s="3" t="s">
        <v>21</v>
      </c>
      <c r="D50" s="3" t="s">
        <v>22</v>
      </c>
      <c r="E50" s="3" t="s">
        <v>23</v>
      </c>
      <c r="F50" s="3" t="s">
        <v>24</v>
      </c>
      <c r="G50" s="3" t="s">
        <v>25</v>
      </c>
      <c r="H50" s="3" t="s">
        <v>26</v>
      </c>
      <c r="I50" s="3" t="s">
        <v>27</v>
      </c>
      <c r="J50" s="3" t="s">
        <v>28</v>
      </c>
      <c r="K50" s="3" t="s">
        <v>29</v>
      </c>
      <c r="L50" s="3" t="s">
        <v>30</v>
      </c>
      <c r="M50" s="3" t="s">
        <v>31</v>
      </c>
    </row>
    <row r="51" spans="1:13" ht="17.25" customHeight="1">
      <c r="A51" s="3" t="s">
        <v>128</v>
      </c>
      <c r="B51" s="3" t="e">
        <f>(4.18*B47*B4*Tables!BD3/3600)</f>
        <v>#VALUE!</v>
      </c>
      <c r="C51" s="3" t="e">
        <f>(4.18*C47*C4*Tables!BE3/3600)</f>
        <v>#VALUE!</v>
      </c>
      <c r="D51" s="3" t="e">
        <f>(4.18*D47*D4*Tables!BF3/3600)</f>
        <v>#VALUE!</v>
      </c>
      <c r="E51" s="3" t="e">
        <f>(4.18*E47*E4*Tables!BG3/3600)</f>
        <v>#VALUE!</v>
      </c>
      <c r="F51" s="3" t="e">
        <f>(4.18*F47*F4*Tables!BH3/3600)</f>
        <v>#VALUE!</v>
      </c>
      <c r="G51" s="3" t="e">
        <f>(4.18*G47*G4*Tables!BI3/3600)</f>
        <v>#VALUE!</v>
      </c>
      <c r="H51" s="3" t="e">
        <f>(4.18*H47*H4*Tables!BJ3/3600)</f>
        <v>#VALUE!</v>
      </c>
      <c r="I51" s="3" t="e">
        <f>(4.18*I47*I4*Tables!BK3/3600)</f>
        <v>#VALUE!</v>
      </c>
      <c r="J51" s="3" t="e">
        <f>(4.18*J47*J4*Tables!BL3/3600)</f>
        <v>#VALUE!</v>
      </c>
      <c r="K51" s="3" t="e">
        <f>(4.18*K47*K4*Tables!BM3/3600)</f>
        <v>#VALUE!</v>
      </c>
      <c r="L51" s="3" t="e">
        <f>(4.18*L47*L4*Tables!BN3/3600)</f>
        <v>#VALUE!</v>
      </c>
      <c r="M51" s="3" t="e">
        <f>(4.18*M47*M4*Tables!BO3/3600)</f>
        <v>#VALUE!</v>
      </c>
    </row>
    <row r="52" spans="1:13" ht="17.25" customHeight="1">
      <c r="A52" s="3" t="s">
        <v>174</v>
      </c>
      <c r="B52" s="3" t="e">
        <f>B51/B4</f>
        <v>#VALUE!</v>
      </c>
      <c r="C52" s="3" t="e">
        <f>C51/C4</f>
        <v>#VALUE!</v>
      </c>
      <c r="D52" s="3" t="e">
        <f>D51/D4</f>
        <v>#VALUE!</v>
      </c>
      <c r="E52" s="3" t="e">
        <f>E51/E4</f>
        <v>#VALUE!</v>
      </c>
      <c r="F52" s="3" t="e">
        <f>F51/F4</f>
        <v>#VALUE!</v>
      </c>
      <c r="G52" s="3" t="e">
        <f>G51/G4</f>
        <v>#VALUE!</v>
      </c>
      <c r="H52" s="3" t="e">
        <f>H51/H4</f>
        <v>#VALUE!</v>
      </c>
      <c r="I52" s="3" t="e">
        <f>I51/I4</f>
        <v>#VALUE!</v>
      </c>
      <c r="J52" s="3" t="e">
        <f>J51/J4</f>
        <v>#VALUE!</v>
      </c>
      <c r="K52" s="3" t="e">
        <f>K51/K4</f>
        <v>#VALUE!</v>
      </c>
      <c r="L52" s="3" t="e">
        <f>L51/L4</f>
        <v>#VALUE!</v>
      </c>
      <c r="M52" s="3" t="e">
        <f>M51/M4</f>
        <v>#VALUE!</v>
      </c>
    </row>
    <row r="53" spans="1:13" ht="17.25" customHeight="1">
      <c r="A53" s="3" t="s">
        <v>147</v>
      </c>
      <c r="B53" s="3" t="e">
        <f>IF('Hot Water Use'!C5=0, (4.18*B47*B4*Tables!BD3/3600)*VLOOKUP(Shower_use, Table_Shower_Use, 2, FALSE), 'Hot Water Use'!C5)</f>
        <v>#VALUE!</v>
      </c>
      <c r="C53" s="3" t="e">
        <f>IF('Hot Water Use'!C6=0, (4.18*C47*C4*Tables!BE3/3600)*VLOOKUP(Shower_use, Table_Shower_Use, 2, FALSE), 'Hot Water Use'!C6)</f>
        <v>#VALUE!</v>
      </c>
      <c r="D53" s="3" t="e">
        <f>IF('Hot Water Use'!C7=0, (4.18*D47*D4*Tables!BF3/3600)*VLOOKUP(Shower_use, Table_Shower_Use, 2, FALSE), 'Hot Water Use'!C7)</f>
        <v>#VALUE!</v>
      </c>
      <c r="E53" s="3" t="e">
        <f>IF('Hot Water Use'!C8=0, (4.18*E47*E4*Tables!BG3/3600)*VLOOKUP(Shower_use, Table_Shower_Use, 2, FALSE), 'Hot Water Use'!C8)</f>
        <v>#VALUE!</v>
      </c>
      <c r="F53" s="3" t="e">
        <f>IF('Hot Water Use'!C9=0, (4.18*F47*F4*Tables!BH3/3600)*VLOOKUP(Shower_use, Table_Shower_Use, 2, FALSE), 'Hot Water Use'!C9)</f>
        <v>#VALUE!</v>
      </c>
      <c r="G53" s="3" t="e">
        <f>IF('Hot Water Use'!C10=0, (4.18*G47*G4*Tables!BI3/3600)*VLOOKUP(Shower_use, Table_Shower_Use, 2, FALSE), 'Hot Water Use'!C10)</f>
        <v>#VALUE!</v>
      </c>
      <c r="H53" s="3" t="e">
        <f>IF('Hot Water Use'!C11=0, (4.18*H47*H4*Tables!BJ3/3600)*VLOOKUP(Shower_use, Table_Shower_Use, 2, FALSE), 'Hot Water Use'!C11)</f>
        <v>#VALUE!</v>
      </c>
      <c r="I53" s="3" t="e">
        <f>IF('Hot Water Use'!C12=0, (4.18*I47*I4*Tables!BK3/3600)*VLOOKUP(Shower_use, Table_Shower_Use, 2, FALSE), 'Hot Water Use'!C12)</f>
        <v>#VALUE!</v>
      </c>
      <c r="J53" s="3" t="e">
        <f>IF('Hot Water Use'!C13=0, (4.18*J47*J4*Tables!BL3/3600)*VLOOKUP(Shower_use, Table_Shower_Use, 2, FALSE), 'Hot Water Use'!C13)</f>
        <v>#VALUE!</v>
      </c>
      <c r="K53" s="3" t="e">
        <f>IF('Hot Water Use'!C14=0, (4.18*K47*K4*Tables!BM3/3600)*VLOOKUP(Shower_use, Table_Shower_Use, 2, FALSE), 'Hot Water Use'!C14)</f>
        <v>#VALUE!</v>
      </c>
      <c r="L53" s="3" t="e">
        <f>IF('Hot Water Use'!C15=0, (4.18*L47*L4*Tables!BN3/3600)*VLOOKUP(Shower_use, Table_Shower_Use, 2, FALSE), 'Hot Water Use'!C15)</f>
        <v>#VALUE!</v>
      </c>
      <c r="M53" s="3" t="e">
        <f>IF('Hot Water Use'!C16=0, (4.18*M47*M4*Tables!BO3/3600)*VLOOKUP(Shower_use, Table_Shower_Use, 2, FALSE), 'Hot Water Use'!C16)</f>
        <v>#VALUE!</v>
      </c>
    </row>
    <row r="55" spans="1:13" ht="17.25" customHeight="1">
      <c r="A55" s="80" t="s">
        <v>165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2"/>
    </row>
    <row r="56" spans="1:13" ht="17.25" customHeight="1">
      <c r="A56" s="3" t="s">
        <v>19</v>
      </c>
      <c r="B56" s="3" t="s">
        <v>20</v>
      </c>
      <c r="C56" s="3" t="s">
        <v>21</v>
      </c>
      <c r="D56" s="3" t="s">
        <v>22</v>
      </c>
      <c r="E56" s="3" t="s">
        <v>23</v>
      </c>
      <c r="F56" s="3" t="s">
        <v>24</v>
      </c>
      <c r="G56" s="3" t="s">
        <v>25</v>
      </c>
      <c r="H56" s="3" t="s">
        <v>26</v>
      </c>
      <c r="I56" s="3" t="s">
        <v>27</v>
      </c>
      <c r="J56" s="3" t="s">
        <v>28</v>
      </c>
      <c r="K56" s="3" t="s">
        <v>29</v>
      </c>
      <c r="L56" s="3" t="s">
        <v>30</v>
      </c>
      <c r="M56" s="3" t="s">
        <v>31</v>
      </c>
    </row>
    <row r="57" spans="1:13" ht="17.25" customHeight="1">
      <c r="A57" s="3" t="s">
        <v>127</v>
      </c>
      <c r="B57" s="3" t="e">
        <f t="shared" ref="B57:M57" si="11">0.15*B51</f>
        <v>#VALUE!</v>
      </c>
      <c r="C57" s="3" t="e">
        <f t="shared" si="11"/>
        <v>#VALUE!</v>
      </c>
      <c r="D57" s="3" t="e">
        <f t="shared" si="11"/>
        <v>#VALUE!</v>
      </c>
      <c r="E57" s="3" t="e">
        <f t="shared" si="11"/>
        <v>#VALUE!</v>
      </c>
      <c r="F57" s="3" t="e">
        <f t="shared" si="11"/>
        <v>#VALUE!</v>
      </c>
      <c r="G57" s="3" t="e">
        <f t="shared" si="11"/>
        <v>#VALUE!</v>
      </c>
      <c r="H57" s="3" t="e">
        <f t="shared" si="11"/>
        <v>#VALUE!</v>
      </c>
      <c r="I57" s="3" t="e">
        <f t="shared" si="11"/>
        <v>#VALUE!</v>
      </c>
      <c r="J57" s="3" t="e">
        <f t="shared" si="11"/>
        <v>#VALUE!</v>
      </c>
      <c r="K57" s="3" t="e">
        <f t="shared" si="11"/>
        <v>#VALUE!</v>
      </c>
      <c r="L57" s="3" t="e">
        <f t="shared" si="11"/>
        <v>#VALUE!</v>
      </c>
      <c r="M57" s="3" t="e">
        <f t="shared" si="11"/>
        <v>#VALUE!</v>
      </c>
    </row>
    <row r="58" spans="1:13" ht="17.25" customHeight="1">
      <c r="A58" s="3" t="s">
        <v>135</v>
      </c>
      <c r="B58" s="3" t="e">
        <f>IF(Dedicated_storage="Yes", (Storage_loss*(Total_Cylinder_Volume-Solar_Cylinder_Volume)/Total_Cylinder_Volume)*B4, Storage_loss*B4)</f>
        <v>#VALUE!</v>
      </c>
      <c r="C58" s="3" t="e">
        <f>IF(Dedicated_storage="Yes", (Storage_loss*(Total_Cylinder_Volume-Solar_Cylinder_Volume)/Total_Cylinder_Volume)*C4, Storage_loss*C4)</f>
        <v>#VALUE!</v>
      </c>
      <c r="D58" s="3" t="e">
        <f>IF(Dedicated_storage="Yes", (Storage_loss*(Total_Cylinder_Volume-Solar_Cylinder_Volume)/Total_Cylinder_Volume)*D4, Storage_loss*D4)</f>
        <v>#VALUE!</v>
      </c>
      <c r="E58" s="3" t="e">
        <f>IF(Dedicated_storage="Yes", (Storage_loss*(Total_Cylinder_Volume-Solar_Cylinder_Volume)/Total_Cylinder_Volume)*E4, Storage_loss*E4)</f>
        <v>#VALUE!</v>
      </c>
      <c r="F58" s="3" t="e">
        <f>IF(Dedicated_storage="Yes", (Storage_loss*(Total_Cylinder_Volume-Solar_Cylinder_Volume)/Total_Cylinder_Volume)*F4, Storage_loss*F4)</f>
        <v>#VALUE!</v>
      </c>
      <c r="G58" s="3" t="e">
        <f>IF(Dedicated_storage="Yes", (Storage_loss*(Total_Cylinder_Volume-Solar_Cylinder_Volume)/Total_Cylinder_Volume)*G4, Storage_loss*G4)</f>
        <v>#VALUE!</v>
      </c>
      <c r="H58" s="3" t="e">
        <f>IF(Dedicated_storage="Yes", (Storage_loss*(Total_Cylinder_Volume-Solar_Cylinder_Volume)/Total_Cylinder_Volume)*H4, Storage_loss*H4)</f>
        <v>#VALUE!</v>
      </c>
      <c r="I58" s="3" t="e">
        <f>IF(Dedicated_storage="Yes", (Storage_loss*(Total_Cylinder_Volume-Solar_Cylinder_Volume)/Total_Cylinder_Volume)*I4, Storage_loss*I4)</f>
        <v>#VALUE!</v>
      </c>
      <c r="J58" s="3" t="e">
        <f>IF(Dedicated_storage="Yes", (Storage_loss*(Total_Cylinder_Volume-Solar_Cylinder_Volume)/Total_Cylinder_Volume)*J4, Storage_loss*J4)</f>
        <v>#VALUE!</v>
      </c>
      <c r="K58" s="3" t="e">
        <f>IF(Dedicated_storage="Yes", (Storage_loss*(Total_Cylinder_Volume-Solar_Cylinder_Volume)/Total_Cylinder_Volume)*K4, Storage_loss*K4)</f>
        <v>#VALUE!</v>
      </c>
      <c r="L58" s="3" t="e">
        <f>IF(Dedicated_storage="Yes", (Storage_loss*(Total_Cylinder_Volume-Solar_Cylinder_Volume)/Total_Cylinder_Volume)*L4, Storage_loss*L4)</f>
        <v>#VALUE!</v>
      </c>
      <c r="M58" s="3" t="e">
        <f>IF(Dedicated_storage="Yes", (Storage_loss*(Total_Cylinder_Volume-Solar_Cylinder_Volume)/Total_Cylinder_Volume)*M4, Storage_loss*M4)</f>
        <v>#VALUE!</v>
      </c>
    </row>
    <row r="59" spans="1:13" ht="17.25" customHeight="1">
      <c r="A59" s="3" t="s">
        <v>136</v>
      </c>
      <c r="B59" s="3">
        <f>B4*14*(0.0091*3+0.0263)*Tables!BT3</f>
        <v>23.2624</v>
      </c>
      <c r="C59" s="3">
        <f>C4*14*(0.0091*3+0.0263)*Tables!BU3</f>
        <v>21.011200000000002</v>
      </c>
      <c r="D59" s="3">
        <f>D4*14*(0.0091*3+0.0263)*Tables!BV3</f>
        <v>21.866655999999999</v>
      </c>
      <c r="E59" s="3">
        <f>E4*14*(0.0091*3+0.0263)*Tables!BW3</f>
        <v>15.7584</v>
      </c>
      <c r="F59" s="3">
        <f>F4*14*(0.0091*3+0.0263)*Tables!BX3</f>
        <v>10.46808</v>
      </c>
      <c r="G59" s="3">
        <f>G4*14*(0.0091*3+0.0263)*Tables!BY3</f>
        <v>9.9052799999999994</v>
      </c>
      <c r="H59" s="3">
        <f>H4*14*(0.0091*3+0.0263)*Tables!BZ3</f>
        <v>10.235455999999999</v>
      </c>
      <c r="I59" s="3">
        <f>I4*14*(0.0091*3+0.0263)*Tables!CA3</f>
        <v>11.165951999999999</v>
      </c>
      <c r="J59" s="3">
        <f>J4*14*(0.0091*3+0.0263)*Tables!CB3</f>
        <v>17.109120000000001</v>
      </c>
      <c r="K59" s="3">
        <f>K4*14*(0.0091*3+0.0263)*Tables!CC3</f>
        <v>21.866655999999999</v>
      </c>
      <c r="L59" s="3">
        <f>L4*14*(0.0091*3+0.0263)*Tables!CD3</f>
        <v>22.512</v>
      </c>
      <c r="M59" s="3">
        <f>M4*14*(0.0091*3+0.0263)*Tables!CE3</f>
        <v>23.2624</v>
      </c>
    </row>
    <row r="61" spans="1:13" ht="17.25" customHeight="1">
      <c r="A61" s="78" t="s">
        <v>138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</row>
    <row r="62" spans="1:13" ht="17.25" customHeight="1">
      <c r="A62" s="3" t="s">
        <v>19</v>
      </c>
      <c r="B62" s="3" t="s">
        <v>20</v>
      </c>
      <c r="C62" s="3" t="s">
        <v>21</v>
      </c>
      <c r="D62" s="3" t="s">
        <v>22</v>
      </c>
      <c r="E62" s="3" t="s">
        <v>23</v>
      </c>
      <c r="F62" s="3" t="s">
        <v>24</v>
      </c>
      <c r="G62" s="3" t="s">
        <v>25</v>
      </c>
      <c r="H62" s="3" t="s">
        <v>26</v>
      </c>
      <c r="I62" s="3" t="s">
        <v>27</v>
      </c>
      <c r="J62" s="3" t="s">
        <v>28</v>
      </c>
      <c r="K62" s="3" t="s">
        <v>29</v>
      </c>
      <c r="L62" s="3" t="s">
        <v>30</v>
      </c>
      <c r="M62" s="3" t="s">
        <v>31</v>
      </c>
    </row>
    <row r="63" spans="1:13" ht="17.25" customHeight="1">
      <c r="A63" s="3" t="s">
        <v>139</v>
      </c>
      <c r="B63" s="3" t="e">
        <f>0.85*B53+B57+B58+B59</f>
        <v>#VALUE!</v>
      </c>
      <c r="C63" s="3" t="e">
        <f t="shared" ref="C63:M63" si="12">0.85*C53+C57+C58+C59</f>
        <v>#VALUE!</v>
      </c>
      <c r="D63" s="3" t="e">
        <f t="shared" si="12"/>
        <v>#VALUE!</v>
      </c>
      <c r="E63" s="3" t="e">
        <f t="shared" si="12"/>
        <v>#VALUE!</v>
      </c>
      <c r="F63" s="3" t="e">
        <f t="shared" si="12"/>
        <v>#VALUE!</v>
      </c>
      <c r="G63" s="3" t="e">
        <f t="shared" si="12"/>
        <v>#VALUE!</v>
      </c>
      <c r="H63" s="3" t="e">
        <f t="shared" si="12"/>
        <v>#VALUE!</v>
      </c>
      <c r="I63" s="3" t="e">
        <f t="shared" si="12"/>
        <v>#VALUE!</v>
      </c>
      <c r="J63" s="3" t="e">
        <f t="shared" si="12"/>
        <v>#VALUE!</v>
      </c>
      <c r="K63" s="3" t="e">
        <f t="shared" si="12"/>
        <v>#VALUE!</v>
      </c>
      <c r="L63" s="3" t="e">
        <f t="shared" si="12"/>
        <v>#VALUE!</v>
      </c>
      <c r="M63" s="3" t="e">
        <f t="shared" si="12"/>
        <v>#VALUE!</v>
      </c>
    </row>
    <row r="64" spans="1:13" ht="17.25" customHeight="1">
      <c r="A64" s="3" t="s">
        <v>140</v>
      </c>
      <c r="B64" s="3" t="e">
        <f>B33</f>
        <v>#N/A</v>
      </c>
      <c r="C64" s="3" t="e">
        <f>C33</f>
        <v>#N/A</v>
      </c>
      <c r="D64" s="3" t="e">
        <f>D33</f>
        <v>#N/A</v>
      </c>
      <c r="E64" s="3" t="e">
        <f>E33</f>
        <v>#N/A</v>
      </c>
      <c r="F64" s="3" t="e">
        <f>F33</f>
        <v>#N/A</v>
      </c>
      <c r="G64" s="3" t="e">
        <f>G33</f>
        <v>#N/A</v>
      </c>
      <c r="H64" s="3" t="e">
        <f>H33</f>
        <v>#N/A</v>
      </c>
      <c r="I64" s="3" t="e">
        <f>I33</f>
        <v>#N/A</v>
      </c>
      <c r="J64" s="3" t="e">
        <f>J33</f>
        <v>#N/A</v>
      </c>
      <c r="K64" s="3" t="e">
        <f>K33</f>
        <v>#N/A</v>
      </c>
      <c r="L64" s="3" t="e">
        <f>L33</f>
        <v>#N/A</v>
      </c>
      <c r="M64" s="3" t="e">
        <f>M33</f>
        <v>#N/A</v>
      </c>
    </row>
    <row r="65" spans="1:13" ht="17.25" customHeight="1">
      <c r="A65" s="3" t="s">
        <v>141</v>
      </c>
      <c r="B65" s="3" t="e">
        <f>B63-B64</f>
        <v>#VALUE!</v>
      </c>
      <c r="C65" s="3" t="e">
        <f t="shared" ref="C65:M65" si="13">C63-C64</f>
        <v>#VALUE!</v>
      </c>
      <c r="D65" s="3" t="e">
        <f t="shared" si="13"/>
        <v>#VALUE!</v>
      </c>
      <c r="E65" s="3" t="e">
        <f t="shared" si="13"/>
        <v>#VALUE!</v>
      </c>
      <c r="F65" s="3" t="e">
        <f t="shared" si="13"/>
        <v>#VALUE!</v>
      </c>
      <c r="G65" s="3" t="e">
        <f t="shared" si="13"/>
        <v>#VALUE!</v>
      </c>
      <c r="H65" s="3" t="e">
        <f t="shared" si="13"/>
        <v>#VALUE!</v>
      </c>
      <c r="I65" s="3" t="e">
        <f t="shared" si="13"/>
        <v>#VALUE!</v>
      </c>
      <c r="J65" s="3" t="e">
        <f t="shared" si="13"/>
        <v>#VALUE!</v>
      </c>
      <c r="K65" s="3" t="e">
        <f t="shared" si="13"/>
        <v>#VALUE!</v>
      </c>
      <c r="L65" s="3" t="e">
        <f t="shared" si="13"/>
        <v>#VALUE!</v>
      </c>
      <c r="M65" s="3" t="e">
        <f t="shared" si="13"/>
        <v>#VALUE!</v>
      </c>
    </row>
    <row r="68" spans="1:13" ht="17.25" customHeight="1">
      <c r="A68" s="79" t="s">
        <v>175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</row>
    <row r="70" spans="1:13" ht="17.25" customHeight="1">
      <c r="A70" s="7" t="s">
        <v>114</v>
      </c>
      <c r="B70" s="15" t="str">
        <f>IF('System Data'!D11="", "", VLOOKUP('System Data'!D11, Table_Overshading, 3, FALSE))</f>
        <v/>
      </c>
      <c r="F70" s="56"/>
    </row>
    <row r="71" spans="1:13" ht="17.25" customHeight="1">
      <c r="F71" s="56"/>
    </row>
    <row r="72" spans="1:13" ht="17.25" customHeight="1">
      <c r="A72" s="3" t="s">
        <v>155</v>
      </c>
      <c r="B72" s="14" t="str">
        <f>IF(Insulation_Type="", "", VLOOKUP(Insulation_Type, Table_Cylinder_Loss_Factor, 2, FALSE))</f>
        <v/>
      </c>
      <c r="F72" s="56"/>
    </row>
    <row r="73" spans="1:13" ht="17.25" customHeight="1">
      <c r="A73" s="3" t="s">
        <v>16</v>
      </c>
      <c r="B73" s="14" t="e">
        <f>1+0.2*LN(Volume_ratio)</f>
        <v>#VALUE!</v>
      </c>
      <c r="F73" s="56"/>
    </row>
    <row r="74" spans="1:13" ht="17.25" customHeight="1">
      <c r="A74" s="3" t="s">
        <v>143</v>
      </c>
      <c r="B74" s="16">
        <f>IF(Dedicated_storage="Yes", Solar_Cylinder_Volume, Solar_Cylinder_Volume+0.3*(Total_Cylinder_Volume-Solar_Cylinder_Volume))</f>
        <v>0</v>
      </c>
      <c r="F74" s="56"/>
    </row>
    <row r="75" spans="1:13" ht="17.25" customHeight="1">
      <c r="A75" s="3" t="s">
        <v>142</v>
      </c>
      <c r="B75" s="14" t="e">
        <f>(120/Total_Cylinder_Volume)^1/3</f>
        <v>#DIV/0!</v>
      </c>
      <c r="F75" s="56"/>
    </row>
    <row r="76" spans="1:13" ht="17.25" customHeight="1">
      <c r="F76" s="56"/>
    </row>
    <row r="77" spans="1:13" ht="17.25" customHeight="1">
      <c r="A77" s="3" t="s">
        <v>146</v>
      </c>
      <c r="B77" s="14" t="e">
        <f>Solar_Energy_Available/SUM(Calculations!B53:M53)</f>
        <v>#VALUE!</v>
      </c>
      <c r="F77" s="56"/>
    </row>
    <row r="78" spans="1:13" ht="17.25" customHeight="1">
      <c r="A78" s="3" t="s">
        <v>15</v>
      </c>
      <c r="B78" s="14" t="e">
        <f>1-EXP(-1/Solar_load_ratio)</f>
        <v>#VALUE!</v>
      </c>
      <c r="F78" s="56"/>
    </row>
    <row r="79" spans="1:13" ht="17.25" customHeight="1">
      <c r="A79" s="3" t="s">
        <v>144</v>
      </c>
      <c r="B79" s="14" t="e">
        <f>Effecive_Solar_Volume/Hot_water_use</f>
        <v>#VALUE!</v>
      </c>
      <c r="F79" s="56"/>
    </row>
    <row r="80" spans="1:13" ht="17.25" customHeight="1">
      <c r="A80" s="3" t="s">
        <v>157</v>
      </c>
      <c r="B80" s="14" t="e">
        <f>IF(Declared_loss_factor=0, Total_Cylinder_Volume*Assumed_Loss_Factor*Volume_Factor*0.6, Declared_loss_factor*0.6)</f>
        <v>#VALUE!</v>
      </c>
    </row>
    <row r="82" spans="1:2" ht="17.25" customHeight="1">
      <c r="A82" s="23" t="s">
        <v>87</v>
      </c>
      <c r="B82" s="24">
        <f>0.892*(a_1+45*a_2)</f>
        <v>0</v>
      </c>
    </row>
    <row r="83" spans="1:2" ht="17.25" customHeight="1">
      <c r="A83" s="23" t="s">
        <v>110</v>
      </c>
      <c r="B83" s="24" t="e">
        <f>a_star/eta_0</f>
        <v>#DIV/0!</v>
      </c>
    </row>
    <row r="84" spans="1:2" ht="17.25" customHeight="1">
      <c r="A84" s="25" t="s">
        <v>113</v>
      </c>
      <c r="B84" s="24" t="e">
        <f>IF(Performance_ratio&lt;20, 0.97-0.0367*Performance_ratio+0.0006*Performance_ratio^2, 0.693-0.0108*Performance_ratio)</f>
        <v>#DIV/0!</v>
      </c>
    </row>
    <row r="85" spans="1:2" ht="17.25" customHeight="1" thickBot="1"/>
    <row r="86" spans="1:2" ht="17.25" customHeight="1" thickBot="1">
      <c r="A86" s="26" t="s">
        <v>121</v>
      </c>
      <c r="B86" s="27" t="str">
        <f>IF(TFA="", "", IF(N=0, IF(TFA&gt;13.9, 1+1.76*(1-EXP(-0.000349*(TFA-13.9)^2))+0.0013*(TFA-13.9), 1), N))</f>
        <v/>
      </c>
    </row>
    <row r="87" spans="1:2" ht="17.25" customHeight="1" thickBot="1">
      <c r="A87" s="26" t="s">
        <v>145</v>
      </c>
      <c r="B87" s="27" t="e">
        <f>IF(Actual_hot_water_use=0, IF(N=0, IF(L_125="Yes", ((25*Assumed_N)+36)*0.95, (25*Assumed_N)+36),  IF(L_125="Yes", ((25*N)+36)*0.95, (25*N)+36)), Actual_hot_water_use)</f>
        <v>#VALUE!</v>
      </c>
    </row>
  </sheetData>
  <mergeCells count="16">
    <mergeCell ref="A68:M68"/>
    <mergeCell ref="A19:M19"/>
    <mergeCell ref="A55:M55"/>
    <mergeCell ref="A61:M61"/>
    <mergeCell ref="O1:P1"/>
    <mergeCell ref="O15:P15"/>
    <mergeCell ref="A11:M11"/>
    <mergeCell ref="A15:M15"/>
    <mergeCell ref="A1:M1"/>
    <mergeCell ref="A45:M45"/>
    <mergeCell ref="A43:M43"/>
    <mergeCell ref="A49:M49"/>
    <mergeCell ref="A23:M23"/>
    <mergeCell ref="A27:M27"/>
    <mergeCell ref="A31:M31"/>
    <mergeCell ref="A35:M35"/>
  </mergeCells>
  <dataValidations count="7">
    <dataValidation allowBlank="1" showInputMessage="1" showErrorMessage="1" promptTitle="Assumed loss factor" prompt="This value is estimated based on the information entered above and is used when the manufacturer's declared loss factor is unknown." sqref="B72"/>
    <dataValidation allowBlank="1" showInputMessage="1" showErrorMessage="1" promptTitle="Solar-load ratio" prompt="This is the ratio of the total solar energy available to the total water heating load throughout the year." sqref="B77"/>
    <dataValidation allowBlank="1" showInputMessage="1" showErrorMessage="1" promptTitle="Energy storage loss" prompt="This value is estimated based on the size and insulation properties of the storage tank." sqref="B80"/>
    <dataValidation allowBlank="1" showInputMessage="1" showErrorMessage="1" promptTitle="Volume ratio" prompt="This is the ratio of the effective solar volume to the average daily hot water demand in litres." sqref="B79"/>
    <dataValidation allowBlank="1" showInputMessage="1" showErrorMessage="1" promptTitle="Utilisation factor" prompt="This value is estimated based on the solar-load ratio.  The utilisation factor of the actual system may be different." sqref="B78"/>
    <dataValidation allowBlank="1" showInputMessage="1" showErrorMessage="1" promptTitle="Assumed number of occupants" prompt="This value if calculated based on the total dwelling floor area when the number of occupants is unknown." sqref="B86"/>
    <dataValidation allowBlank="1" showInputMessage="1" showErrorMessage="1" promptTitle="Average hot water use" prompt="This will either be the value entered above or will have been estimated based on the number of dwelling occupants." sqref="B87"/>
  </dataValidations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E49"/>
  <sheetViews>
    <sheetView topLeftCell="A36" workbookViewId="0">
      <selection activeCell="M50" sqref="M50"/>
    </sheetView>
  </sheetViews>
  <sheetFormatPr defaultRowHeight="15.75"/>
  <cols>
    <col min="1" max="1" width="36.75" style="2" customWidth="1"/>
    <col min="2" max="2" width="3.5" style="2" bestFit="1" customWidth="1"/>
    <col min="3" max="3" width="3.75" style="2" bestFit="1" customWidth="1"/>
    <col min="4" max="4" width="4.125" style="2" bestFit="1" customWidth="1"/>
    <col min="5" max="5" width="3.875" style="2" bestFit="1" customWidth="1"/>
    <col min="6" max="10" width="5.375" style="2" bestFit="1" customWidth="1"/>
    <col min="11" max="13" width="4.375" style="2" bestFit="1" customWidth="1"/>
    <col min="14" max="14" width="10.625" style="2" customWidth="1"/>
    <col min="15" max="15" width="42.875" style="2" bestFit="1" customWidth="1"/>
    <col min="16" max="16" width="7.5" style="2" customWidth="1"/>
    <col min="17" max="28" width="10.625" style="2" customWidth="1"/>
    <col min="29" max="29" width="14.625" style="2" customWidth="1"/>
    <col min="30" max="30" width="12.25" style="2" customWidth="1"/>
    <col min="31" max="31" width="6.25" style="2" customWidth="1"/>
    <col min="32" max="32" width="13.25" style="2" customWidth="1"/>
    <col min="33" max="33" width="8.25" style="2" customWidth="1"/>
    <col min="34" max="34" width="14.875" style="2" bestFit="1" customWidth="1"/>
    <col min="35" max="35" width="12.5" style="2" bestFit="1" customWidth="1"/>
    <col min="36" max="36" width="6.125" style="2" bestFit="1" customWidth="1"/>
    <col min="37" max="37" width="7.5" style="2" customWidth="1"/>
    <col min="38" max="38" width="32.625" style="2" bestFit="1" customWidth="1"/>
    <col min="39" max="39" width="6.125" style="2" customWidth="1"/>
    <col min="40" max="40" width="4.875" style="2" customWidth="1"/>
    <col min="41" max="41" width="4.625" style="2" customWidth="1"/>
    <col min="42" max="42" width="5.125" style="2" customWidth="1"/>
    <col min="43" max="43" width="3.875" style="2" bestFit="1" customWidth="1"/>
    <col min="44" max="47" width="4.875" style="2" bestFit="1" customWidth="1"/>
    <col min="48" max="49" width="3.875" style="2" bestFit="1" customWidth="1"/>
    <col min="50" max="53" width="4.875" style="2" bestFit="1" customWidth="1"/>
    <col min="54" max="54" width="4" style="2" bestFit="1" customWidth="1"/>
    <col min="55" max="55" width="9" style="2"/>
    <col min="56" max="56" width="4.875" style="2" bestFit="1" customWidth="1"/>
    <col min="57" max="57" width="3.75" style="2" bestFit="1" customWidth="1"/>
    <col min="58" max="67" width="4.875" style="2" bestFit="1" customWidth="1"/>
    <col min="68" max="68" width="9" style="2"/>
    <col min="69" max="69" width="22.125" style="2" bestFit="1" customWidth="1"/>
    <col min="70" max="70" width="9.75" style="2" bestFit="1" customWidth="1"/>
    <col min="71" max="71" width="8.75" style="2" customWidth="1"/>
    <col min="72" max="72" width="9" style="2"/>
    <col min="73" max="74" width="11" style="2" customWidth="1"/>
    <col min="75" max="16384" width="9" style="2"/>
  </cols>
  <sheetData>
    <row r="1" spans="1:83" ht="18">
      <c r="A1" s="83" t="s">
        <v>105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O1" s="84" t="s">
        <v>104</v>
      </c>
      <c r="P1" s="84"/>
      <c r="R1" s="84" t="s">
        <v>85</v>
      </c>
      <c r="S1" s="84"/>
      <c r="T1" s="84"/>
      <c r="U1" s="84"/>
      <c r="V1" s="84"/>
      <c r="W1" s="84"/>
      <c r="X1" s="84"/>
      <c r="Y1" s="84"/>
      <c r="Z1" s="84"/>
      <c r="AA1" s="84"/>
      <c r="AC1" s="84" t="s">
        <v>92</v>
      </c>
      <c r="AD1" s="84"/>
      <c r="AE1" s="84"/>
      <c r="AF1" s="84"/>
      <c r="AH1" s="84" t="s">
        <v>93</v>
      </c>
      <c r="AI1" s="84"/>
      <c r="AJ1" s="84"/>
      <c r="AK1" s="8"/>
      <c r="AL1" s="84" t="s">
        <v>94</v>
      </c>
      <c r="AM1" s="84"/>
      <c r="AN1" s="8"/>
      <c r="AO1" s="5" t="s">
        <v>119</v>
      </c>
      <c r="AP1" s="8"/>
      <c r="AQ1" s="86" t="s">
        <v>122</v>
      </c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8"/>
      <c r="BD1" s="86" t="s">
        <v>126</v>
      </c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8"/>
      <c r="BQ1" s="85" t="s">
        <v>133</v>
      </c>
      <c r="BR1" s="85"/>
      <c r="BS1"/>
      <c r="BT1" s="85" t="s">
        <v>137</v>
      </c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</row>
    <row r="2" spans="1:83" ht="33">
      <c r="A2" s="9" t="s">
        <v>17</v>
      </c>
      <c r="B2" s="5" t="s">
        <v>43</v>
      </c>
      <c r="C2" s="5" t="s">
        <v>44</v>
      </c>
      <c r="D2" s="5" t="s">
        <v>45</v>
      </c>
      <c r="E2" s="5" t="s">
        <v>46</v>
      </c>
      <c r="F2" s="5" t="s">
        <v>24</v>
      </c>
      <c r="G2" s="5" t="s">
        <v>47</v>
      </c>
      <c r="H2" s="5" t="s">
        <v>48</v>
      </c>
      <c r="I2" s="5" t="s">
        <v>49</v>
      </c>
      <c r="J2" s="5" t="s">
        <v>50</v>
      </c>
      <c r="K2" s="5" t="s">
        <v>51</v>
      </c>
      <c r="L2" s="5" t="s">
        <v>52</v>
      </c>
      <c r="M2" s="5" t="s">
        <v>53</v>
      </c>
      <c r="O2" s="10" t="s">
        <v>17</v>
      </c>
      <c r="P2" s="5" t="s">
        <v>33</v>
      </c>
      <c r="R2" s="11" t="s">
        <v>34</v>
      </c>
      <c r="S2" s="5" t="s">
        <v>5</v>
      </c>
      <c r="T2" s="5" t="s">
        <v>7</v>
      </c>
      <c r="U2" s="5" t="s">
        <v>8</v>
      </c>
      <c r="V2" s="5" t="s">
        <v>9</v>
      </c>
      <c r="W2" s="5" t="s">
        <v>10</v>
      </c>
      <c r="X2" s="5" t="s">
        <v>11</v>
      </c>
      <c r="Y2" s="5" t="s">
        <v>12</v>
      </c>
      <c r="Z2" s="5" t="s">
        <v>13</v>
      </c>
      <c r="AA2" s="5" t="s">
        <v>14</v>
      </c>
      <c r="AC2" s="5" t="s">
        <v>86</v>
      </c>
      <c r="AD2" s="5" t="s">
        <v>103</v>
      </c>
      <c r="AE2" s="5" t="s">
        <v>87</v>
      </c>
      <c r="AF2" s="12" t="s">
        <v>88</v>
      </c>
      <c r="AH2" s="5" t="s">
        <v>39</v>
      </c>
      <c r="AI2" s="5" t="s">
        <v>40</v>
      </c>
      <c r="AJ2" s="5" t="s">
        <v>41</v>
      </c>
      <c r="AK2" s="8"/>
      <c r="AL2" s="5" t="s">
        <v>42</v>
      </c>
      <c r="AM2" s="5" t="s">
        <v>41</v>
      </c>
      <c r="AN2" s="8"/>
      <c r="AO2" s="5" t="s">
        <v>120</v>
      </c>
      <c r="AP2" s="8"/>
      <c r="AQ2" s="5" t="s">
        <v>43</v>
      </c>
      <c r="AR2" s="5" t="s">
        <v>44</v>
      </c>
      <c r="AS2" s="5" t="s">
        <v>45</v>
      </c>
      <c r="AT2" s="5" t="s">
        <v>46</v>
      </c>
      <c r="AU2" s="5" t="s">
        <v>24</v>
      </c>
      <c r="AV2" s="5" t="s">
        <v>47</v>
      </c>
      <c r="AW2" s="5" t="s">
        <v>48</v>
      </c>
      <c r="AX2" s="5" t="s">
        <v>49</v>
      </c>
      <c r="AY2" s="5" t="s">
        <v>50</v>
      </c>
      <c r="AZ2" s="5" t="s">
        <v>51</v>
      </c>
      <c r="BA2" s="5" t="s">
        <v>52</v>
      </c>
      <c r="BB2" s="5" t="s">
        <v>53</v>
      </c>
      <c r="BD2" s="5" t="s">
        <v>43</v>
      </c>
      <c r="BE2" s="5" t="s">
        <v>44</v>
      </c>
      <c r="BF2" s="5" t="s">
        <v>45</v>
      </c>
      <c r="BG2" s="5" t="s">
        <v>46</v>
      </c>
      <c r="BH2" s="5" t="s">
        <v>24</v>
      </c>
      <c r="BI2" s="5" t="s">
        <v>47</v>
      </c>
      <c r="BJ2" s="5" t="s">
        <v>48</v>
      </c>
      <c r="BK2" s="5" t="s">
        <v>49</v>
      </c>
      <c r="BL2" s="5" t="s">
        <v>50</v>
      </c>
      <c r="BM2" s="5" t="s">
        <v>51</v>
      </c>
      <c r="BN2" s="5" t="s">
        <v>52</v>
      </c>
      <c r="BO2" s="5" t="s">
        <v>53</v>
      </c>
      <c r="BQ2" s="5" t="s">
        <v>130</v>
      </c>
      <c r="BR2" s="5" t="s">
        <v>134</v>
      </c>
      <c r="BS2"/>
      <c r="BT2" s="5" t="s">
        <v>43</v>
      </c>
      <c r="BU2" s="5" t="s">
        <v>44</v>
      </c>
      <c r="BV2" s="5" t="s">
        <v>45</v>
      </c>
      <c r="BW2" s="5" t="s">
        <v>46</v>
      </c>
      <c r="BX2" s="5" t="s">
        <v>24</v>
      </c>
      <c r="BY2" s="5" t="s">
        <v>47</v>
      </c>
      <c r="BZ2" s="5" t="s">
        <v>48</v>
      </c>
      <c r="CA2" s="5" t="s">
        <v>49</v>
      </c>
      <c r="CB2" s="5" t="s">
        <v>50</v>
      </c>
      <c r="CC2" s="5" t="s">
        <v>51</v>
      </c>
      <c r="CD2" s="5" t="s">
        <v>52</v>
      </c>
      <c r="CE2" s="5" t="s">
        <v>53</v>
      </c>
    </row>
    <row r="3" spans="1:83">
      <c r="A3" s="5" t="s">
        <v>63</v>
      </c>
      <c r="B3" s="5">
        <v>26</v>
      </c>
      <c r="C3" s="5">
        <v>54</v>
      </c>
      <c r="D3" s="5">
        <v>96</v>
      </c>
      <c r="E3" s="5">
        <v>150</v>
      </c>
      <c r="F3" s="5">
        <v>192</v>
      </c>
      <c r="G3" s="5">
        <v>200</v>
      </c>
      <c r="H3" s="5">
        <v>189</v>
      </c>
      <c r="I3" s="5">
        <v>157</v>
      </c>
      <c r="J3" s="5">
        <v>115</v>
      </c>
      <c r="K3" s="5">
        <v>66</v>
      </c>
      <c r="L3" s="5">
        <v>33</v>
      </c>
      <c r="M3" s="5">
        <v>21</v>
      </c>
      <c r="O3" s="5" t="s">
        <v>63</v>
      </c>
      <c r="P3" s="5">
        <v>53.5</v>
      </c>
      <c r="R3" s="5" t="s">
        <v>35</v>
      </c>
      <c r="S3" s="5">
        <v>26.3</v>
      </c>
      <c r="T3" s="5">
        <v>-38.5</v>
      </c>
      <c r="U3" s="5">
        <v>14.8</v>
      </c>
      <c r="V3" s="5">
        <v>-16.5</v>
      </c>
      <c r="W3" s="5">
        <v>27.3</v>
      </c>
      <c r="X3" s="5">
        <v>-11.9</v>
      </c>
      <c r="Y3" s="5">
        <v>-1.06</v>
      </c>
      <c r="Z3" s="5">
        <v>8.72E-2</v>
      </c>
      <c r="AA3" s="5">
        <v>-0.191</v>
      </c>
      <c r="AC3" s="5" t="s">
        <v>89</v>
      </c>
      <c r="AD3" s="5">
        <v>0.6</v>
      </c>
      <c r="AE3" s="5">
        <v>3</v>
      </c>
      <c r="AF3" s="5">
        <v>0.72</v>
      </c>
      <c r="AH3" s="5" t="s">
        <v>54</v>
      </c>
      <c r="AI3" s="5" t="s">
        <v>55</v>
      </c>
      <c r="AJ3" s="5">
        <v>0.5</v>
      </c>
      <c r="AK3" s="8"/>
      <c r="AL3" s="5" t="s">
        <v>148</v>
      </c>
      <c r="AM3" s="5">
        <v>1.29</v>
      </c>
      <c r="AN3" s="8"/>
      <c r="AO3" s="8"/>
      <c r="AP3" s="8"/>
      <c r="AQ3" s="5">
        <v>1.1000000000000001</v>
      </c>
      <c r="AR3" s="5">
        <v>1.06</v>
      </c>
      <c r="AS3" s="5">
        <v>1.02</v>
      </c>
      <c r="AT3" s="5">
        <v>0.98</v>
      </c>
      <c r="AU3" s="5">
        <v>0.94</v>
      </c>
      <c r="AV3" s="5">
        <v>0.9</v>
      </c>
      <c r="AW3" s="5">
        <v>0.9</v>
      </c>
      <c r="AX3" s="5">
        <v>0.94</v>
      </c>
      <c r="AY3" s="5">
        <v>0.98</v>
      </c>
      <c r="AZ3" s="5">
        <v>1.02</v>
      </c>
      <c r="BA3" s="5">
        <v>1.06</v>
      </c>
      <c r="BB3" s="5">
        <v>1.1000000000000001</v>
      </c>
      <c r="BD3" s="5">
        <v>41.2</v>
      </c>
      <c r="BE3" s="5">
        <v>41</v>
      </c>
      <c r="BF3" s="5">
        <v>40.1</v>
      </c>
      <c r="BG3" s="5">
        <v>37.6</v>
      </c>
      <c r="BH3" s="5">
        <v>36.4</v>
      </c>
      <c r="BI3" s="5">
        <v>33.9</v>
      </c>
      <c r="BJ3" s="5">
        <v>30.4</v>
      </c>
      <c r="BK3" s="5">
        <v>33.4</v>
      </c>
      <c r="BL3" s="5">
        <v>33.5</v>
      </c>
      <c r="BM3" s="5">
        <v>36.299999999999997</v>
      </c>
      <c r="BN3" s="5">
        <v>39.4</v>
      </c>
      <c r="BO3" s="5">
        <v>39.9</v>
      </c>
      <c r="BQ3" s="10" t="s">
        <v>131</v>
      </c>
      <c r="BR3" s="13">
        <f>0.005+1.76/(Insulation_thickness+12.8)</f>
        <v>0.14249999999999999</v>
      </c>
      <c r="BS3"/>
      <c r="BT3" s="13">
        <v>1</v>
      </c>
      <c r="BU3" s="13">
        <v>1</v>
      </c>
      <c r="BV3" s="13">
        <v>0.94</v>
      </c>
      <c r="BW3" s="5">
        <v>0.7</v>
      </c>
      <c r="BX3" s="5">
        <v>0.45</v>
      </c>
      <c r="BY3" s="5">
        <v>0.44</v>
      </c>
      <c r="BZ3" s="5">
        <v>0.44</v>
      </c>
      <c r="CA3" s="5">
        <v>0.48</v>
      </c>
      <c r="CB3" s="5">
        <v>0.76</v>
      </c>
      <c r="CC3" s="5">
        <v>0.94</v>
      </c>
      <c r="CD3" s="5">
        <v>1</v>
      </c>
      <c r="CE3" s="5">
        <v>1</v>
      </c>
    </row>
    <row r="4" spans="1:83">
      <c r="A4" s="5" t="s">
        <v>64</v>
      </c>
      <c r="B4" s="5">
        <v>30</v>
      </c>
      <c r="C4" s="5">
        <v>56</v>
      </c>
      <c r="D4" s="5">
        <v>98</v>
      </c>
      <c r="E4" s="5">
        <v>157</v>
      </c>
      <c r="F4" s="5">
        <v>195</v>
      </c>
      <c r="G4" s="5">
        <v>217</v>
      </c>
      <c r="H4" s="5">
        <v>203</v>
      </c>
      <c r="I4" s="5">
        <v>173</v>
      </c>
      <c r="J4" s="5">
        <v>127</v>
      </c>
      <c r="K4" s="5">
        <v>73</v>
      </c>
      <c r="L4" s="5">
        <v>39</v>
      </c>
      <c r="M4" s="5">
        <v>24</v>
      </c>
      <c r="O4" s="5" t="s">
        <v>64</v>
      </c>
      <c r="P4" s="5">
        <v>51.6</v>
      </c>
      <c r="R4" s="5" t="s">
        <v>36</v>
      </c>
      <c r="S4" s="5">
        <v>0.16500000000000001</v>
      </c>
      <c r="T4" s="5">
        <v>-3.68</v>
      </c>
      <c r="U4" s="5">
        <v>3</v>
      </c>
      <c r="V4" s="5">
        <v>6.38</v>
      </c>
      <c r="W4" s="5">
        <v>-4.53</v>
      </c>
      <c r="X4" s="5">
        <v>-0.40500000000000003</v>
      </c>
      <c r="Y4" s="5">
        <v>-4.38</v>
      </c>
      <c r="Z4" s="5">
        <v>4.8899999999999997</v>
      </c>
      <c r="AA4" s="5">
        <v>-1.99</v>
      </c>
      <c r="AC4" s="5" t="s">
        <v>90</v>
      </c>
      <c r="AD4" s="5">
        <v>0.75</v>
      </c>
      <c r="AE4" s="5">
        <v>6</v>
      </c>
      <c r="AF4" s="5">
        <v>0.9</v>
      </c>
      <c r="AH4" s="5" t="s">
        <v>56</v>
      </c>
      <c r="AI4" s="5" t="s">
        <v>57</v>
      </c>
      <c r="AJ4" s="5">
        <v>0.65</v>
      </c>
      <c r="AL4" s="5" t="s">
        <v>149</v>
      </c>
      <c r="AM4" s="5">
        <v>0.64</v>
      </c>
      <c r="BQ4" s="13" t="s">
        <v>132</v>
      </c>
      <c r="BR4" s="13">
        <f>0.005+0.55/(Insulation_thickness+4)</f>
        <v>0.14250000000000002</v>
      </c>
      <c r="BS4"/>
      <c r="BT4"/>
      <c r="BU4"/>
      <c r="BV4"/>
    </row>
    <row r="5" spans="1:83">
      <c r="A5" s="5" t="s">
        <v>65</v>
      </c>
      <c r="B5" s="5">
        <v>32</v>
      </c>
      <c r="C5" s="5">
        <v>59</v>
      </c>
      <c r="D5" s="5">
        <v>104</v>
      </c>
      <c r="E5" s="5">
        <v>170</v>
      </c>
      <c r="F5" s="5">
        <v>208</v>
      </c>
      <c r="G5" s="5">
        <v>231</v>
      </c>
      <c r="H5" s="5">
        <v>216</v>
      </c>
      <c r="I5" s="5">
        <v>182</v>
      </c>
      <c r="J5" s="5">
        <v>133</v>
      </c>
      <c r="K5" s="5">
        <v>77</v>
      </c>
      <c r="L5" s="5">
        <v>41</v>
      </c>
      <c r="M5" s="5">
        <v>25</v>
      </c>
      <c r="O5" s="5" t="s">
        <v>65</v>
      </c>
      <c r="P5" s="5">
        <v>51.1</v>
      </c>
      <c r="R5" s="5" t="s">
        <v>37</v>
      </c>
      <c r="S5" s="5">
        <v>1.44</v>
      </c>
      <c r="T5" s="5">
        <v>-2.36</v>
      </c>
      <c r="U5" s="5">
        <v>1.07</v>
      </c>
      <c r="V5" s="5">
        <v>-0.51400000000000001</v>
      </c>
      <c r="W5" s="5">
        <v>1.89</v>
      </c>
      <c r="X5" s="5">
        <v>-1.64</v>
      </c>
      <c r="Y5" s="5">
        <v>-0.54200000000000004</v>
      </c>
      <c r="Z5" s="5">
        <v>-0.75700000000000001</v>
      </c>
      <c r="AA5" s="5">
        <v>0.60399999999999998</v>
      </c>
      <c r="AC5" s="5" t="s">
        <v>91</v>
      </c>
      <c r="AD5" s="5">
        <v>0.9</v>
      </c>
      <c r="AE5" s="5">
        <v>20</v>
      </c>
      <c r="AF5" s="5">
        <v>1</v>
      </c>
      <c r="AH5" s="5" t="s">
        <v>58</v>
      </c>
      <c r="AI5" s="5" t="s">
        <v>59</v>
      </c>
      <c r="AJ5" s="5">
        <v>0.8</v>
      </c>
      <c r="AL5" s="5" t="s">
        <v>60</v>
      </c>
      <c r="AM5" s="5">
        <v>1</v>
      </c>
      <c r="BQ5"/>
      <c r="BR5"/>
      <c r="BS5"/>
      <c r="BT5"/>
      <c r="BU5"/>
      <c r="BV5"/>
    </row>
    <row r="6" spans="1:83">
      <c r="A6" s="5" t="s">
        <v>66</v>
      </c>
      <c r="B6" s="5">
        <v>35</v>
      </c>
      <c r="C6" s="5">
        <v>62</v>
      </c>
      <c r="D6" s="5">
        <v>109</v>
      </c>
      <c r="E6" s="5">
        <v>172</v>
      </c>
      <c r="F6" s="5">
        <v>209</v>
      </c>
      <c r="G6" s="5">
        <v>235</v>
      </c>
      <c r="H6" s="5">
        <v>217</v>
      </c>
      <c r="I6" s="5">
        <v>185</v>
      </c>
      <c r="J6" s="5">
        <v>138</v>
      </c>
      <c r="K6" s="5">
        <v>80</v>
      </c>
      <c r="L6" s="5">
        <v>44</v>
      </c>
      <c r="M6" s="5">
        <v>27</v>
      </c>
      <c r="O6" s="5" t="s">
        <v>66</v>
      </c>
      <c r="P6" s="5">
        <v>50.9</v>
      </c>
      <c r="R6" s="5" t="s">
        <v>38</v>
      </c>
      <c r="S6" s="5">
        <v>-2.95</v>
      </c>
      <c r="T6" s="5">
        <v>2.89</v>
      </c>
      <c r="U6" s="5">
        <v>1.17</v>
      </c>
      <c r="V6" s="5">
        <v>5.67</v>
      </c>
      <c r="W6" s="5">
        <v>-3.54</v>
      </c>
      <c r="X6" s="5">
        <v>-4.28</v>
      </c>
      <c r="Y6" s="5">
        <v>-2.72</v>
      </c>
      <c r="Z6" s="5">
        <v>-0.25</v>
      </c>
      <c r="AA6" s="5">
        <v>3.07</v>
      </c>
      <c r="AH6" s="5" t="s">
        <v>61</v>
      </c>
      <c r="AI6" s="5" t="s">
        <v>62</v>
      </c>
      <c r="AJ6" s="5">
        <v>1</v>
      </c>
      <c r="AK6" s="8"/>
      <c r="AL6" s="5" t="s">
        <v>150</v>
      </c>
      <c r="AM6" s="5">
        <v>1.0900000000000001</v>
      </c>
      <c r="AN6" s="8"/>
      <c r="AO6" s="8"/>
      <c r="AP6" s="8"/>
      <c r="AQ6" s="8"/>
      <c r="AR6" s="8"/>
      <c r="AS6" s="8"/>
      <c r="AT6" s="8"/>
      <c r="AU6" s="8"/>
      <c r="AV6" s="8"/>
      <c r="BQ6"/>
      <c r="BR6"/>
      <c r="BS6"/>
      <c r="BT6"/>
      <c r="BU6"/>
      <c r="BV6"/>
    </row>
    <row r="7" spans="1:83">
      <c r="A7" s="5" t="s">
        <v>67</v>
      </c>
      <c r="B7" s="5">
        <v>36</v>
      </c>
      <c r="C7" s="5">
        <v>63</v>
      </c>
      <c r="D7" s="5">
        <v>111</v>
      </c>
      <c r="E7" s="5">
        <v>174</v>
      </c>
      <c r="F7" s="5">
        <v>210</v>
      </c>
      <c r="G7" s="5">
        <v>233</v>
      </c>
      <c r="H7" s="5">
        <v>204</v>
      </c>
      <c r="I7" s="5">
        <v>182</v>
      </c>
      <c r="J7" s="5">
        <v>136</v>
      </c>
      <c r="K7" s="5">
        <v>78</v>
      </c>
      <c r="L7" s="5">
        <v>44</v>
      </c>
      <c r="M7" s="5">
        <v>28</v>
      </c>
      <c r="O7" s="5" t="s">
        <v>67</v>
      </c>
      <c r="P7" s="5">
        <v>50.5</v>
      </c>
      <c r="R7" s="5" t="s">
        <v>3</v>
      </c>
      <c r="S7" s="5">
        <v>-0.66</v>
      </c>
      <c r="T7" s="5">
        <v>-0.106</v>
      </c>
      <c r="U7" s="5">
        <v>2.93</v>
      </c>
      <c r="V7" s="5">
        <v>3.63</v>
      </c>
      <c r="W7" s="5">
        <v>-0.374</v>
      </c>
      <c r="X7" s="5">
        <v>-7.4</v>
      </c>
      <c r="Y7" s="5">
        <v>-2.71</v>
      </c>
      <c r="Z7" s="5">
        <v>-0.99099999999999999</v>
      </c>
      <c r="AA7" s="5">
        <v>4.59</v>
      </c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BQ7"/>
      <c r="BR7"/>
      <c r="BS7"/>
      <c r="BT7"/>
      <c r="BU7"/>
      <c r="BV7"/>
    </row>
    <row r="8" spans="1:83">
      <c r="A8" s="5" t="s">
        <v>68</v>
      </c>
      <c r="B8" s="5">
        <v>32</v>
      </c>
      <c r="C8" s="5">
        <v>59</v>
      </c>
      <c r="D8" s="5">
        <v>105</v>
      </c>
      <c r="E8" s="5">
        <v>167</v>
      </c>
      <c r="F8" s="5">
        <v>201</v>
      </c>
      <c r="G8" s="5">
        <v>226</v>
      </c>
      <c r="H8" s="5">
        <v>206</v>
      </c>
      <c r="I8" s="5">
        <v>175</v>
      </c>
      <c r="J8" s="5">
        <v>130</v>
      </c>
      <c r="K8" s="5">
        <v>74</v>
      </c>
      <c r="L8" s="5">
        <v>40</v>
      </c>
      <c r="M8" s="5">
        <v>25</v>
      </c>
      <c r="O8" s="5" t="s">
        <v>68</v>
      </c>
      <c r="P8" s="5">
        <v>51.5</v>
      </c>
      <c r="X8" s="8"/>
      <c r="Y8" s="8"/>
      <c r="Z8" s="8"/>
      <c r="AA8" s="8"/>
      <c r="BQ8"/>
      <c r="BR8"/>
      <c r="BS8"/>
      <c r="BT8"/>
      <c r="BU8"/>
      <c r="BV8"/>
    </row>
    <row r="9" spans="1:83">
      <c r="A9" s="5" t="s">
        <v>69</v>
      </c>
      <c r="B9" s="5">
        <v>28</v>
      </c>
      <c r="C9" s="5">
        <v>55</v>
      </c>
      <c r="D9" s="5">
        <v>97</v>
      </c>
      <c r="E9" s="5">
        <v>153</v>
      </c>
      <c r="F9" s="5">
        <v>191</v>
      </c>
      <c r="G9" s="5">
        <v>208</v>
      </c>
      <c r="H9" s="5">
        <v>194</v>
      </c>
      <c r="I9" s="5">
        <v>163</v>
      </c>
      <c r="J9" s="5">
        <v>121</v>
      </c>
      <c r="K9" s="5">
        <v>69</v>
      </c>
      <c r="L9" s="5">
        <v>35</v>
      </c>
      <c r="M9" s="5">
        <v>23</v>
      </c>
      <c r="O9" s="5" t="s">
        <v>69</v>
      </c>
      <c r="P9" s="5">
        <v>52.6</v>
      </c>
      <c r="X9" s="8"/>
      <c r="Y9" s="8"/>
      <c r="Z9" s="8"/>
      <c r="AA9" s="8"/>
      <c r="BQ9"/>
      <c r="BR9"/>
      <c r="BS9"/>
      <c r="BT9"/>
      <c r="BU9"/>
      <c r="BV9"/>
    </row>
    <row r="10" spans="1:83">
      <c r="A10" s="5" t="s">
        <v>70</v>
      </c>
      <c r="B10" s="5">
        <v>24</v>
      </c>
      <c r="C10" s="5">
        <v>51</v>
      </c>
      <c r="D10" s="5">
        <v>95</v>
      </c>
      <c r="E10" s="5">
        <v>152</v>
      </c>
      <c r="F10" s="5">
        <v>191</v>
      </c>
      <c r="G10" s="5">
        <v>203</v>
      </c>
      <c r="H10" s="5">
        <v>186</v>
      </c>
      <c r="I10" s="5">
        <v>152</v>
      </c>
      <c r="J10" s="5">
        <v>115</v>
      </c>
      <c r="K10" s="5">
        <v>65</v>
      </c>
      <c r="L10" s="5">
        <v>31</v>
      </c>
      <c r="M10" s="5">
        <v>20</v>
      </c>
      <c r="O10" s="5" t="s">
        <v>70</v>
      </c>
      <c r="P10" s="5">
        <v>53.5</v>
      </c>
      <c r="X10" s="8"/>
      <c r="Y10" s="8"/>
      <c r="Z10" s="8"/>
      <c r="AA10" s="8"/>
      <c r="BQ10"/>
      <c r="BR10"/>
      <c r="BS10"/>
      <c r="BT10"/>
      <c r="BU10"/>
      <c r="BV10"/>
    </row>
    <row r="11" spans="1:83">
      <c r="A11" s="5" t="s">
        <v>71</v>
      </c>
      <c r="B11" s="5">
        <v>23</v>
      </c>
      <c r="C11" s="5">
        <v>51</v>
      </c>
      <c r="D11" s="5">
        <v>95</v>
      </c>
      <c r="E11" s="5">
        <v>157</v>
      </c>
      <c r="F11" s="5">
        <v>200</v>
      </c>
      <c r="G11" s="5">
        <v>203</v>
      </c>
      <c r="H11" s="5">
        <v>194</v>
      </c>
      <c r="I11" s="5">
        <v>156</v>
      </c>
      <c r="J11" s="5">
        <v>113</v>
      </c>
      <c r="K11" s="5">
        <v>62</v>
      </c>
      <c r="L11" s="5">
        <v>30</v>
      </c>
      <c r="M11" s="5">
        <v>19</v>
      </c>
      <c r="O11" s="5" t="s">
        <v>71</v>
      </c>
      <c r="P11" s="5">
        <v>54.6</v>
      </c>
      <c r="BQ11"/>
      <c r="BR11"/>
      <c r="BS11"/>
      <c r="BT11"/>
      <c r="BU11"/>
      <c r="BV11"/>
    </row>
    <row r="12" spans="1:83">
      <c r="A12" s="5" t="s">
        <v>72</v>
      </c>
      <c r="B12" s="5">
        <v>23</v>
      </c>
      <c r="C12" s="5">
        <v>50</v>
      </c>
      <c r="D12" s="5">
        <v>92</v>
      </c>
      <c r="E12" s="5">
        <v>151</v>
      </c>
      <c r="F12" s="5">
        <v>200</v>
      </c>
      <c r="G12" s="5">
        <v>196</v>
      </c>
      <c r="H12" s="5">
        <v>187</v>
      </c>
      <c r="I12" s="5">
        <v>153</v>
      </c>
      <c r="J12" s="5">
        <v>111</v>
      </c>
      <c r="K12" s="5">
        <v>61</v>
      </c>
      <c r="L12" s="5">
        <v>30</v>
      </c>
      <c r="M12" s="5">
        <v>18</v>
      </c>
      <c r="O12" s="5" t="s">
        <v>72</v>
      </c>
      <c r="P12" s="5">
        <v>55.2</v>
      </c>
      <c r="BQ12"/>
      <c r="BR12"/>
      <c r="BS12"/>
      <c r="BT12"/>
      <c r="BU12"/>
      <c r="BV12"/>
    </row>
    <row r="13" spans="1:83">
      <c r="A13" s="5" t="s">
        <v>73</v>
      </c>
      <c r="B13" s="5">
        <v>25</v>
      </c>
      <c r="C13" s="5">
        <v>51</v>
      </c>
      <c r="D13" s="5">
        <v>95</v>
      </c>
      <c r="E13" s="5">
        <v>152</v>
      </c>
      <c r="F13" s="5">
        <v>196</v>
      </c>
      <c r="G13" s="5">
        <v>198</v>
      </c>
      <c r="H13" s="5">
        <v>190</v>
      </c>
      <c r="I13" s="5">
        <v>156</v>
      </c>
      <c r="J13" s="5">
        <v>115</v>
      </c>
      <c r="K13" s="5">
        <v>64</v>
      </c>
      <c r="L13" s="5">
        <v>32</v>
      </c>
      <c r="M13" s="5">
        <v>20</v>
      </c>
      <c r="O13" s="5" t="s">
        <v>73</v>
      </c>
      <c r="P13" s="5">
        <v>54.4</v>
      </c>
      <c r="BQ13"/>
      <c r="BR13"/>
      <c r="BS13"/>
      <c r="BT13"/>
      <c r="BU13"/>
      <c r="BV13"/>
    </row>
    <row r="14" spans="1:83">
      <c r="A14" s="5" t="s">
        <v>74</v>
      </c>
      <c r="B14" s="5">
        <v>26</v>
      </c>
      <c r="C14" s="5">
        <v>54</v>
      </c>
      <c r="D14" s="5">
        <v>96</v>
      </c>
      <c r="E14" s="5">
        <v>150</v>
      </c>
      <c r="F14" s="5">
        <v>192</v>
      </c>
      <c r="G14" s="5">
        <v>200</v>
      </c>
      <c r="H14" s="5">
        <v>189</v>
      </c>
      <c r="I14" s="5">
        <v>157</v>
      </c>
      <c r="J14" s="5">
        <v>115</v>
      </c>
      <c r="K14" s="5">
        <v>66</v>
      </c>
      <c r="L14" s="5">
        <v>33</v>
      </c>
      <c r="M14" s="5">
        <v>21</v>
      </c>
      <c r="O14" s="5" t="s">
        <v>74</v>
      </c>
      <c r="P14" s="5">
        <v>53.5</v>
      </c>
      <c r="BQ14"/>
      <c r="BR14"/>
      <c r="BS14"/>
      <c r="BT14"/>
      <c r="BU14"/>
      <c r="BV14"/>
    </row>
    <row r="15" spans="1:83">
      <c r="A15" s="5" t="s">
        <v>75</v>
      </c>
      <c r="B15" s="5">
        <v>30</v>
      </c>
      <c r="C15" s="5">
        <v>58</v>
      </c>
      <c r="D15" s="5">
        <v>101</v>
      </c>
      <c r="E15" s="5">
        <v>165</v>
      </c>
      <c r="F15" s="5">
        <v>203</v>
      </c>
      <c r="G15" s="5">
        <v>220</v>
      </c>
      <c r="H15" s="5">
        <v>206</v>
      </c>
      <c r="I15" s="5">
        <v>173</v>
      </c>
      <c r="J15" s="5">
        <v>128</v>
      </c>
      <c r="K15" s="5">
        <v>74</v>
      </c>
      <c r="L15" s="5">
        <v>39</v>
      </c>
      <c r="M15" s="5">
        <v>24</v>
      </c>
      <c r="O15" s="5" t="s">
        <v>75</v>
      </c>
      <c r="P15" s="5">
        <v>52.1</v>
      </c>
      <c r="BQ15"/>
      <c r="BR15"/>
      <c r="BS15"/>
      <c r="BT15"/>
      <c r="BU15"/>
      <c r="BV15"/>
    </row>
    <row r="16" spans="1:83">
      <c r="A16" s="5" t="s">
        <v>76</v>
      </c>
      <c r="B16" s="5">
        <v>29</v>
      </c>
      <c r="C16" s="5">
        <v>57</v>
      </c>
      <c r="D16" s="5">
        <v>104</v>
      </c>
      <c r="E16" s="5">
        <v>164</v>
      </c>
      <c r="F16" s="5">
        <v>205</v>
      </c>
      <c r="G16" s="5">
        <v>220</v>
      </c>
      <c r="H16" s="5">
        <v>199</v>
      </c>
      <c r="I16" s="5">
        <v>167</v>
      </c>
      <c r="J16" s="5">
        <v>120</v>
      </c>
      <c r="K16" s="5">
        <v>68</v>
      </c>
      <c r="L16" s="5">
        <v>35</v>
      </c>
      <c r="M16" s="5">
        <v>22</v>
      </c>
      <c r="O16" s="5" t="s">
        <v>76</v>
      </c>
      <c r="P16" s="5">
        <v>52.6</v>
      </c>
      <c r="BQ16"/>
      <c r="BR16"/>
      <c r="BS16"/>
      <c r="BT16"/>
      <c r="BU16"/>
      <c r="BV16"/>
    </row>
    <row r="17" spans="1:16">
      <c r="A17" s="5" t="s">
        <v>77</v>
      </c>
      <c r="B17" s="5">
        <v>19</v>
      </c>
      <c r="C17" s="5">
        <v>46</v>
      </c>
      <c r="D17" s="5">
        <v>88</v>
      </c>
      <c r="E17" s="5">
        <v>148</v>
      </c>
      <c r="F17" s="5">
        <v>196</v>
      </c>
      <c r="G17" s="5">
        <v>193</v>
      </c>
      <c r="H17" s="5">
        <v>185</v>
      </c>
      <c r="I17" s="5">
        <v>150</v>
      </c>
      <c r="J17" s="5">
        <v>101</v>
      </c>
      <c r="K17" s="5">
        <v>55</v>
      </c>
      <c r="L17" s="5">
        <v>25</v>
      </c>
      <c r="M17" s="5">
        <v>15</v>
      </c>
      <c r="O17" s="5" t="s">
        <v>77</v>
      </c>
      <c r="P17" s="5">
        <v>55.9</v>
      </c>
    </row>
    <row r="18" spans="1:16">
      <c r="A18" s="5" t="s">
        <v>78</v>
      </c>
      <c r="B18" s="5">
        <v>21</v>
      </c>
      <c r="C18" s="5">
        <v>46</v>
      </c>
      <c r="D18" s="5">
        <v>89</v>
      </c>
      <c r="E18" s="5">
        <v>146</v>
      </c>
      <c r="F18" s="5">
        <v>198</v>
      </c>
      <c r="G18" s="5">
        <v>191</v>
      </c>
      <c r="H18" s="5">
        <v>183</v>
      </c>
      <c r="I18" s="5">
        <v>150</v>
      </c>
      <c r="J18" s="5">
        <v>106</v>
      </c>
      <c r="K18" s="5">
        <v>57</v>
      </c>
      <c r="L18" s="5">
        <v>27</v>
      </c>
      <c r="M18" s="5">
        <v>15</v>
      </c>
      <c r="O18" s="5" t="s">
        <v>78</v>
      </c>
      <c r="P18" s="5">
        <v>56.2</v>
      </c>
    </row>
    <row r="19" spans="1:16">
      <c r="A19" s="5" t="s">
        <v>79</v>
      </c>
      <c r="B19" s="5">
        <v>19</v>
      </c>
      <c r="C19" s="5">
        <v>45</v>
      </c>
      <c r="D19" s="5">
        <v>89</v>
      </c>
      <c r="E19" s="5">
        <v>143</v>
      </c>
      <c r="F19" s="5">
        <v>194</v>
      </c>
      <c r="G19" s="5">
        <v>188</v>
      </c>
      <c r="H19" s="5">
        <v>177</v>
      </c>
      <c r="I19" s="5">
        <v>144</v>
      </c>
      <c r="J19" s="5">
        <v>101</v>
      </c>
      <c r="K19" s="5">
        <v>54</v>
      </c>
      <c r="L19" s="5">
        <v>25</v>
      </c>
      <c r="M19" s="5">
        <v>14</v>
      </c>
      <c r="O19" s="5" t="s">
        <v>79</v>
      </c>
      <c r="P19" s="5">
        <v>57.3</v>
      </c>
    </row>
    <row r="20" spans="1:16">
      <c r="A20" s="5" t="s">
        <v>80</v>
      </c>
      <c r="B20" s="5">
        <v>17</v>
      </c>
      <c r="C20" s="5">
        <v>43</v>
      </c>
      <c r="D20" s="5">
        <v>85</v>
      </c>
      <c r="E20" s="5">
        <v>145</v>
      </c>
      <c r="F20" s="5">
        <v>189</v>
      </c>
      <c r="G20" s="5">
        <v>185</v>
      </c>
      <c r="H20" s="5">
        <v>170</v>
      </c>
      <c r="I20" s="5">
        <v>139</v>
      </c>
      <c r="J20" s="5">
        <v>98</v>
      </c>
      <c r="K20" s="5">
        <v>51</v>
      </c>
      <c r="L20" s="5">
        <v>22</v>
      </c>
      <c r="M20" s="5">
        <v>12</v>
      </c>
      <c r="O20" s="5" t="s">
        <v>80</v>
      </c>
      <c r="P20" s="5">
        <v>57.5</v>
      </c>
    </row>
    <row r="21" spans="1:16">
      <c r="A21" s="5" t="s">
        <v>81</v>
      </c>
      <c r="B21" s="5">
        <v>16</v>
      </c>
      <c r="C21" s="5">
        <v>41</v>
      </c>
      <c r="D21" s="5">
        <v>87</v>
      </c>
      <c r="E21" s="5">
        <v>155</v>
      </c>
      <c r="F21" s="5">
        <v>205</v>
      </c>
      <c r="G21" s="5">
        <v>206</v>
      </c>
      <c r="H21" s="5">
        <v>185</v>
      </c>
      <c r="I21" s="5">
        <v>148</v>
      </c>
      <c r="J21" s="5">
        <v>101</v>
      </c>
      <c r="K21" s="5">
        <v>51</v>
      </c>
      <c r="L21" s="5">
        <v>21</v>
      </c>
      <c r="M21" s="5">
        <v>11</v>
      </c>
      <c r="O21" s="5" t="s">
        <v>81</v>
      </c>
      <c r="P21" s="5">
        <v>57.7</v>
      </c>
    </row>
    <row r="22" spans="1:16">
      <c r="A22" s="5" t="s">
        <v>82</v>
      </c>
      <c r="B22" s="5">
        <v>14</v>
      </c>
      <c r="C22" s="5">
        <v>39</v>
      </c>
      <c r="D22" s="5">
        <v>84</v>
      </c>
      <c r="E22" s="5">
        <v>143</v>
      </c>
      <c r="F22" s="5">
        <v>205</v>
      </c>
      <c r="G22" s="5">
        <v>201</v>
      </c>
      <c r="H22" s="5">
        <v>178</v>
      </c>
      <c r="I22" s="5">
        <v>145</v>
      </c>
      <c r="J22" s="5">
        <v>100</v>
      </c>
      <c r="K22" s="5">
        <v>50</v>
      </c>
      <c r="L22" s="5">
        <v>19</v>
      </c>
      <c r="M22" s="5">
        <v>9</v>
      </c>
      <c r="O22" s="5" t="s">
        <v>82</v>
      </c>
      <c r="P22" s="5">
        <v>59</v>
      </c>
    </row>
    <row r="23" spans="1:16">
      <c r="A23" s="5" t="s">
        <v>83</v>
      </c>
      <c r="B23" s="5">
        <v>12</v>
      </c>
      <c r="C23" s="5">
        <v>34</v>
      </c>
      <c r="D23" s="5">
        <v>79</v>
      </c>
      <c r="E23" s="5">
        <v>135</v>
      </c>
      <c r="F23" s="5">
        <v>196</v>
      </c>
      <c r="G23" s="5">
        <v>190</v>
      </c>
      <c r="H23" s="5">
        <v>168</v>
      </c>
      <c r="I23" s="5">
        <v>144</v>
      </c>
      <c r="J23" s="5">
        <v>90</v>
      </c>
      <c r="K23" s="5">
        <v>46</v>
      </c>
      <c r="L23" s="5">
        <v>16</v>
      </c>
      <c r="M23" s="5">
        <v>7</v>
      </c>
      <c r="O23" s="5" t="s">
        <v>83</v>
      </c>
      <c r="P23" s="5">
        <v>60.1</v>
      </c>
    </row>
    <row r="24" spans="1:16">
      <c r="A24" s="5" t="s">
        <v>84</v>
      </c>
      <c r="B24" s="5">
        <v>24</v>
      </c>
      <c r="C24" s="5">
        <v>52</v>
      </c>
      <c r="D24" s="5">
        <v>96</v>
      </c>
      <c r="E24" s="5">
        <v>155</v>
      </c>
      <c r="F24" s="5">
        <v>201</v>
      </c>
      <c r="G24" s="5">
        <v>198</v>
      </c>
      <c r="H24" s="5">
        <v>183</v>
      </c>
      <c r="I24" s="5">
        <v>150</v>
      </c>
      <c r="J24" s="5">
        <v>107</v>
      </c>
      <c r="K24" s="5">
        <v>61</v>
      </c>
      <c r="L24" s="5">
        <v>30</v>
      </c>
      <c r="M24" s="5">
        <v>18</v>
      </c>
      <c r="O24" s="5" t="s">
        <v>84</v>
      </c>
      <c r="P24" s="5">
        <v>54.6</v>
      </c>
    </row>
    <row r="26" spans="1:16">
      <c r="A26" s="83" t="s">
        <v>186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</row>
    <row r="27" spans="1:16">
      <c r="A27" s="9" t="s">
        <v>17</v>
      </c>
      <c r="B27" s="5" t="s">
        <v>43</v>
      </c>
      <c r="C27" s="5" t="s">
        <v>44</v>
      </c>
      <c r="D27" s="5" t="s">
        <v>45</v>
      </c>
      <c r="E27" s="5" t="s">
        <v>46</v>
      </c>
      <c r="F27" s="5" t="s">
        <v>24</v>
      </c>
      <c r="G27" s="5" t="s">
        <v>47</v>
      </c>
      <c r="H27" s="5" t="s">
        <v>48</v>
      </c>
      <c r="I27" s="5" t="s">
        <v>49</v>
      </c>
      <c r="J27" s="5" t="s">
        <v>50</v>
      </c>
      <c r="K27" s="5" t="s">
        <v>51</v>
      </c>
      <c r="L27" s="5" t="s">
        <v>52</v>
      </c>
      <c r="M27" s="5" t="s">
        <v>53</v>
      </c>
    </row>
    <row r="28" spans="1:16">
      <c r="A28" s="5" t="s">
        <v>63</v>
      </c>
      <c r="B28" s="55">
        <v>4.3</v>
      </c>
      <c r="C28" s="55">
        <v>4.9000000000000004</v>
      </c>
      <c r="D28" s="55">
        <v>6.5</v>
      </c>
      <c r="E28" s="55">
        <v>8.9</v>
      </c>
      <c r="F28" s="55">
        <v>11.7</v>
      </c>
      <c r="G28" s="55">
        <v>14.6</v>
      </c>
      <c r="H28" s="55">
        <v>16.600000000000001</v>
      </c>
      <c r="I28" s="55">
        <v>16.399999999999999</v>
      </c>
      <c r="J28" s="55">
        <v>14.1</v>
      </c>
      <c r="K28" s="55">
        <v>10.6</v>
      </c>
      <c r="L28" s="2">
        <v>7.1</v>
      </c>
      <c r="M28" s="55">
        <v>4.2</v>
      </c>
    </row>
    <row r="29" spans="1:16">
      <c r="A29" s="5" t="s">
        <v>64</v>
      </c>
      <c r="B29" s="55">
        <v>5.0999999999999996</v>
      </c>
      <c r="C29" s="55">
        <v>5.6</v>
      </c>
      <c r="D29" s="55">
        <v>7.4</v>
      </c>
      <c r="E29" s="55">
        <v>9.9</v>
      </c>
      <c r="F29" s="55">
        <v>13</v>
      </c>
      <c r="G29" s="55">
        <v>16</v>
      </c>
      <c r="H29" s="55">
        <v>17.899999999999999</v>
      </c>
      <c r="I29" s="55">
        <v>17.8</v>
      </c>
      <c r="J29" s="55">
        <v>15.2</v>
      </c>
      <c r="K29" s="55">
        <v>11.6</v>
      </c>
      <c r="L29" s="55">
        <v>8</v>
      </c>
      <c r="M29" s="55">
        <v>5.0999999999999996</v>
      </c>
    </row>
    <row r="30" spans="1:16">
      <c r="A30" s="5" t="s">
        <v>65</v>
      </c>
      <c r="B30" s="55">
        <v>5</v>
      </c>
      <c r="C30" s="55">
        <v>5.4</v>
      </c>
      <c r="D30" s="55">
        <v>7.1</v>
      </c>
      <c r="E30" s="55">
        <v>9.5</v>
      </c>
      <c r="F30" s="55">
        <v>12.6</v>
      </c>
      <c r="G30" s="55">
        <v>15.4</v>
      </c>
      <c r="H30" s="55">
        <v>17.399999999999999</v>
      </c>
      <c r="I30" s="55">
        <v>17.5</v>
      </c>
      <c r="J30" s="55">
        <v>15</v>
      </c>
      <c r="K30" s="55">
        <v>11.7</v>
      </c>
      <c r="L30" s="55">
        <v>8.1</v>
      </c>
      <c r="M30" s="55">
        <v>5.2</v>
      </c>
    </row>
    <row r="31" spans="1:16">
      <c r="A31" s="5" t="s">
        <v>66</v>
      </c>
      <c r="B31" s="55">
        <v>5.4</v>
      </c>
      <c r="C31" s="55">
        <v>5.7</v>
      </c>
      <c r="D31" s="55">
        <v>7.3</v>
      </c>
      <c r="E31" s="55">
        <v>9.6</v>
      </c>
      <c r="F31" s="55">
        <v>12.6</v>
      </c>
      <c r="G31" s="55">
        <v>15.4</v>
      </c>
      <c r="H31" s="55">
        <v>17.3</v>
      </c>
      <c r="I31" s="55">
        <v>17.3</v>
      </c>
      <c r="J31" s="55">
        <v>15</v>
      </c>
      <c r="K31" s="55">
        <v>11.8</v>
      </c>
      <c r="L31" s="55">
        <v>8.4</v>
      </c>
      <c r="M31" s="55">
        <v>5.5</v>
      </c>
    </row>
    <row r="32" spans="1:16">
      <c r="A32" s="5" t="s">
        <v>67</v>
      </c>
      <c r="B32" s="55">
        <v>6.1</v>
      </c>
      <c r="C32" s="55">
        <v>6.4</v>
      </c>
      <c r="D32" s="55">
        <v>7.5</v>
      </c>
      <c r="E32" s="55">
        <v>9.3000000000000007</v>
      </c>
      <c r="F32" s="55">
        <v>11.9</v>
      </c>
      <c r="G32" s="55">
        <v>14.5</v>
      </c>
      <c r="H32" s="55">
        <v>16.2</v>
      </c>
      <c r="I32" s="55">
        <v>16.3</v>
      </c>
      <c r="J32" s="55">
        <v>14.6</v>
      </c>
      <c r="K32" s="55">
        <v>11.8</v>
      </c>
      <c r="L32" s="55">
        <v>9</v>
      </c>
      <c r="M32" s="55">
        <v>6.4</v>
      </c>
    </row>
    <row r="33" spans="1:13">
      <c r="A33" s="5" t="s">
        <v>68</v>
      </c>
      <c r="B33" s="55">
        <v>4.9000000000000004</v>
      </c>
      <c r="C33" s="55">
        <v>5.3</v>
      </c>
      <c r="D33" s="55">
        <v>7</v>
      </c>
      <c r="E33" s="55">
        <v>9.3000000000000007</v>
      </c>
      <c r="F33" s="55">
        <v>12.2</v>
      </c>
      <c r="G33" s="55">
        <v>15</v>
      </c>
      <c r="H33" s="55">
        <v>16.7</v>
      </c>
      <c r="I33" s="55">
        <v>16.7</v>
      </c>
      <c r="J33" s="55">
        <v>14.4</v>
      </c>
      <c r="K33" s="55">
        <v>11.1</v>
      </c>
      <c r="L33" s="55">
        <v>7.8</v>
      </c>
      <c r="M33" s="55">
        <v>4.9000000000000004</v>
      </c>
    </row>
    <row r="34" spans="1:13">
      <c r="A34" s="5" t="s">
        <v>69</v>
      </c>
      <c r="B34" s="55">
        <v>4.3</v>
      </c>
      <c r="C34" s="55">
        <v>4.8</v>
      </c>
      <c r="D34" s="55">
        <v>6.6</v>
      </c>
      <c r="E34" s="55">
        <v>9</v>
      </c>
      <c r="F34" s="55">
        <v>11.8</v>
      </c>
      <c r="G34" s="55">
        <v>14.8</v>
      </c>
      <c r="H34" s="55">
        <v>16.600000000000001</v>
      </c>
      <c r="I34" s="55">
        <v>16.5</v>
      </c>
      <c r="J34" s="55">
        <v>14</v>
      </c>
      <c r="K34" s="55">
        <v>10.5</v>
      </c>
      <c r="L34" s="55">
        <v>7.1</v>
      </c>
      <c r="M34" s="55">
        <v>4.2</v>
      </c>
    </row>
    <row r="35" spans="1:13">
      <c r="A35" s="5" t="s">
        <v>70</v>
      </c>
      <c r="B35" s="55">
        <v>4.7</v>
      </c>
      <c r="C35" s="55">
        <v>5.2</v>
      </c>
      <c r="D35" s="55">
        <v>6.7</v>
      </c>
      <c r="E35" s="55">
        <v>9.1</v>
      </c>
      <c r="F35" s="55">
        <v>12</v>
      </c>
      <c r="G35" s="55">
        <v>14.7</v>
      </c>
      <c r="H35" s="55">
        <v>16.399999999999999</v>
      </c>
      <c r="I35" s="55">
        <v>16.3</v>
      </c>
      <c r="J35" s="55">
        <v>14.1</v>
      </c>
      <c r="K35" s="55">
        <v>10.7</v>
      </c>
      <c r="L35" s="55">
        <v>7.5</v>
      </c>
      <c r="M35" s="55">
        <v>4.5999999999999996</v>
      </c>
    </row>
    <row r="36" spans="1:13">
      <c r="A36" s="5" t="s">
        <v>71</v>
      </c>
      <c r="B36" s="55">
        <v>3.9</v>
      </c>
      <c r="C36" s="55">
        <v>4.3</v>
      </c>
      <c r="D36" s="55">
        <v>5.6</v>
      </c>
      <c r="E36" s="55">
        <v>7.9</v>
      </c>
      <c r="F36" s="55">
        <v>10.7</v>
      </c>
      <c r="G36" s="55">
        <v>13.2</v>
      </c>
      <c r="H36" s="55">
        <v>14.9</v>
      </c>
      <c r="I36" s="55">
        <v>14.8</v>
      </c>
      <c r="J36" s="55">
        <v>12.8</v>
      </c>
      <c r="K36" s="55">
        <v>9.6999999999999993</v>
      </c>
      <c r="L36" s="55">
        <v>6.6</v>
      </c>
      <c r="M36" s="55">
        <v>3.7</v>
      </c>
    </row>
    <row r="37" spans="1:13">
      <c r="A37" s="5" t="s">
        <v>72</v>
      </c>
      <c r="B37" s="55">
        <v>4</v>
      </c>
      <c r="C37" s="55">
        <v>4.5</v>
      </c>
      <c r="D37" s="55">
        <v>5.8</v>
      </c>
      <c r="E37" s="55">
        <v>7.9</v>
      </c>
      <c r="F37" s="55">
        <v>10.4</v>
      </c>
      <c r="G37" s="55">
        <v>13.3</v>
      </c>
      <c r="H37" s="55">
        <v>15.2</v>
      </c>
      <c r="I37" s="55">
        <v>15.1</v>
      </c>
      <c r="J37" s="55">
        <v>13.1</v>
      </c>
      <c r="K37" s="55">
        <v>9.6999999999999993</v>
      </c>
      <c r="L37" s="55">
        <v>6.6</v>
      </c>
      <c r="M37" s="55">
        <v>3.7</v>
      </c>
    </row>
    <row r="38" spans="1:13">
      <c r="A38" s="5" t="s">
        <v>73</v>
      </c>
      <c r="B38" s="55">
        <v>4</v>
      </c>
      <c r="C38" s="55">
        <v>4.5999999999999996</v>
      </c>
      <c r="D38" s="55">
        <v>6.1</v>
      </c>
      <c r="E38" s="55">
        <v>8.3000000000000007</v>
      </c>
      <c r="F38" s="55">
        <v>10.9</v>
      </c>
      <c r="G38" s="55">
        <v>13.8</v>
      </c>
      <c r="H38" s="55">
        <v>15.8</v>
      </c>
      <c r="I38" s="55">
        <v>15.6</v>
      </c>
      <c r="J38" s="55">
        <v>13.5</v>
      </c>
      <c r="K38" s="55">
        <v>10.1</v>
      </c>
      <c r="L38" s="55">
        <v>6.7</v>
      </c>
      <c r="M38" s="55">
        <v>3.8</v>
      </c>
    </row>
    <row r="39" spans="1:13">
      <c r="A39" s="5" t="s">
        <v>74</v>
      </c>
      <c r="B39" s="55">
        <v>4.3</v>
      </c>
      <c r="C39" s="55">
        <v>4.9000000000000004</v>
      </c>
      <c r="D39" s="55">
        <v>6.5</v>
      </c>
      <c r="E39" s="55">
        <v>8.9</v>
      </c>
      <c r="F39" s="55">
        <v>11.7</v>
      </c>
      <c r="G39" s="55">
        <v>14.6</v>
      </c>
      <c r="H39" s="55">
        <v>16.600000000000001</v>
      </c>
      <c r="I39" s="55">
        <v>16.399999999999999</v>
      </c>
      <c r="J39" s="55">
        <v>14.1</v>
      </c>
      <c r="K39" s="55">
        <v>10.6</v>
      </c>
      <c r="L39" s="55">
        <v>7.1</v>
      </c>
      <c r="M39" s="55">
        <v>4.2</v>
      </c>
    </row>
    <row r="40" spans="1:13">
      <c r="A40" s="5" t="s">
        <v>75</v>
      </c>
      <c r="B40" s="55">
        <v>4.7</v>
      </c>
      <c r="C40" s="55">
        <v>5.2</v>
      </c>
      <c r="D40" s="55">
        <v>7</v>
      </c>
      <c r="E40" s="55">
        <v>9.5</v>
      </c>
      <c r="F40" s="55">
        <v>12.5</v>
      </c>
      <c r="G40" s="55">
        <v>15.4</v>
      </c>
      <c r="H40" s="55">
        <v>17.600000000000001</v>
      </c>
      <c r="I40" s="55">
        <v>17.600000000000001</v>
      </c>
      <c r="J40" s="55">
        <v>15</v>
      </c>
      <c r="K40" s="55">
        <v>11.4</v>
      </c>
      <c r="L40" s="55">
        <v>7.7</v>
      </c>
      <c r="M40" s="55">
        <v>4.7</v>
      </c>
    </row>
    <row r="41" spans="1:13">
      <c r="A41" s="5" t="s">
        <v>76</v>
      </c>
      <c r="B41" s="55">
        <v>5</v>
      </c>
      <c r="C41" s="55">
        <v>5.3</v>
      </c>
      <c r="D41" s="55">
        <v>6.5</v>
      </c>
      <c r="E41" s="55">
        <v>8.5</v>
      </c>
      <c r="F41" s="55">
        <v>11.2</v>
      </c>
      <c r="G41" s="55">
        <v>13.7</v>
      </c>
      <c r="H41" s="55">
        <v>15.3</v>
      </c>
      <c r="I41" s="55">
        <v>15.3</v>
      </c>
      <c r="J41" s="55">
        <v>13.5</v>
      </c>
      <c r="K41" s="55">
        <v>10.7</v>
      </c>
      <c r="L41" s="55">
        <v>7.8</v>
      </c>
      <c r="M41" s="55">
        <v>5.2</v>
      </c>
    </row>
    <row r="42" spans="1:13">
      <c r="A42" s="5" t="s">
        <v>77</v>
      </c>
      <c r="B42" s="55">
        <v>4</v>
      </c>
      <c r="C42" s="55">
        <v>4.4000000000000004</v>
      </c>
      <c r="D42" s="55">
        <v>5.6</v>
      </c>
      <c r="E42" s="55">
        <v>7.9</v>
      </c>
      <c r="F42" s="55">
        <v>10.4</v>
      </c>
      <c r="G42" s="55">
        <v>13</v>
      </c>
      <c r="H42" s="55">
        <v>14.5</v>
      </c>
      <c r="I42" s="55">
        <v>14.4</v>
      </c>
      <c r="J42" s="55">
        <v>12.5</v>
      </c>
      <c r="K42" s="55">
        <v>9.3000000000000007</v>
      </c>
      <c r="L42" s="55">
        <v>6.5</v>
      </c>
      <c r="M42" s="55">
        <v>3.8</v>
      </c>
    </row>
    <row r="43" spans="1:13">
      <c r="A43" s="5" t="s">
        <v>78</v>
      </c>
      <c r="B43" s="55">
        <v>3.6</v>
      </c>
      <c r="C43" s="55">
        <v>4</v>
      </c>
      <c r="D43" s="55">
        <v>5.4</v>
      </c>
      <c r="E43" s="55">
        <v>7.7</v>
      </c>
      <c r="F43" s="55">
        <v>10.1</v>
      </c>
      <c r="G43" s="55">
        <v>12.9</v>
      </c>
      <c r="H43" s="55">
        <v>14.6</v>
      </c>
      <c r="I43" s="55">
        <v>14.5</v>
      </c>
      <c r="J43" s="55">
        <v>12.5</v>
      </c>
      <c r="K43" s="55">
        <v>9.1999999999999993</v>
      </c>
      <c r="L43" s="55">
        <v>6.1</v>
      </c>
      <c r="M43" s="55">
        <v>3.2</v>
      </c>
    </row>
    <row r="44" spans="1:13">
      <c r="A44" s="5" t="s">
        <v>79</v>
      </c>
      <c r="B44" s="55">
        <v>3.3</v>
      </c>
      <c r="C44" s="55">
        <v>3.6</v>
      </c>
      <c r="D44" s="55">
        <v>5</v>
      </c>
      <c r="E44" s="55">
        <v>7.1</v>
      </c>
      <c r="F44" s="55">
        <v>9.3000000000000007</v>
      </c>
      <c r="G44" s="55">
        <v>12.2</v>
      </c>
      <c r="H44" s="55">
        <v>14</v>
      </c>
      <c r="I44" s="55">
        <v>13.9</v>
      </c>
      <c r="J44" s="55">
        <v>12</v>
      </c>
      <c r="K44" s="55">
        <v>8.8000000000000007</v>
      </c>
      <c r="L44" s="55">
        <v>5.7</v>
      </c>
      <c r="M44" s="55">
        <v>2.9</v>
      </c>
    </row>
    <row r="45" spans="1:13">
      <c r="A45" s="5" t="s">
        <v>80</v>
      </c>
      <c r="B45" s="55">
        <v>3.1</v>
      </c>
      <c r="C45" s="55">
        <v>3.2</v>
      </c>
      <c r="D45" s="55">
        <v>4.4000000000000004</v>
      </c>
      <c r="E45" s="55">
        <v>6.6</v>
      </c>
      <c r="F45" s="55">
        <v>8.9</v>
      </c>
      <c r="G45" s="55">
        <v>11.4</v>
      </c>
      <c r="H45" s="55">
        <v>13.2</v>
      </c>
      <c r="I45" s="55">
        <v>13.1</v>
      </c>
      <c r="J45" s="55">
        <v>11.3</v>
      </c>
      <c r="K45" s="55">
        <v>8.1999999999999993</v>
      </c>
      <c r="L45" s="55">
        <v>5.4</v>
      </c>
      <c r="M45" s="55">
        <v>2.7</v>
      </c>
    </row>
    <row r="46" spans="1:13">
      <c r="A46" s="5" t="s">
        <v>81</v>
      </c>
      <c r="B46" s="55">
        <v>5.2</v>
      </c>
      <c r="C46" s="55">
        <v>5</v>
      </c>
      <c r="D46" s="55">
        <v>5.8</v>
      </c>
      <c r="E46" s="55">
        <v>7.6</v>
      </c>
      <c r="F46" s="55">
        <v>9.6999999999999993</v>
      </c>
      <c r="G46" s="55">
        <v>11.8</v>
      </c>
      <c r="H46" s="55">
        <v>13.4</v>
      </c>
      <c r="I46" s="55">
        <v>13.6</v>
      </c>
      <c r="J46" s="55">
        <v>12.1</v>
      </c>
      <c r="K46" s="55">
        <v>9.6</v>
      </c>
      <c r="L46" s="55">
        <v>7.3</v>
      </c>
      <c r="M46" s="55">
        <v>5.2</v>
      </c>
    </row>
    <row r="47" spans="1:13">
      <c r="A47" s="5" t="s">
        <v>82</v>
      </c>
      <c r="B47" s="55">
        <v>4.4000000000000004</v>
      </c>
      <c r="C47" s="55">
        <v>4.2</v>
      </c>
      <c r="D47" s="55">
        <v>5</v>
      </c>
      <c r="E47" s="55">
        <v>7</v>
      </c>
      <c r="F47" s="55">
        <v>8.9</v>
      </c>
      <c r="G47" s="55">
        <v>11.2</v>
      </c>
      <c r="H47" s="55">
        <v>13.1</v>
      </c>
      <c r="I47" s="55">
        <v>13.2</v>
      </c>
      <c r="J47" s="55">
        <v>11.7</v>
      </c>
      <c r="K47" s="55">
        <v>9.1</v>
      </c>
      <c r="L47" s="55">
        <v>6.6</v>
      </c>
      <c r="M47" s="55">
        <v>4.3</v>
      </c>
    </row>
    <row r="48" spans="1:13">
      <c r="A48" s="5" t="s">
        <v>83</v>
      </c>
      <c r="B48" s="55">
        <v>4.5999999999999996</v>
      </c>
      <c r="C48" s="55">
        <v>4.0999999999999996</v>
      </c>
      <c r="D48" s="55">
        <v>4.7</v>
      </c>
      <c r="E48" s="55">
        <v>6.5</v>
      </c>
      <c r="F48" s="55">
        <v>8.3000000000000007</v>
      </c>
      <c r="G48" s="55">
        <v>10.5</v>
      </c>
      <c r="H48" s="55">
        <v>12.4</v>
      </c>
      <c r="I48" s="55">
        <v>12.8</v>
      </c>
      <c r="J48" s="55">
        <v>11.4</v>
      </c>
      <c r="K48" s="55">
        <v>8.8000000000000007</v>
      </c>
      <c r="L48" s="55">
        <v>6.5</v>
      </c>
      <c r="M48" s="55">
        <v>4.5999999999999996</v>
      </c>
    </row>
    <row r="49" spans="1:13">
      <c r="A49" s="5" t="s">
        <v>84</v>
      </c>
      <c r="B49" s="55">
        <v>4.8</v>
      </c>
      <c r="C49" s="55">
        <v>5.2</v>
      </c>
      <c r="D49" s="55">
        <v>6.4</v>
      </c>
      <c r="E49" s="55">
        <v>8.4</v>
      </c>
      <c r="F49" s="55">
        <v>10.9</v>
      </c>
      <c r="G49" s="55">
        <v>13.5</v>
      </c>
      <c r="H49" s="55">
        <v>15</v>
      </c>
      <c r="I49" s="55">
        <v>14.9</v>
      </c>
      <c r="J49" s="55">
        <v>13.1</v>
      </c>
      <c r="K49" s="55">
        <v>10</v>
      </c>
      <c r="L49" s="55">
        <v>7.2</v>
      </c>
      <c r="M49" s="55">
        <v>4.7</v>
      </c>
    </row>
  </sheetData>
  <mergeCells count="11">
    <mergeCell ref="BQ1:BR1"/>
    <mergeCell ref="BT1:CE1"/>
    <mergeCell ref="AH1:AJ1"/>
    <mergeCell ref="AL1:AM1"/>
    <mergeCell ref="AQ1:BB1"/>
    <mergeCell ref="BD1:BO1"/>
    <mergeCell ref="A26:M26"/>
    <mergeCell ref="A1:M1"/>
    <mergeCell ref="O1:P1"/>
    <mergeCell ref="R1:AA1"/>
    <mergeCell ref="AC1:AF1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79</vt:i4>
      </vt:variant>
    </vt:vector>
  </HeadingPairs>
  <TitlesOfParts>
    <vt:vector size="86" baseType="lpstr">
      <vt:lpstr>Region</vt:lpstr>
      <vt:lpstr>System Data</vt:lpstr>
      <vt:lpstr>Financial Data</vt:lpstr>
      <vt:lpstr>Hot Water Use</vt:lpstr>
      <vt:lpstr>Results</vt:lpstr>
      <vt:lpstr>Monthly Results</vt:lpstr>
      <vt:lpstr>Results 2</vt:lpstr>
      <vt:lpstr>a_1</vt:lpstr>
      <vt:lpstr>a_2</vt:lpstr>
      <vt:lpstr>a_star</vt:lpstr>
      <vt:lpstr>Actual_hot_water_use</vt:lpstr>
      <vt:lpstr>Aperture</vt:lpstr>
      <vt:lpstr>Assumed_Loss_Factor</vt:lpstr>
      <vt:lpstr>Assumed_N</vt:lpstr>
      <vt:lpstr>Calc_hot_water_use</vt:lpstr>
      <vt:lpstr>Calc_OT_Conversion</vt:lpstr>
      <vt:lpstr>Calc_Sol_Contribution</vt:lpstr>
      <vt:lpstr>Calc_Sol_Energy</vt:lpstr>
      <vt:lpstr>Calc_Sol_Energy_Available</vt:lpstr>
      <vt:lpstr>Calc_Sol_Energy_Available_f_1</vt:lpstr>
      <vt:lpstr>Calc_Sol_Energy_Available_f_1_UF</vt:lpstr>
      <vt:lpstr>Calc_Sol_Rad</vt:lpstr>
      <vt:lpstr>Calc_Total_Heating_Requirement</vt:lpstr>
      <vt:lpstr>Calc_Water_Energy_Content</vt:lpstr>
      <vt:lpstr>Calc_Water_Heat_Loss</vt:lpstr>
      <vt:lpstr>Declared_loss_factor</vt:lpstr>
      <vt:lpstr>Dedicated_storage</vt:lpstr>
      <vt:lpstr>Effecive_Solar_Volume</vt:lpstr>
      <vt:lpstr>eta_0</vt:lpstr>
      <vt:lpstr>f_1</vt:lpstr>
      <vt:lpstr>f_2</vt:lpstr>
      <vt:lpstr>Hot_water_use</vt:lpstr>
      <vt:lpstr>Install_cost</vt:lpstr>
      <vt:lpstr>Insulation_thickness</vt:lpstr>
      <vt:lpstr>Insulation_Type</vt:lpstr>
      <vt:lpstr>K_1</vt:lpstr>
      <vt:lpstr>K_2</vt:lpstr>
      <vt:lpstr>K_3</vt:lpstr>
      <vt:lpstr>K_4</vt:lpstr>
      <vt:lpstr>K_5</vt:lpstr>
      <vt:lpstr>K_6</vt:lpstr>
      <vt:lpstr>K_7</vt:lpstr>
      <vt:lpstr>K_8</vt:lpstr>
      <vt:lpstr>K_9</vt:lpstr>
      <vt:lpstr>L_125</vt:lpstr>
      <vt:lpstr>Latitude</vt:lpstr>
      <vt:lpstr>Lifespan</vt:lpstr>
      <vt:lpstr>Maintenance_cost</vt:lpstr>
      <vt:lpstr>Mean_Ext_Temp</vt:lpstr>
      <vt:lpstr>Mean_Solar_Irrad</vt:lpstr>
      <vt:lpstr>Mean_Temp</vt:lpstr>
      <vt:lpstr>Monthly_contribution</vt:lpstr>
      <vt:lpstr>N</vt:lpstr>
      <vt:lpstr>Orientation</vt:lpstr>
      <vt:lpstr>Overshading</vt:lpstr>
      <vt:lpstr>Performance_ratio</vt:lpstr>
      <vt:lpstr>Region</vt:lpstr>
      <vt:lpstr>RHI_Tarrif</vt:lpstr>
      <vt:lpstr>Shower_use</vt:lpstr>
      <vt:lpstr>Solar_Cylinder_Volume</vt:lpstr>
      <vt:lpstr>'Monthly Results'!Solar_Energy_Available</vt:lpstr>
      <vt:lpstr>Solar_Energy_Available</vt:lpstr>
      <vt:lpstr>Solar_load_ratio</vt:lpstr>
      <vt:lpstr>Storage_loss</vt:lpstr>
      <vt:lpstr>System_cost</vt:lpstr>
      <vt:lpstr>Table_Cylinder_Loss_Factor</vt:lpstr>
      <vt:lpstr>Table_Default_Collector</vt:lpstr>
      <vt:lpstr>Table_Latitude</vt:lpstr>
      <vt:lpstr>Table_Mean_Hor_Rad</vt:lpstr>
      <vt:lpstr>Table_Monthly_Water_Use</vt:lpstr>
      <vt:lpstr>Table_Orientation_Const</vt:lpstr>
      <vt:lpstr>Table_Overshading</vt:lpstr>
      <vt:lpstr>Table_Primary_Loss_Reduction</vt:lpstr>
      <vt:lpstr>Table_Shower_Use</vt:lpstr>
      <vt:lpstr>Table_temp_rise</vt:lpstr>
      <vt:lpstr>TFA</vt:lpstr>
      <vt:lpstr>Tilt</vt:lpstr>
      <vt:lpstr>Total_Cylinder_Volume</vt:lpstr>
      <vt:lpstr>UF</vt:lpstr>
      <vt:lpstr>UF_f2</vt:lpstr>
      <vt:lpstr>Volume_Factor</vt:lpstr>
      <vt:lpstr>Volume_ratio</vt:lpstr>
      <vt:lpstr>X</vt:lpstr>
      <vt:lpstr>Y</vt:lpstr>
      <vt:lpstr>Yes_No</vt:lpstr>
      <vt:lpstr>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McAleer</dc:creator>
  <cp:lastModifiedBy>Ciara</cp:lastModifiedBy>
  <cp:revision>24</cp:revision>
  <dcterms:created xsi:type="dcterms:W3CDTF">2015-03-15T17:20:31Z</dcterms:created>
  <dcterms:modified xsi:type="dcterms:W3CDTF">2015-05-03T21:07:33Z</dcterms:modified>
</cp:coreProperties>
</file>