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showInkAnnotation="0" autoCompressPictures="0"/>
  <bookViews>
    <workbookView xWindow="-15" yWindow="45" windowWidth="19440" windowHeight="11700" tabRatio="500" firstSheet="7" activeTab="7"/>
  </bookViews>
  <sheets>
    <sheet name="Financials Spreadsheet" sheetId="2" r:id="rId1"/>
    <sheet name="Data" sheetId="7" r:id="rId2"/>
    <sheet name="Sheet3" sheetId="3" r:id="rId3"/>
    <sheet name="Sheet4" sheetId="4" r:id="rId4"/>
    <sheet name="Demand per house type" sheetId="5" r:id="rId5"/>
    <sheet name="Sheet1" sheetId="1" r:id="rId6"/>
    <sheet name="The Sheet" sheetId="6" r:id="rId7"/>
    <sheet name="Final Sheet" sheetId="9" r:id="rId8"/>
    <sheet name="Match Analysis Sheet" sheetId="8" r:id="rId9"/>
    <sheet name="Temporary Storage Sheet" sheetId="10" r:id="rId10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72" i="9" l="1"/>
  <c r="W72" i="9" s="1"/>
  <c r="I72" i="9"/>
  <c r="T72" i="9"/>
  <c r="U72" i="9"/>
  <c r="V72" i="9"/>
  <c r="S72" i="9"/>
  <c r="AA72" i="9" l="1"/>
  <c r="AB72" i="9"/>
  <c r="AJ33" i="9"/>
  <c r="AJ23" i="9"/>
  <c r="AJ24" i="9"/>
  <c r="AJ25" i="9"/>
  <c r="AJ26" i="9"/>
  <c r="AJ27" i="9"/>
  <c r="AJ28" i="9"/>
  <c r="AJ29" i="9"/>
  <c r="AJ30" i="9"/>
  <c r="AJ31" i="9"/>
  <c r="AJ32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22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C72" i="9" l="1"/>
  <c r="Z69" i="9"/>
  <c r="Z70" i="9"/>
  <c r="Z71" i="9"/>
  <c r="Z62" i="9"/>
  <c r="Z63" i="9"/>
  <c r="Z64" i="9"/>
  <c r="Z65" i="9"/>
  <c r="Z66" i="9"/>
  <c r="Z67" i="9"/>
  <c r="Z6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AG22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H59" i="9"/>
  <c r="AH60" i="9"/>
  <c r="AH61" i="9"/>
  <c r="AH62" i="9"/>
  <c r="AH63" i="9"/>
  <c r="AH64" i="9"/>
  <c r="AH65" i="9"/>
  <c r="AH66" i="9"/>
  <c r="AH67" i="9"/>
  <c r="AH68" i="9"/>
  <c r="AH69" i="9"/>
  <c r="AH70" i="9"/>
  <c r="AH71" i="9"/>
  <c r="AH23" i="9"/>
  <c r="AH24" i="9"/>
  <c r="AH25" i="9"/>
  <c r="AH26" i="9"/>
  <c r="AH27" i="9"/>
  <c r="AH28" i="9"/>
  <c r="AH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G59" i="9"/>
  <c r="AG60" i="9"/>
  <c r="AG61" i="9"/>
  <c r="AG62" i="9"/>
  <c r="AG63" i="9"/>
  <c r="AG64" i="9"/>
  <c r="AG65" i="9"/>
  <c r="AG66" i="9"/>
  <c r="AG67" i="9"/>
  <c r="AG68" i="9"/>
  <c r="AG69" i="9"/>
  <c r="AG70" i="9"/>
  <c r="AG71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22" i="9"/>
  <c r="AE22" i="9"/>
  <c r="AD22" i="9"/>
  <c r="Z22" i="9" l="1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23" i="9"/>
  <c r="AB22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23" i="9"/>
  <c r="AA22" i="9"/>
  <c r="AF71" i="9" l="1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F72" i="9" l="1"/>
  <c r="AE72" i="9"/>
  <c r="P24" i="9"/>
  <c r="W24" i="9" s="1"/>
  <c r="P25" i="9"/>
  <c r="W25" i="9" s="1"/>
  <c r="P26" i="9"/>
  <c r="W26" i="9" s="1"/>
  <c r="P27" i="9"/>
  <c r="W27" i="9" s="1"/>
  <c r="P28" i="9"/>
  <c r="W28" i="9" s="1"/>
  <c r="P29" i="9"/>
  <c r="W29" i="9" s="1"/>
  <c r="P30" i="9"/>
  <c r="W30" i="9" s="1"/>
  <c r="P31" i="9"/>
  <c r="W31" i="9" s="1"/>
  <c r="P32" i="9"/>
  <c r="W32" i="9" s="1"/>
  <c r="P33" i="9"/>
  <c r="W33" i="9" s="1"/>
  <c r="P34" i="9"/>
  <c r="W34" i="9" s="1"/>
  <c r="P35" i="9"/>
  <c r="W35" i="9" s="1"/>
  <c r="P36" i="9"/>
  <c r="W36" i="9" s="1"/>
  <c r="P37" i="9"/>
  <c r="W37" i="9" s="1"/>
  <c r="P38" i="9"/>
  <c r="W38" i="9" s="1"/>
  <c r="P39" i="9"/>
  <c r="W39" i="9" s="1"/>
  <c r="P40" i="9"/>
  <c r="W40" i="9" s="1"/>
  <c r="P41" i="9"/>
  <c r="W41" i="9" s="1"/>
  <c r="P42" i="9"/>
  <c r="W42" i="9" s="1"/>
  <c r="P43" i="9"/>
  <c r="W43" i="9" s="1"/>
  <c r="P44" i="9"/>
  <c r="W44" i="9" s="1"/>
  <c r="P45" i="9"/>
  <c r="W45" i="9" s="1"/>
  <c r="P46" i="9"/>
  <c r="W46" i="9" s="1"/>
  <c r="P47" i="9"/>
  <c r="W47" i="9" s="1"/>
  <c r="P48" i="9"/>
  <c r="W48" i="9" s="1"/>
  <c r="P49" i="9"/>
  <c r="W49" i="9" s="1"/>
  <c r="P50" i="9"/>
  <c r="W50" i="9" s="1"/>
  <c r="P51" i="9"/>
  <c r="W51" i="9" s="1"/>
  <c r="P52" i="9"/>
  <c r="W52" i="9" s="1"/>
  <c r="P53" i="9"/>
  <c r="W53" i="9" s="1"/>
  <c r="P54" i="9"/>
  <c r="W54" i="9" s="1"/>
  <c r="P55" i="9"/>
  <c r="W55" i="9" s="1"/>
  <c r="P56" i="9"/>
  <c r="W56" i="9" s="1"/>
  <c r="P57" i="9"/>
  <c r="W57" i="9" s="1"/>
  <c r="P58" i="9"/>
  <c r="W58" i="9" s="1"/>
  <c r="P59" i="9"/>
  <c r="W59" i="9" s="1"/>
  <c r="P60" i="9"/>
  <c r="W60" i="9" s="1"/>
  <c r="P61" i="9"/>
  <c r="W61" i="9" s="1"/>
  <c r="P62" i="9"/>
  <c r="W62" i="9" s="1"/>
  <c r="P63" i="9"/>
  <c r="W63" i="9" s="1"/>
  <c r="P64" i="9"/>
  <c r="W64" i="9" s="1"/>
  <c r="P65" i="9"/>
  <c r="W65" i="9" s="1"/>
  <c r="P66" i="9"/>
  <c r="W66" i="9" s="1"/>
  <c r="P67" i="9"/>
  <c r="W67" i="9" s="1"/>
  <c r="P68" i="9"/>
  <c r="W68" i="9" s="1"/>
  <c r="P69" i="9"/>
  <c r="W69" i="9" s="1"/>
  <c r="P70" i="9"/>
  <c r="W70" i="9" s="1"/>
  <c r="P71" i="9"/>
  <c r="W71" i="9" s="1"/>
  <c r="P23" i="9"/>
  <c r="W23" i="9" s="1"/>
  <c r="P22" i="9"/>
  <c r="W22" i="9" s="1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23" i="9"/>
  <c r="L22" i="9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35" i="9"/>
  <c r="J35" i="9" s="1"/>
  <c r="I36" i="9"/>
  <c r="J36" i="9" s="1"/>
  <c r="I37" i="9"/>
  <c r="J37" i="9" s="1"/>
  <c r="I38" i="9"/>
  <c r="J38" i="9" s="1"/>
  <c r="I39" i="9"/>
  <c r="J39" i="9" s="1"/>
  <c r="I40" i="9"/>
  <c r="J40" i="9" s="1"/>
  <c r="I41" i="9"/>
  <c r="J41" i="9" s="1"/>
  <c r="I42" i="9"/>
  <c r="J42" i="9" s="1"/>
  <c r="I43" i="9"/>
  <c r="J43" i="9" s="1"/>
  <c r="I44" i="9"/>
  <c r="J44" i="9" s="1"/>
  <c r="I45" i="9"/>
  <c r="J45" i="9" s="1"/>
  <c r="I46" i="9"/>
  <c r="J46" i="9" s="1"/>
  <c r="I47" i="9"/>
  <c r="J47" i="9" s="1"/>
  <c r="I48" i="9"/>
  <c r="J48" i="9" s="1"/>
  <c r="I49" i="9"/>
  <c r="J49" i="9" s="1"/>
  <c r="I50" i="9"/>
  <c r="J50" i="9" s="1"/>
  <c r="I51" i="9"/>
  <c r="J51" i="9" s="1"/>
  <c r="I52" i="9"/>
  <c r="J52" i="9" s="1"/>
  <c r="I53" i="9"/>
  <c r="J53" i="9" s="1"/>
  <c r="I54" i="9"/>
  <c r="J54" i="9" s="1"/>
  <c r="I55" i="9"/>
  <c r="J55" i="9" s="1"/>
  <c r="I56" i="9"/>
  <c r="J56" i="9" s="1"/>
  <c r="I57" i="9"/>
  <c r="J57" i="9" s="1"/>
  <c r="I58" i="9"/>
  <c r="J58" i="9" s="1"/>
  <c r="I59" i="9"/>
  <c r="J59" i="9" s="1"/>
  <c r="I60" i="9"/>
  <c r="J60" i="9" s="1"/>
  <c r="I61" i="9"/>
  <c r="J61" i="9" s="1"/>
  <c r="I62" i="9"/>
  <c r="J62" i="9" s="1"/>
  <c r="I63" i="9"/>
  <c r="J63" i="9" s="1"/>
  <c r="I64" i="9"/>
  <c r="J64" i="9" s="1"/>
  <c r="I65" i="9"/>
  <c r="J65" i="9" s="1"/>
  <c r="I66" i="9"/>
  <c r="J66" i="9" s="1"/>
  <c r="I67" i="9"/>
  <c r="J67" i="9" s="1"/>
  <c r="I68" i="9"/>
  <c r="J68" i="9" s="1"/>
  <c r="I69" i="9"/>
  <c r="J69" i="9" s="1"/>
  <c r="I70" i="9"/>
  <c r="J70" i="9" s="1"/>
  <c r="I71" i="9"/>
  <c r="J71" i="9" s="1"/>
  <c r="I23" i="9"/>
  <c r="J23" i="9" s="1"/>
  <c r="I22" i="9"/>
  <c r="J22" i="9" s="1"/>
  <c r="R63" i="9" l="1"/>
  <c r="AD63" i="9"/>
  <c r="R59" i="9"/>
  <c r="AD59" i="9"/>
  <c r="R51" i="9"/>
  <c r="AD51" i="9"/>
  <c r="R43" i="9"/>
  <c r="AD43" i="9"/>
  <c r="R35" i="9"/>
  <c r="AD35" i="9"/>
  <c r="R31" i="9"/>
  <c r="AD31" i="9"/>
  <c r="R70" i="9"/>
  <c r="AD70" i="9"/>
  <c r="R66" i="9"/>
  <c r="AD66" i="9"/>
  <c r="R62" i="9"/>
  <c r="AD62" i="9"/>
  <c r="R58" i="9"/>
  <c r="AD58" i="9"/>
  <c r="R54" i="9"/>
  <c r="AD54" i="9"/>
  <c r="R46" i="9"/>
  <c r="AD46" i="9"/>
  <c r="R42" i="9"/>
  <c r="AD42" i="9"/>
  <c r="R38" i="9"/>
  <c r="AD38" i="9"/>
  <c r="R34" i="9"/>
  <c r="AD34" i="9"/>
  <c r="R30" i="9"/>
  <c r="AD30" i="9"/>
  <c r="R26" i="9"/>
  <c r="AD26" i="9"/>
  <c r="R22" i="9"/>
  <c r="R69" i="9"/>
  <c r="AD69" i="9"/>
  <c r="R65" i="9"/>
  <c r="AD65" i="9"/>
  <c r="R61" i="9"/>
  <c r="AD61" i="9"/>
  <c r="R57" i="9"/>
  <c r="AD57" i="9"/>
  <c r="R53" i="9"/>
  <c r="AD53" i="9"/>
  <c r="R49" i="9"/>
  <c r="AD49" i="9"/>
  <c r="R45" i="9"/>
  <c r="AD45" i="9"/>
  <c r="R41" i="9"/>
  <c r="AD41" i="9"/>
  <c r="R37" i="9"/>
  <c r="AD37" i="9"/>
  <c r="R33" i="9"/>
  <c r="AD33" i="9"/>
  <c r="R29" i="9"/>
  <c r="AD29" i="9"/>
  <c r="R25" i="9"/>
  <c r="AD25" i="9"/>
  <c r="R71" i="9"/>
  <c r="AD71" i="9"/>
  <c r="R67" i="9"/>
  <c r="AD67" i="9"/>
  <c r="R55" i="9"/>
  <c r="AD55" i="9"/>
  <c r="R47" i="9"/>
  <c r="AD47" i="9"/>
  <c r="R39" i="9"/>
  <c r="AD39" i="9"/>
  <c r="R27" i="9"/>
  <c r="AD27" i="9"/>
  <c r="R50" i="9"/>
  <c r="AD50" i="9"/>
  <c r="R23" i="9"/>
  <c r="AD23" i="9"/>
  <c r="R68" i="9"/>
  <c r="AD68" i="9"/>
  <c r="R64" i="9"/>
  <c r="AD64" i="9"/>
  <c r="R60" i="9"/>
  <c r="AD60" i="9"/>
  <c r="R56" i="9"/>
  <c r="AD56" i="9"/>
  <c r="R52" i="9"/>
  <c r="AD52" i="9"/>
  <c r="R48" i="9"/>
  <c r="AD48" i="9"/>
  <c r="R44" i="9"/>
  <c r="AD44" i="9"/>
  <c r="R40" i="9"/>
  <c r="AD40" i="9"/>
  <c r="R36" i="9"/>
  <c r="AD36" i="9"/>
  <c r="R32" i="9"/>
  <c r="AD32" i="9"/>
  <c r="R28" i="9"/>
  <c r="AD28" i="9"/>
  <c r="R24" i="9"/>
  <c r="AD24" i="9"/>
  <c r="M11" i="8"/>
  <c r="M10" i="8"/>
  <c r="M9" i="8"/>
  <c r="M8" i="8"/>
  <c r="M7" i="8"/>
  <c r="M6" i="8"/>
  <c r="M5" i="8"/>
  <c r="M4" i="8"/>
  <c r="M3" i="8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14" i="6"/>
  <c r="L64" i="6" s="1"/>
  <c r="E66" i="6"/>
  <c r="E65" i="6"/>
  <c r="AD72" i="9" l="1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14" i="6"/>
  <c r="I80" i="6"/>
  <c r="G75" i="6"/>
  <c r="H72" i="6"/>
  <c r="H71" i="6"/>
  <c r="H70" i="6"/>
  <c r="AH72" i="9" l="1"/>
  <c r="AG72" i="9"/>
  <c r="R67" i="6"/>
  <c r="R69" i="6" s="1"/>
  <c r="R65" i="6"/>
  <c r="S67" i="6" l="1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14" i="6"/>
  <c r="G63" i="6"/>
  <c r="G56" i="6"/>
  <c r="G55" i="6"/>
  <c r="G54" i="6"/>
  <c r="G36" i="6"/>
  <c r="G34" i="6"/>
  <c r="G33" i="6"/>
  <c r="G32" i="6"/>
  <c r="G31" i="6"/>
  <c r="G26" i="6"/>
  <c r="G25" i="6"/>
  <c r="G22" i="6"/>
  <c r="G21" i="6"/>
  <c r="G20" i="6"/>
  <c r="G19" i="6"/>
  <c r="G16" i="6"/>
  <c r="G17" i="6"/>
  <c r="G18" i="6"/>
  <c r="G23" i="6"/>
  <c r="G24" i="6"/>
  <c r="G27" i="6"/>
  <c r="G28" i="6"/>
  <c r="G29" i="6"/>
  <c r="G30" i="6"/>
  <c r="G35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7" i="6"/>
  <c r="G58" i="6"/>
  <c r="G59" i="6"/>
  <c r="G60" i="6"/>
  <c r="G61" i="6"/>
  <c r="G62" i="6"/>
  <c r="G15" i="6"/>
  <c r="G14" i="6"/>
  <c r="G64" i="6" s="1"/>
  <c r="X64" i="6" l="1"/>
  <c r="B9" i="2"/>
  <c r="R6" i="6"/>
  <c r="R4" i="6"/>
  <c r="R5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P55" i="6" s="1"/>
  <c r="Q55" i="6" s="1"/>
  <c r="O56" i="6"/>
  <c r="P56" i="6" s="1"/>
  <c r="Q56" i="6" s="1"/>
  <c r="O57" i="6"/>
  <c r="O58" i="6"/>
  <c r="O59" i="6"/>
  <c r="O60" i="6"/>
  <c r="O61" i="6"/>
  <c r="O62" i="6"/>
  <c r="O63" i="6"/>
  <c r="O14" i="6"/>
  <c r="H13" i="3"/>
  <c r="H62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I60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1" i="3"/>
  <c r="I62" i="3"/>
  <c r="I13" i="3"/>
  <c r="S71" i="6" l="1"/>
  <c r="S74" i="6"/>
  <c r="S73" i="6"/>
  <c r="B26" i="2"/>
  <c r="B12" i="2"/>
  <c r="B27" i="2"/>
  <c r="P17" i="6"/>
  <c r="Q17" i="6" s="1"/>
  <c r="P15" i="6"/>
  <c r="Q15" i="6" s="1"/>
  <c r="P14" i="6"/>
  <c r="Q14" i="6" s="1"/>
  <c r="P62" i="6"/>
  <c r="Q62" i="6" s="1"/>
  <c r="P60" i="6"/>
  <c r="Q60" i="6" s="1"/>
  <c r="P58" i="6"/>
  <c r="Q58" i="6" s="1"/>
  <c r="P54" i="6"/>
  <c r="Q54" i="6" s="1"/>
  <c r="P52" i="6"/>
  <c r="Q52" i="6" s="1"/>
  <c r="P50" i="6"/>
  <c r="Q50" i="6" s="1"/>
  <c r="P48" i="6"/>
  <c r="Q48" i="6" s="1"/>
  <c r="P46" i="6"/>
  <c r="Q46" i="6" s="1"/>
  <c r="P44" i="6"/>
  <c r="Q44" i="6" s="1"/>
  <c r="P42" i="6"/>
  <c r="Q42" i="6" s="1"/>
  <c r="P40" i="6"/>
  <c r="Q40" i="6" s="1"/>
  <c r="P38" i="6"/>
  <c r="Q38" i="6" s="1"/>
  <c r="P36" i="6"/>
  <c r="Q36" i="6" s="1"/>
  <c r="P34" i="6"/>
  <c r="Q34" i="6" s="1"/>
  <c r="P32" i="6"/>
  <c r="Q32" i="6" s="1"/>
  <c r="P30" i="6"/>
  <c r="Q30" i="6" s="1"/>
  <c r="P28" i="6"/>
  <c r="Q28" i="6" s="1"/>
  <c r="P26" i="6"/>
  <c r="Q26" i="6" s="1"/>
  <c r="P24" i="6"/>
  <c r="Q24" i="6" s="1"/>
  <c r="P22" i="6"/>
  <c r="Q22" i="6" s="1"/>
  <c r="P20" i="6"/>
  <c r="Q20" i="6" s="1"/>
  <c r="P18" i="6"/>
  <c r="Q18" i="6" s="1"/>
  <c r="P16" i="6"/>
  <c r="Q16" i="6" s="1"/>
  <c r="P63" i="6"/>
  <c r="Q63" i="6" s="1"/>
  <c r="P61" i="6"/>
  <c r="Q61" i="6" s="1"/>
  <c r="P59" i="6"/>
  <c r="Q59" i="6" s="1"/>
  <c r="P57" i="6"/>
  <c r="Q57" i="6" s="1"/>
  <c r="P53" i="6"/>
  <c r="Q53" i="6" s="1"/>
  <c r="P51" i="6"/>
  <c r="Q51" i="6" s="1"/>
  <c r="P49" i="6"/>
  <c r="Q49" i="6" s="1"/>
  <c r="P47" i="6"/>
  <c r="Q47" i="6" s="1"/>
  <c r="P45" i="6"/>
  <c r="Q45" i="6" s="1"/>
  <c r="P43" i="6"/>
  <c r="Q43" i="6" s="1"/>
  <c r="P41" i="6"/>
  <c r="Q41" i="6" s="1"/>
  <c r="P39" i="6"/>
  <c r="Q39" i="6" s="1"/>
  <c r="P37" i="6"/>
  <c r="Q37" i="6" s="1"/>
  <c r="P35" i="6"/>
  <c r="Q35" i="6" s="1"/>
  <c r="P33" i="6"/>
  <c r="Q33" i="6" s="1"/>
  <c r="P31" i="6"/>
  <c r="Q31" i="6" s="1"/>
  <c r="P29" i="6"/>
  <c r="Q29" i="6" s="1"/>
  <c r="P27" i="6"/>
  <c r="Q27" i="6" s="1"/>
  <c r="P25" i="6"/>
  <c r="Q25" i="6" s="1"/>
  <c r="P23" i="6"/>
  <c r="Q23" i="6" s="1"/>
  <c r="P21" i="6"/>
  <c r="Q21" i="6" s="1"/>
  <c r="P19" i="6"/>
  <c r="Q19" i="6" s="1"/>
  <c r="E64" i="3"/>
  <c r="E66" i="3"/>
  <c r="B53" i="4"/>
  <c r="E53" i="4" s="1"/>
  <c r="C53" i="4"/>
  <c r="Q65" i="6" l="1"/>
  <c r="Q9" i="6" s="1"/>
  <c r="B16" i="2"/>
  <c r="B21" i="2" l="1"/>
  <c r="B18" i="2"/>
  <c r="B22" i="2" s="1"/>
  <c r="B17" i="2"/>
  <c r="B23" i="2" l="1"/>
  <c r="B34" i="2" s="1"/>
  <c r="B33" i="2" l="1"/>
</calcChain>
</file>

<file path=xl/comments1.xml><?xml version="1.0" encoding="utf-8"?>
<comments xmlns="http://schemas.openxmlformats.org/spreadsheetml/2006/main">
  <authors>
    <author>Iain</author>
  </authors>
  <commentList>
    <comment ref="H12" authorId="0">
      <text>
        <r>
          <rPr>
            <b/>
            <sz val="9"/>
            <color indexed="81"/>
            <rFont val="Tahoma"/>
            <family val="2"/>
          </rPr>
          <t>Iain:</t>
        </r>
        <r>
          <rPr>
            <sz val="9"/>
            <color indexed="81"/>
            <rFont val="Tahoma"/>
            <family val="2"/>
          </rPr>
          <t xml:space="preserve">
This is the angle of the PV modules relative to the direction due South. -90 deg. is East, 0 deg. is South and 90 deg. is West.</t>
        </r>
      </text>
    </comment>
  </commentList>
</comments>
</file>

<file path=xl/comments2.xml><?xml version="1.0" encoding="utf-8"?>
<comments xmlns="http://schemas.openxmlformats.org/spreadsheetml/2006/main">
  <authors>
    <author>fireblade</author>
  </authors>
  <commentList>
    <comment ref="M21" authorId="0">
      <text>
        <r>
          <rPr>
            <b/>
            <sz val="9"/>
            <color indexed="81"/>
            <rFont val="Tahoma"/>
            <family val="2"/>
          </rPr>
          <t>fireblade:</t>
        </r>
        <r>
          <rPr>
            <sz val="9"/>
            <color indexed="81"/>
            <rFont val="Tahoma"/>
            <family val="2"/>
          </rPr>
          <t xml:space="preserve">
Mapped roof area in google earth so that there is aproximately 1 / cos(roof angle) fraction of extra space avalable.</t>
        </r>
      </text>
    </comment>
  </commentList>
</comments>
</file>

<file path=xl/sharedStrings.xml><?xml version="1.0" encoding="utf-8"?>
<sst xmlns="http://schemas.openxmlformats.org/spreadsheetml/2006/main" count="688" uniqueCount="273">
  <si>
    <r>
      <t xml:space="preserve">y </t>
    </r>
    <r>
      <rPr>
        <sz val="10"/>
        <rFont val="Verdana"/>
        <family val="2"/>
      </rPr>
      <t xml:space="preserve">p/kWh for </t>
    </r>
    <r>
      <rPr>
        <i/>
        <sz val="10"/>
        <rFont val="Verdana"/>
        <family val="2"/>
      </rPr>
      <t>x</t>
    </r>
    <r>
      <rPr>
        <sz val="10"/>
        <rFont val="Verdana"/>
        <family val="2"/>
      </rPr>
      <t xml:space="preserve"> kWh =</t>
    </r>
    <phoneticPr fontId="6" type="noConversion"/>
  </si>
  <si>
    <t>Profit over 25 years</t>
    <phoneticPr fontId="6" type="noConversion"/>
  </si>
  <si>
    <t>Cost of panel and installation</t>
    <phoneticPr fontId="6" type="noConversion"/>
  </si>
  <si>
    <t>Units (in kWh)</t>
    <phoneticPr fontId="6" type="noConversion"/>
  </si>
  <si>
    <t>Income generated per year (based on Tariffs from 12 Dec 2011)      £</t>
    <phoneticPr fontId="6" type="noConversion"/>
  </si>
  <si>
    <t>Total electricity generated</t>
    <phoneticPr fontId="6" type="noConversion"/>
  </si>
  <si>
    <t>Export income</t>
    <phoneticPr fontId="6" type="noConversion"/>
  </si>
  <si>
    <t>Electricity savings</t>
    <phoneticPr fontId="6" type="noConversion"/>
  </si>
  <si>
    <t>Investment value</t>
    <phoneticPr fontId="6" type="noConversion"/>
  </si>
  <si>
    <t>Payback time</t>
    <phoneticPr fontId="6" type="noConversion"/>
  </si>
  <si>
    <t>years</t>
    <phoneticPr fontId="6" type="noConversion"/>
  </si>
  <si>
    <t>£</t>
    <phoneticPr fontId="6" type="noConversion"/>
  </si>
  <si>
    <r>
      <t>cost of panels - annual income and savings(</t>
    </r>
    <r>
      <rPr>
        <i/>
        <sz val="10"/>
        <rFont val="Verdana"/>
        <family val="2"/>
      </rPr>
      <t>x years</t>
    </r>
    <r>
      <rPr>
        <sz val="10"/>
        <rFont val="Verdana"/>
        <family val="2"/>
      </rPr>
      <t>) =</t>
    </r>
    <phoneticPr fontId="6" type="noConversion"/>
  </si>
  <si>
    <t>annual income and savings x 25 years</t>
    <phoneticPr fontId="6" type="noConversion"/>
  </si>
  <si>
    <t>Electricity produced per year</t>
  </si>
  <si>
    <t>units used directly</t>
    <phoneticPr fontId="6" type="noConversion"/>
  </si>
  <si>
    <t>units sold to the grid</t>
    <phoneticPr fontId="6" type="noConversion"/>
  </si>
  <si>
    <t>kWh</t>
    <phoneticPr fontId="6" type="noConversion"/>
  </si>
  <si>
    <t>£</t>
  </si>
  <si>
    <t>Fit Generation Tariff</t>
    <phoneticPr fontId="6" type="noConversion"/>
  </si>
  <si>
    <t>Total annual income &amp; savings</t>
  </si>
  <si>
    <t>Other things to consider adding:</t>
  </si>
  <si>
    <t>maintenance</t>
  </si>
  <si>
    <t>replacement of equipment</t>
  </si>
  <si>
    <t>additional installation costs</t>
  </si>
  <si>
    <t>PV panel insurance</t>
  </si>
  <si>
    <t>tax on FIT payments (applicable to companies who own the property and rent it out</t>
  </si>
  <si>
    <t xml:space="preserve">10,4 % of 35295kWh = </t>
  </si>
  <si>
    <r>
      <t>89,6</t>
    </r>
    <r>
      <rPr>
        <sz val="10"/>
        <rFont val="Verdana"/>
        <family val="2"/>
      </rPr>
      <t xml:space="preserve">% of </t>
    </r>
    <r>
      <rPr>
        <i/>
        <sz val="10"/>
        <rFont val="Verdana"/>
        <family val="2"/>
      </rPr>
      <t xml:space="preserve">35295 </t>
    </r>
    <r>
      <rPr>
        <sz val="10"/>
        <rFont val="Verdana"/>
        <family val="2"/>
      </rPr>
      <t xml:space="preserve">kWh = </t>
    </r>
  </si>
  <si>
    <t>100W Panel (Poly)</t>
  </si>
  <si>
    <t>Investment value</t>
  </si>
  <si>
    <t>Environmental Impact</t>
  </si>
  <si>
    <t xml:space="preserve">Maximum number of panels per Roof </t>
  </si>
  <si>
    <t xml:space="preserve">32a </t>
  </si>
  <si>
    <t xml:space="preserve">32b </t>
  </si>
  <si>
    <t xml:space="preserve">33a </t>
  </si>
  <si>
    <t xml:space="preserve">33b </t>
  </si>
  <si>
    <r>
      <t>House Number</t>
    </r>
    <r>
      <rPr>
        <b/>
        <sz val="10"/>
        <color rgb="FF000000"/>
        <rFont val="Arial"/>
        <family val="2"/>
      </rPr>
      <t xml:space="preserve"> </t>
    </r>
  </si>
  <si>
    <r>
      <t>Measured Autocad Footprint</t>
    </r>
    <r>
      <rPr>
        <b/>
        <sz val="10"/>
        <color rgb="FF000000"/>
        <rFont val="Arial"/>
        <family val="2"/>
      </rPr>
      <t xml:space="preserve"> </t>
    </r>
  </si>
  <si>
    <r>
      <t>Total Floor area</t>
    </r>
    <r>
      <rPr>
        <b/>
        <sz val="10"/>
        <color rgb="FF000000"/>
        <rFont val="Arial"/>
        <family val="2"/>
      </rPr>
      <t xml:space="preserve"> </t>
    </r>
  </si>
  <si>
    <r>
      <t>Useful area</t>
    </r>
    <r>
      <rPr>
        <b/>
        <sz val="10"/>
        <color rgb="FF000000"/>
        <rFont val="Arial"/>
        <family val="2"/>
      </rPr>
      <t xml:space="preserve"> </t>
    </r>
  </si>
  <si>
    <r>
      <t>ROOF ORIENTATION</t>
    </r>
    <r>
      <rPr>
        <b/>
        <sz val="10"/>
        <color rgb="FF000000"/>
        <rFont val="Arial"/>
        <family val="2"/>
      </rPr>
      <t xml:space="preserve"> </t>
    </r>
  </si>
  <si>
    <t xml:space="preserve">House Number </t>
  </si>
  <si>
    <t xml:space="preserve">KWh/panel </t>
  </si>
  <si>
    <t xml:space="preserve">KWh/year </t>
  </si>
  <si>
    <t xml:space="preserve"> </t>
  </si>
  <si>
    <t>Total panel</t>
  </si>
  <si>
    <t>Total panel area (m²)</t>
  </si>
  <si>
    <t>Total Panel area</t>
  </si>
  <si>
    <t>Number of 8m² panels</t>
  </si>
  <si>
    <t>Capacity</t>
  </si>
  <si>
    <t>483.6 kW(p)</t>
  </si>
  <si>
    <t>Electricity produced per year (kWh/year )</t>
  </si>
  <si>
    <t>Units used directly</t>
  </si>
  <si>
    <t xml:space="preserve">Units sold to the grid </t>
  </si>
  <si>
    <t>FiT Generation Tariff</t>
  </si>
  <si>
    <t>21p/kWh</t>
  </si>
  <si>
    <t xml:space="preserve">3.1p/kWh </t>
  </si>
  <si>
    <t>Export income</t>
  </si>
  <si>
    <t>http://www.ofgem.gov.uk/Sustainability/Environment/fits/Documents1/Feed-in%20Tariff%20Table%201%20August%202011.pdf</t>
  </si>
  <si>
    <t xml:space="preserve">Electricity  </t>
  </si>
  <si>
    <t>Panel information</t>
  </si>
  <si>
    <t xml:space="preserve">Income generated per year </t>
  </si>
  <si>
    <t>Payback time in years</t>
  </si>
  <si>
    <t>http://www.google.co.uk/search?ix=seb&amp;sourceid=chrome&amp;ie=UTF-8&amp;q=100w+poly+panel#q=100w+poly+panel&amp;hl=en&amp;prmd=imvns&amp;source=lnms&amp;tbm=shop&amp;ei=ya9GT-iRB8yp8APz_KGvDg&amp;sa=X&amp;oi=mode_link&amp;ct=mode&amp;cd=6&amp;ved=0CD4Q_AUoBQ&amp;bav=on.2,or.r_gc.r_pw.r_cp.r_qf.,cf.osb&amp;fp=9aab1fd4dd9be69f&amp;biw=1280&amp;bih=675&amp;ix=seb</t>
  </si>
  <si>
    <t>http://info.cat.org.uk/solarcalculator</t>
  </si>
  <si>
    <t>3000 + estimated installation</t>
  </si>
  <si>
    <t>Overall site PV financials</t>
  </si>
  <si>
    <t xml:space="preserve">Rate of Return </t>
  </si>
  <si>
    <t xml:space="preserve">Profit over 25 years  </t>
  </si>
  <si>
    <t xml:space="preserve">Energy required to produce your PV panels </t>
  </si>
  <si>
    <t xml:space="preserve">Energy payback time </t>
  </si>
  <si>
    <t xml:space="preserve">CO2 emissions avoided per year </t>
  </si>
  <si>
    <t>Pre 83</t>
  </si>
  <si>
    <t>Assumtions</t>
  </si>
  <si>
    <t>1 Storey</t>
  </si>
  <si>
    <t>2 Storey</t>
  </si>
  <si>
    <t>Air changes</t>
  </si>
  <si>
    <t>Standard</t>
  </si>
  <si>
    <t xml:space="preserve">Detached </t>
  </si>
  <si>
    <t>Semi-detached</t>
  </si>
  <si>
    <t xml:space="preserve">Capacity </t>
  </si>
  <si>
    <t>High</t>
  </si>
  <si>
    <t>Main gas</t>
  </si>
  <si>
    <t>Electricity</t>
  </si>
  <si>
    <t xml:space="preserve">Window size </t>
  </si>
  <si>
    <t>Total electrical demand KWh/m2 per year</t>
  </si>
  <si>
    <t>Controls</t>
  </si>
  <si>
    <t>Kg CO2 emissions/m2 per year</t>
  </si>
  <si>
    <t>Lights</t>
  </si>
  <si>
    <t>100% lel</t>
  </si>
  <si>
    <t>Ventilation</t>
  </si>
  <si>
    <t>natural</t>
  </si>
  <si>
    <t>83-2002</t>
  </si>
  <si>
    <t>Cooling</t>
  </si>
  <si>
    <t>wet</t>
  </si>
  <si>
    <t>Climate</t>
  </si>
  <si>
    <t>UK standards</t>
  </si>
  <si>
    <t>Gas boiler</t>
  </si>
  <si>
    <t>low efficiency</t>
  </si>
  <si>
    <t>storage ht</t>
  </si>
  <si>
    <t>2003-2007</t>
  </si>
  <si>
    <t>Post 2007</t>
  </si>
  <si>
    <t>Azimuth</t>
  </si>
  <si>
    <t>Demand</t>
  </si>
  <si>
    <t>PV Yield</t>
  </si>
  <si>
    <t>Actual PV yield</t>
  </si>
  <si>
    <t>Mod</t>
  </si>
  <si>
    <t>Adjusted PV Yield</t>
  </si>
  <si>
    <t>Panel Area</t>
  </si>
  <si>
    <t>House Number</t>
  </si>
  <si>
    <t>Type of House</t>
  </si>
  <si>
    <t>HEM</t>
  </si>
  <si>
    <t>KWh /m2 per year</t>
  </si>
  <si>
    <t>KWh per year</t>
  </si>
  <si>
    <t>Total Floor area</t>
  </si>
  <si>
    <t>Useful area</t>
  </si>
  <si>
    <t>Panels per roof</t>
  </si>
  <si>
    <t>Orientation</t>
  </si>
  <si>
    <t>MERIT ROOF ORIENTATION</t>
  </si>
  <si>
    <t>Notes</t>
  </si>
  <si>
    <t xml:space="preserve">MERIT </t>
  </si>
  <si>
    <t>KWh/year</t>
  </si>
  <si>
    <t>Single Storey</t>
  </si>
  <si>
    <t>SW</t>
  </si>
  <si>
    <t>Ineverter efficiency 0.95</t>
  </si>
  <si>
    <t>Double Storey</t>
  </si>
  <si>
    <t>SE</t>
  </si>
  <si>
    <t>32a</t>
  </si>
  <si>
    <t>semi 2storey</t>
  </si>
  <si>
    <t>32b</t>
  </si>
  <si>
    <t>33a</t>
  </si>
  <si>
    <t>33b</t>
  </si>
  <si>
    <t>Latitude:</t>
  </si>
  <si>
    <t xml:space="preserve">55°56'19" North, </t>
  </si>
  <si>
    <t>Longitude:</t>
  </si>
  <si>
    <t>4°12'41" West</t>
  </si>
  <si>
    <t>Nominal power of the PV system:</t>
  </si>
  <si>
    <t>1kWp</t>
  </si>
  <si>
    <t>Inclination of modules:</t>
  </si>
  <si>
    <t>35deg.</t>
  </si>
  <si>
    <t>Orientation (azimuth)  of modules:</t>
  </si>
  <si>
    <t>0deg.</t>
  </si>
  <si>
    <t>Fixed angle</t>
  </si>
  <si>
    <t>Month</t>
  </si>
  <si>
    <t>Ed</t>
  </si>
  <si>
    <t>Em</t>
  </si>
  <si>
    <t>Hd</t>
  </si>
  <si>
    <t>Hm</t>
  </si>
  <si>
    <t>Year</t>
  </si>
  <si>
    <t>Ed: Average daily electricity production from the given system  (kWh)</t>
  </si>
  <si>
    <t>Em: Average monthly electricity production from the given system  (kWh)</t>
  </si>
  <si>
    <t>Hd: Average daily sum of global irradiation per square meter received by the modules of the given system  (kWh/m2)</t>
  </si>
  <si>
    <t>Hm: Average sum of global irradiation per square meter received by the modules of the given system  (kWh/m2)</t>
  </si>
  <si>
    <t>PVGIS (c) European Communities, 2001-2010</t>
  </si>
  <si>
    <t>S</t>
  </si>
  <si>
    <t>E</t>
  </si>
  <si>
    <t>W</t>
  </si>
  <si>
    <t>Daily av kWh</t>
  </si>
  <si>
    <t>-90deg.</t>
  </si>
  <si>
    <t>90deg.</t>
  </si>
  <si>
    <t>Yearly kWh</t>
  </si>
  <si>
    <t>Yearly kWh m^2</t>
  </si>
  <si>
    <t>http://re.jrc.ec.europa.eu/pvgis/apps4/pvest.php</t>
  </si>
  <si>
    <t>Yearly elec prod</t>
  </si>
  <si>
    <t>Maintenance</t>
  </si>
  <si>
    <t>Insurance</t>
  </si>
  <si>
    <t>Upgrade/Decomissioning</t>
  </si>
  <si>
    <t xml:space="preserve">These feilds will increase the payback </t>
  </si>
  <si>
    <t xml:space="preserve">Possibly use the formaula from the wind assignment </t>
  </si>
  <si>
    <t>Loan term</t>
  </si>
  <si>
    <t>Interest rate</t>
  </si>
  <si>
    <t>Capital loan</t>
  </si>
  <si>
    <t>Capital cost</t>
  </si>
  <si>
    <t>Financials</t>
  </si>
  <si>
    <t xml:space="preserve">Total annual gross income </t>
  </si>
  <si>
    <t xml:space="preserve">Total annual net income </t>
  </si>
  <si>
    <t xml:space="preserve">bio-boiler </t>
  </si>
  <si>
    <t>oil</t>
  </si>
  <si>
    <t>Total thermal demand KWh/m2 per year</t>
  </si>
  <si>
    <t>Bio boiler</t>
  </si>
  <si>
    <t>m. eff.</t>
  </si>
  <si>
    <t>Oil boiler</t>
  </si>
  <si>
    <t>Electrical demand</t>
  </si>
  <si>
    <t xml:space="preserve">Heating </t>
  </si>
  <si>
    <t>KWh/panel per year</t>
  </si>
  <si>
    <t>Capital cost per panel£/KWp</t>
  </si>
  <si>
    <t>ROC/MWh</t>
  </si>
  <si>
    <t>Price ROC(£)</t>
  </si>
  <si>
    <t>term</t>
  </si>
  <si>
    <t>months</t>
  </si>
  <si>
    <t>term interest rate</t>
  </si>
  <si>
    <t>int rate / term</t>
  </si>
  <si>
    <t>EMI</t>
  </si>
  <si>
    <t>EYI</t>
  </si>
  <si>
    <t>Total electrical profit</t>
  </si>
  <si>
    <t>Owner savings</t>
  </si>
  <si>
    <t>Resco profits</t>
  </si>
  <si>
    <t xml:space="preserve">Demand models </t>
  </si>
  <si>
    <t>2000 to 2500</t>
  </si>
  <si>
    <t>2500 to 3000</t>
  </si>
  <si>
    <t>3000 to 3500</t>
  </si>
  <si>
    <t>3500 to 4000</t>
  </si>
  <si>
    <t>4000 to 4500</t>
  </si>
  <si>
    <t>5000 to 5500</t>
  </si>
  <si>
    <t>5500 to 6000</t>
  </si>
  <si>
    <t>4500to 5000</t>
  </si>
  <si>
    <t>Match Rate</t>
  </si>
  <si>
    <t>Heating Demand</t>
  </si>
  <si>
    <t>DEMAND MODEL</t>
  </si>
  <si>
    <t>SUPPLY MODEL</t>
  </si>
  <si>
    <t>Inclination (degree angle)</t>
  </si>
  <si>
    <r>
      <t>Useful Roof Area (m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>)</t>
    </r>
  </si>
  <si>
    <t>KWh / year</t>
  </si>
  <si>
    <t>Total Annual Electrical Demand</t>
  </si>
  <si>
    <t>Total Annual Heating Demand</t>
  </si>
  <si>
    <r>
      <t>KWh /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/ year</t>
    </r>
  </si>
  <si>
    <t>DEMAND VS SUPPLY ANALYSIS</t>
  </si>
  <si>
    <t>Orientation (azimuth from South through East Anti-Clockwise - degree angle)</t>
  </si>
  <si>
    <t>Total Renewable PV energy Generated</t>
  </si>
  <si>
    <t>FINANCE</t>
  </si>
  <si>
    <t>Operational Spread</t>
  </si>
  <si>
    <t>Panels per roof (nos. set of 4 panels = 1kWp approx)</t>
  </si>
  <si>
    <t>FIT Income for Generation (pounds)</t>
  </si>
  <si>
    <t>Export Income (pounds)</t>
  </si>
  <si>
    <t xml:space="preserve">Grid Electricity displacement Savings (Pounds) </t>
  </si>
  <si>
    <t>Total Energy deficit (kWh)</t>
  </si>
  <si>
    <t>Total Energy Surplus (kWh)</t>
  </si>
  <si>
    <t>Total Energy Match (kWh)</t>
  </si>
  <si>
    <t>Capital Outlay</t>
  </si>
  <si>
    <r>
      <t>kWh / m</t>
    </r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panel / yr</t>
    </r>
  </si>
  <si>
    <r>
      <t>Total Yearly Output (kWh</t>
    </r>
    <r>
      <rPr>
        <sz val="10"/>
        <rFont val="Verdana"/>
        <family val="2"/>
      </rPr>
      <t>)</t>
    </r>
  </si>
  <si>
    <t>Approximations</t>
  </si>
  <si>
    <t>Merit scale Demand</t>
  </si>
  <si>
    <t>6000 to 6500</t>
  </si>
  <si>
    <t>Total RESupply (Gen) kWhr</t>
  </si>
  <si>
    <t>No. of Panels</t>
  </si>
  <si>
    <t>RESurplus kWhr</t>
  </si>
  <si>
    <t>REnergy Delivered (Match) kWhr</t>
  </si>
  <si>
    <t>Energy Deficit kWhr</t>
  </si>
  <si>
    <t>2000-2500</t>
  </si>
  <si>
    <t>2500-3000</t>
  </si>
  <si>
    <t>3000-3500</t>
  </si>
  <si>
    <t>3500-4000</t>
  </si>
  <si>
    <t>4000-4500</t>
  </si>
  <si>
    <t>4500-5000</t>
  </si>
  <si>
    <t>5000-5500</t>
  </si>
  <si>
    <t>5500-6000</t>
  </si>
  <si>
    <t>no. of panels</t>
  </si>
  <si>
    <t>Range</t>
  </si>
  <si>
    <t>FIT Rates</t>
  </si>
  <si>
    <t>Generation</t>
  </si>
  <si>
    <t>Export</t>
  </si>
  <si>
    <t>Savings</t>
  </si>
  <si>
    <t>0 to 4 kWp</t>
  </si>
  <si>
    <t>4 to 10 kWp</t>
  </si>
  <si>
    <t>10 to 50 kWp</t>
  </si>
  <si>
    <t>Home Owner Down Payment</t>
  </si>
  <si>
    <t>% discount on bulk purchase of panels</t>
  </si>
  <si>
    <t>Total Capital Outlay/panel</t>
  </si>
  <si>
    <t>% insurance</t>
  </si>
  <si>
    <t>% maintenance</t>
  </si>
  <si>
    <t>Finance Interest Rate</t>
  </si>
  <si>
    <t>Capital Cost of panel / kwp</t>
  </si>
  <si>
    <t>Grant (one time)</t>
  </si>
  <si>
    <t>Maintenance (annual)</t>
  </si>
  <si>
    <t>Insurance (annual)</t>
  </si>
  <si>
    <t>Annualized Capital Cost (capital outlay - downpayment - grant)</t>
  </si>
  <si>
    <t>Total yearly expense</t>
  </si>
  <si>
    <t>Total yearly Real Net Cashflow = Generation + export</t>
  </si>
  <si>
    <t>Total yearly perceived net cashflow = generation + export +savings</t>
  </si>
  <si>
    <t>Payback Period (AG 22)</t>
  </si>
  <si>
    <t>Payback Period (AG23)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</si>
</sst>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491]#,##0"/>
    <numFmt numFmtId="165" formatCode="0.0%"/>
  </numFmts>
  <fonts count="21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4"/>
      <color rgb="FF000000"/>
      <name val="Calibri"/>
      <family val="2"/>
    </font>
    <font>
      <b/>
      <sz val="18"/>
      <color rgb="FFFF0000"/>
      <name val="Calibri"/>
      <family val="2"/>
    </font>
    <font>
      <u/>
      <sz val="10"/>
      <color theme="10"/>
      <name val="Verdana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Verdana"/>
      <family val="2"/>
    </font>
    <font>
      <vertAlign val="superscript"/>
      <sz val="10"/>
      <name val="Verdana"/>
      <family val="2"/>
    </font>
    <font>
      <b/>
      <u/>
      <sz val="1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8B954"/>
      </left>
      <right style="thin">
        <color rgb="FF98B954"/>
      </right>
      <top style="thin">
        <color rgb="FF98B954"/>
      </top>
      <bottom style="thin">
        <color rgb="FF98B954"/>
      </bottom>
      <diagonal/>
    </border>
    <border>
      <left style="thin">
        <color rgb="FF98B954"/>
      </left>
      <right style="thin">
        <color rgb="FF98B954"/>
      </right>
      <top style="thin">
        <color rgb="FF98B95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98B954"/>
      </left>
      <right style="thin">
        <color rgb="FF98B95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2">
    <xf numFmtId="0" fontId="0" fillId="0" borderId="0" xfId="0"/>
    <xf numFmtId="0" fontId="4" fillId="0" borderId="3" xfId="0" applyFont="1" applyBorder="1"/>
    <xf numFmtId="0" fontId="0" fillId="0" borderId="3" xfId="0" applyBorder="1"/>
    <xf numFmtId="0" fontId="5" fillId="0" borderId="3" xfId="0" applyFont="1" applyBorder="1"/>
    <xf numFmtId="0" fontId="0" fillId="0" borderId="2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2" xfId="0" applyFont="1" applyBorder="1"/>
    <xf numFmtId="0" fontId="3" fillId="0" borderId="3" xfId="0" applyFont="1" applyBorder="1"/>
    <xf numFmtId="0" fontId="7" fillId="0" borderId="0" xfId="0" applyFont="1"/>
    <xf numFmtId="0" fontId="8" fillId="0" borderId="9" xfId="0" applyFont="1" applyBorder="1" applyAlignment="1">
      <alignment horizontal="center" wrapText="1" readingOrder="1"/>
    </xf>
    <xf numFmtId="0" fontId="9" fillId="0" borderId="0" xfId="0" applyFont="1"/>
    <xf numFmtId="0" fontId="10" fillId="3" borderId="9" xfId="0" applyFont="1" applyFill="1" applyBorder="1" applyAlignment="1">
      <alignment horizont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3" fontId="0" fillId="0" borderId="0" xfId="0" applyNumberFormat="1"/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 readingOrder="1"/>
    </xf>
    <xf numFmtId="3" fontId="0" fillId="0" borderId="11" xfId="0" applyNumberFormat="1" applyBorder="1" applyAlignment="1">
      <alignment horizontal="center"/>
    </xf>
    <xf numFmtId="3" fontId="8" fillId="0" borderId="9" xfId="0" applyNumberFormat="1" applyFont="1" applyBorder="1" applyAlignment="1">
      <alignment horizontal="center" wrapText="1" readingOrder="1"/>
    </xf>
    <xf numFmtId="3" fontId="9" fillId="0" borderId="0" xfId="0" applyNumberFormat="1" applyFont="1" applyAlignment="1">
      <alignment horizontal="center" readingOrder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14" fillId="0" borderId="0" xfId="1" applyAlignment="1" applyProtection="1"/>
    <xf numFmtId="0" fontId="0" fillId="0" borderId="12" xfId="0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4" borderId="12" xfId="0" applyFill="1" applyBorder="1" applyAlignment="1">
      <alignment horizontal="left"/>
    </xf>
    <xf numFmtId="3" fontId="0" fillId="4" borderId="12" xfId="0" applyNumberFormat="1" applyFill="1" applyBorder="1" applyAlignment="1">
      <alignment horizontal="left"/>
    </xf>
    <xf numFmtId="3" fontId="0" fillId="5" borderId="0" xfId="0" applyNumberFormat="1" applyFill="1" applyAlignment="1">
      <alignment horizontal="left"/>
    </xf>
    <xf numFmtId="0" fontId="15" fillId="4" borderId="12" xfId="0" applyFont="1" applyFill="1" applyBorder="1" applyAlignment="1">
      <alignment horizontal="left"/>
    </xf>
    <xf numFmtId="0" fontId="2" fillId="0" borderId="0" xfId="2"/>
    <xf numFmtId="0" fontId="2" fillId="7" borderId="0" xfId="2" applyFill="1"/>
    <xf numFmtId="0" fontId="2" fillId="8" borderId="0" xfId="2" applyFill="1"/>
    <xf numFmtId="0" fontId="2" fillId="9" borderId="0" xfId="2" applyFill="1"/>
    <xf numFmtId="0" fontId="2" fillId="10" borderId="0" xfId="2" applyFill="1"/>
    <xf numFmtId="0" fontId="2" fillId="11" borderId="0" xfId="2" applyFill="1"/>
    <xf numFmtId="0" fontId="2" fillId="12" borderId="0" xfId="2" applyFill="1"/>
    <xf numFmtId="0" fontId="11" fillId="5" borderId="13" xfId="0" applyFont="1" applyFill="1" applyBorder="1" applyAlignment="1">
      <alignment horizontal="center" wrapText="1" readingOrder="1"/>
    </xf>
    <xf numFmtId="0" fontId="0" fillId="0" borderId="0" xfId="0" applyAlignment="1">
      <alignment horizontal="right"/>
    </xf>
    <xf numFmtId="0" fontId="7" fillId="4" borderId="14" xfId="0" applyFont="1" applyFill="1" applyBorder="1"/>
    <xf numFmtId="0" fontId="7" fillId="13" borderId="14" xfId="0" applyFont="1" applyFill="1" applyBorder="1"/>
    <xf numFmtId="0" fontId="0" fillId="5" borderId="0" xfId="0" applyFill="1" applyAlignment="1">
      <alignment horizontal="left"/>
    </xf>
    <xf numFmtId="0" fontId="0" fillId="0" borderId="15" xfId="0" applyBorder="1" applyAlignment="1">
      <alignment horizontal="left"/>
    </xf>
    <xf numFmtId="164" fontId="0" fillId="5" borderId="15" xfId="0" applyNumberFormat="1" applyFill="1" applyBorder="1" applyAlignment="1">
      <alignment horizontal="left"/>
    </xf>
    <xf numFmtId="9" fontId="0" fillId="0" borderId="0" xfId="0" applyNumberFormat="1" applyAlignment="1">
      <alignment horizontal="left"/>
    </xf>
    <xf numFmtId="0" fontId="1" fillId="14" borderId="0" xfId="2" applyFont="1" applyFill="1"/>
    <xf numFmtId="0" fontId="1" fillId="15" borderId="0" xfId="2" applyFont="1" applyFill="1"/>
    <xf numFmtId="0" fontId="2" fillId="6" borderId="0" xfId="2" applyFill="1"/>
    <xf numFmtId="0" fontId="1" fillId="10" borderId="0" xfId="2" applyFont="1" applyFill="1"/>
    <xf numFmtId="0" fontId="1" fillId="9" borderId="0" xfId="2" applyFont="1" applyFill="1"/>
    <xf numFmtId="0" fontId="1" fillId="0" borderId="0" xfId="2" applyFont="1"/>
    <xf numFmtId="0" fontId="0" fillId="12" borderId="0" xfId="0" applyFill="1"/>
    <xf numFmtId="0" fontId="0" fillId="15" borderId="0" xfId="0" applyFill="1"/>
    <xf numFmtId="0" fontId="7" fillId="4" borderId="0" xfId="0" applyFont="1" applyFill="1" applyBorder="1"/>
    <xf numFmtId="0" fontId="0" fillId="5" borderId="0" xfId="0" applyFill="1"/>
    <xf numFmtId="0" fontId="18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0" fillId="16" borderId="0" xfId="0" applyFill="1" applyAlignment="1">
      <alignment horizontal="center" wrapText="1"/>
    </xf>
    <xf numFmtId="0" fontId="7" fillId="16" borderId="14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17" borderId="0" xfId="0" applyFont="1" applyFill="1" applyAlignment="1">
      <alignment horizontal="center" wrapText="1"/>
    </xf>
    <xf numFmtId="0" fontId="0" fillId="17" borderId="0" xfId="0" applyFill="1" applyAlignment="1">
      <alignment horizontal="center" wrapText="1"/>
    </xf>
    <xf numFmtId="0" fontId="7" fillId="17" borderId="1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17" borderId="0" xfId="0" applyFont="1" applyFill="1" applyAlignment="1">
      <alignment horizontal="center"/>
    </xf>
    <xf numFmtId="0" fontId="7" fillId="17" borderId="0" xfId="0" applyFont="1" applyFill="1" applyAlignment="1">
      <alignment horizontal="center" wrapText="1"/>
    </xf>
    <xf numFmtId="0" fontId="0" fillId="18" borderId="0" xfId="0" applyFill="1" applyAlignment="1">
      <alignment horizontal="center" wrapText="1"/>
    </xf>
    <xf numFmtId="0" fontId="7" fillId="18" borderId="0" xfId="0" applyFont="1" applyFill="1" applyAlignment="1">
      <alignment horizontal="center" wrapText="1"/>
    </xf>
    <xf numFmtId="0" fontId="7" fillId="18" borderId="14" xfId="0" applyFont="1" applyFill="1" applyBorder="1" applyAlignment="1">
      <alignment horizontal="center" wrapText="1"/>
    </xf>
    <xf numFmtId="0" fontId="4" fillId="18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0" fontId="0" fillId="9" borderId="0" xfId="0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7" fillId="9" borderId="14" xfId="0" applyFont="1" applyFill="1" applyBorder="1" applyAlignment="1">
      <alignment horizontal="center" wrapText="1"/>
    </xf>
    <xf numFmtId="0" fontId="4" fillId="16" borderId="0" xfId="0" applyFont="1" applyFill="1" applyAlignment="1">
      <alignment horizontal="left"/>
    </xf>
    <xf numFmtId="0" fontId="7" fillId="0" borderId="0" xfId="0" applyFont="1" applyFill="1" applyAlignment="1">
      <alignment horizontal="center" wrapText="1"/>
    </xf>
    <xf numFmtId="0" fontId="20" fillId="19" borderId="0" xfId="0" applyFont="1" applyFill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1" xfId="0" applyBorder="1"/>
    <xf numFmtId="0" fontId="20" fillId="0" borderId="11" xfId="0" applyFont="1" applyBorder="1"/>
    <xf numFmtId="0" fontId="0" fillId="0" borderId="17" xfId="0" applyBorder="1"/>
    <xf numFmtId="0" fontId="7" fillId="19" borderId="18" xfId="0" applyFont="1" applyFill="1" applyBorder="1"/>
    <xf numFmtId="0" fontId="7" fillId="19" borderId="14" xfId="0" applyFont="1" applyFill="1" applyBorder="1"/>
    <xf numFmtId="0" fontId="7" fillId="19" borderId="19" xfId="0" applyFont="1" applyFill="1" applyBorder="1"/>
    <xf numFmtId="0" fontId="7" fillId="20" borderId="0" xfId="0" applyFont="1" applyFill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0" xfId="0" applyFill="1"/>
    <xf numFmtId="0" fontId="0" fillId="21" borderId="0" xfId="0" applyFill="1" applyAlignment="1">
      <alignment horizontal="center" wrapText="1"/>
    </xf>
    <xf numFmtId="0" fontId="2" fillId="6" borderId="0" xfId="2" applyFill="1" applyAlignment="1">
      <alignment horizontal="center"/>
    </xf>
    <xf numFmtId="0" fontId="1" fillId="6" borderId="0" xfId="2" applyFont="1" applyFill="1" applyAlignment="1">
      <alignment horizontal="center"/>
    </xf>
    <xf numFmtId="0" fontId="4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188021</xdr:colOff>
      <xdr:row>1</xdr:row>
      <xdr:rowOff>19050</xdr:rowOff>
    </xdr:from>
    <xdr:to>
      <xdr:col>16</xdr:col>
      <xdr:colOff>295274</xdr:colOff>
      <xdr:row>21</xdr:row>
      <xdr:rowOff>114300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84321" y="180975"/>
          <a:ext cx="4222053" cy="3333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fo.cat.org.uk/solarcalculator" TargetMode="External"/><Relationship Id="rId2" Type="http://schemas.openxmlformats.org/officeDocument/2006/relationships/hyperlink" Target="http://www.google.co.uk/search?ix=seb&amp;sourceid=chrome&amp;ie=UTF-8&amp;q=100w+poly+panel" TargetMode="External"/><Relationship Id="rId1" Type="http://schemas.openxmlformats.org/officeDocument/2006/relationships/hyperlink" Target="http://www.ofgem.gov.uk/Sustainability/Environment/fits/Documents1/Feed-in%20Tariff%20Table%201%20August%20201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re.jrc.ec.europa.eu/pvgis/apps4/pvest.php" TargetMode="External"/><Relationship Id="rId1" Type="http://schemas.openxmlformats.org/officeDocument/2006/relationships/hyperlink" Target="http://re.jrc.ec.europa.eu/pvgis/apps4/pvest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40"/>
  <sheetViews>
    <sheetView topLeftCell="A7" workbookViewId="0">
      <selection activeCell="D25" sqref="D25"/>
    </sheetView>
  </sheetViews>
  <sheetFormatPr defaultColWidth="9" defaultRowHeight="12.75" x14ac:dyDescent="0.2"/>
  <cols>
    <col min="1" max="1" width="37.75" style="29" bestFit="1" customWidth="1"/>
    <col min="2" max="2" width="11.125" style="30" bestFit="1" customWidth="1"/>
    <col min="3" max="3" width="9.375" style="29" bestFit="1" customWidth="1"/>
  </cols>
  <sheetData>
    <row r="1" spans="1:7" ht="13.5" thickBot="1" x14ac:dyDescent="0.25">
      <c r="A1" s="39" t="s">
        <v>67</v>
      </c>
      <c r="B1" s="37"/>
      <c r="C1" s="36"/>
    </row>
    <row r="2" spans="1:7" ht="13.5" thickTop="1" x14ac:dyDescent="0.2"/>
    <row r="3" spans="1:7" ht="13.5" thickBot="1" x14ac:dyDescent="0.25">
      <c r="A3" s="36" t="s">
        <v>61</v>
      </c>
      <c r="B3" s="37"/>
      <c r="C3" s="36"/>
    </row>
    <row r="4" spans="1:7" ht="13.5" thickTop="1" x14ac:dyDescent="0.2">
      <c r="A4" s="29" t="s">
        <v>48</v>
      </c>
      <c r="B4" s="30">
        <v>3224</v>
      </c>
      <c r="G4" t="s">
        <v>45</v>
      </c>
    </row>
    <row r="5" spans="1:7" x14ac:dyDescent="0.2">
      <c r="A5" s="29" t="s">
        <v>49</v>
      </c>
      <c r="B5" s="30">
        <v>403</v>
      </c>
    </row>
    <row r="6" spans="1:7" x14ac:dyDescent="0.2">
      <c r="A6" s="29" t="s">
        <v>50</v>
      </c>
      <c r="B6" s="38" t="s">
        <v>51</v>
      </c>
      <c r="E6" s="29"/>
    </row>
    <row r="7" spans="1:7" x14ac:dyDescent="0.2">
      <c r="B7" s="29"/>
      <c r="E7" s="29"/>
    </row>
    <row r="8" spans="1:7" ht="13.5" thickBot="1" x14ac:dyDescent="0.25">
      <c r="A8" s="36" t="s">
        <v>174</v>
      </c>
      <c r="B8" s="37"/>
      <c r="E8" s="29"/>
    </row>
    <row r="9" spans="1:7" ht="13.5" thickTop="1" x14ac:dyDescent="0.2">
      <c r="A9" s="52" t="s">
        <v>173</v>
      </c>
      <c r="B9" s="53">
        <f>5000*B5</f>
        <v>2015000</v>
      </c>
      <c r="E9" s="33" t="s">
        <v>65</v>
      </c>
    </row>
    <row r="10" spans="1:7" x14ac:dyDescent="0.2">
      <c r="A10" s="29" t="s">
        <v>170</v>
      </c>
      <c r="B10" s="38">
        <v>25</v>
      </c>
      <c r="E10" s="29"/>
    </row>
    <row r="11" spans="1:7" x14ac:dyDescent="0.2">
      <c r="A11" s="29" t="s">
        <v>171</v>
      </c>
      <c r="B11" s="54">
        <v>0.06</v>
      </c>
    </row>
    <row r="12" spans="1:7" x14ac:dyDescent="0.2">
      <c r="A12" s="29" t="s">
        <v>172</v>
      </c>
      <c r="B12" s="30">
        <f>(B9*B11)+B9</f>
        <v>2135900</v>
      </c>
    </row>
    <row r="14" spans="1:7" x14ac:dyDescent="0.2">
      <c r="B14" s="31"/>
      <c r="E14" t="s">
        <v>66</v>
      </c>
    </row>
    <row r="15" spans="1:7" ht="13.5" thickBot="1" x14ac:dyDescent="0.25">
      <c r="A15" s="36" t="s">
        <v>60</v>
      </c>
      <c r="B15" s="37"/>
      <c r="C15" s="36"/>
      <c r="E15" s="33" t="s">
        <v>64</v>
      </c>
    </row>
    <row r="16" spans="1:7" ht="13.5" thickTop="1" x14ac:dyDescent="0.2">
      <c r="A16" s="29" t="s">
        <v>52</v>
      </c>
      <c r="B16" s="30">
        <f>'The Sheet'!Q65</f>
        <v>2189328.4</v>
      </c>
    </row>
    <row r="17" spans="1:5" x14ac:dyDescent="0.2">
      <c r="A17" s="29" t="s">
        <v>53</v>
      </c>
      <c r="B17" s="30">
        <f>B16*C17</f>
        <v>227690.15359999999</v>
      </c>
      <c r="C17" s="32">
        <v>0.104</v>
      </c>
    </row>
    <row r="18" spans="1:5" x14ac:dyDescent="0.2">
      <c r="A18" s="29" t="s">
        <v>54</v>
      </c>
      <c r="B18" s="30">
        <f>B16*C18</f>
        <v>1961638.2464000001</v>
      </c>
      <c r="C18" s="32">
        <v>0.89600000000000002</v>
      </c>
    </row>
    <row r="20" spans="1:5" ht="13.5" thickBot="1" x14ac:dyDescent="0.25">
      <c r="A20" s="36" t="s">
        <v>62</v>
      </c>
      <c r="B20" s="37"/>
      <c r="C20" s="36"/>
      <c r="E20" s="33" t="s">
        <v>59</v>
      </c>
    </row>
    <row r="21" spans="1:5" ht="13.5" thickTop="1" x14ac:dyDescent="0.2">
      <c r="A21" s="29" t="s">
        <v>55</v>
      </c>
      <c r="B21" s="31">
        <f>B16*0.21</f>
        <v>459758.96399999998</v>
      </c>
      <c r="C21" s="38" t="s">
        <v>56</v>
      </c>
    </row>
    <row r="22" spans="1:5" x14ac:dyDescent="0.2">
      <c r="A22" s="29" t="s">
        <v>58</v>
      </c>
      <c r="B22" s="31">
        <f>B18*0.031</f>
        <v>60810.785638400004</v>
      </c>
      <c r="C22" s="30" t="s">
        <v>57</v>
      </c>
    </row>
    <row r="23" spans="1:5" ht="13.5" thickBot="1" x14ac:dyDescent="0.25">
      <c r="A23" s="34" t="s">
        <v>175</v>
      </c>
      <c r="B23" s="35">
        <f>SUM(B21:B22)</f>
        <v>520569.74963839998</v>
      </c>
    </row>
    <row r="24" spans="1:5" ht="14.25" thickTop="1" thickBot="1" x14ac:dyDescent="0.25">
      <c r="A24" s="34" t="s">
        <v>176</v>
      </c>
      <c r="B24" s="35"/>
    </row>
    <row r="25" spans="1:5" ht="13.5" thickTop="1" x14ac:dyDescent="0.2"/>
    <row r="26" spans="1:5" x14ac:dyDescent="0.2">
      <c r="A26" s="51" t="s">
        <v>165</v>
      </c>
      <c r="B26" s="38">
        <f>$B$9*C26</f>
        <v>20150</v>
      </c>
      <c r="C26" s="54">
        <v>0.01</v>
      </c>
      <c r="E26" t="s">
        <v>168</v>
      </c>
    </row>
    <row r="27" spans="1:5" x14ac:dyDescent="0.2">
      <c r="A27" s="51" t="s">
        <v>166</v>
      </c>
      <c r="B27" s="38">
        <f>$B$9*C27</f>
        <v>10075</v>
      </c>
      <c r="C27" s="32">
        <v>5.0000000000000001E-3</v>
      </c>
      <c r="E27" t="s">
        <v>169</v>
      </c>
    </row>
    <row r="28" spans="1:5" x14ac:dyDescent="0.2">
      <c r="A28" s="51" t="s">
        <v>167</v>
      </c>
      <c r="B28" s="38"/>
    </row>
    <row r="29" spans="1:5" x14ac:dyDescent="0.2">
      <c r="A29" s="51"/>
      <c r="B29" s="38"/>
    </row>
    <row r="30" spans="1:5" x14ac:dyDescent="0.2">
      <c r="A30" s="51"/>
      <c r="B30" s="38"/>
    </row>
    <row r="32" spans="1:5" ht="13.5" thickBot="1" x14ac:dyDescent="0.25">
      <c r="A32" s="36" t="s">
        <v>30</v>
      </c>
      <c r="B32" s="37"/>
      <c r="C32" s="36"/>
    </row>
    <row r="33" spans="1:3" ht="13.5" thickTop="1" x14ac:dyDescent="0.2">
      <c r="A33" s="29" t="s">
        <v>63</v>
      </c>
      <c r="B33" s="38">
        <f>B9/B23</f>
        <v>3.8707589163597511</v>
      </c>
    </row>
    <row r="34" spans="1:3" x14ac:dyDescent="0.2">
      <c r="A34" s="29" t="s">
        <v>69</v>
      </c>
      <c r="B34" s="30">
        <f>(B23*25)-B9</f>
        <v>10999243.74096</v>
      </c>
    </row>
    <row r="35" spans="1:3" x14ac:dyDescent="0.2">
      <c r="A35" s="29" t="s">
        <v>68</v>
      </c>
    </row>
    <row r="37" spans="1:3" ht="13.5" thickBot="1" x14ac:dyDescent="0.25">
      <c r="A37" s="36" t="s">
        <v>31</v>
      </c>
      <c r="B37" s="37"/>
      <c r="C37" s="36"/>
    </row>
    <row r="38" spans="1:3" ht="13.5" thickTop="1" x14ac:dyDescent="0.2">
      <c r="A38" s="29" t="s">
        <v>70</v>
      </c>
    </row>
    <row r="39" spans="1:3" x14ac:dyDescent="0.2">
      <c r="A39" s="29" t="s">
        <v>71</v>
      </c>
    </row>
    <row r="40" spans="1:3" x14ac:dyDescent="0.2">
      <c r="A40" s="29" t="s">
        <v>72</v>
      </c>
    </row>
  </sheetData>
  <hyperlinks>
    <hyperlink ref="E20" r:id="rId1" display="http://www.ofgem.gov.uk/Sustainability/Environment/fits/Documents1/Feed-in Tariff Table 1 August 2011.pdf"/>
    <hyperlink ref="E15" r:id="rId2" location="q=100w+poly+panel&amp;hl=en&amp;prmd=imvns&amp;source=lnms&amp;tbm=shop&amp;ei=ya9GT-iRB8yp8APz_KGvDg&amp;sa=X&amp;oi=mode_link&amp;ct=mode&amp;cd=6&amp;ved=0CD4Q_AUoBQ&amp;bav=on.2,or.r_gc.r_pw.r_cp.r_qf.,cf.osb&amp;fp=9aab1fd4dd9be69f&amp;biw=1280&amp;bih=675&amp;ix=seb" display="http://www.google.co.uk/search?ix=seb&amp;sourceid=chrome&amp;ie=UTF-8&amp;q=100w+poly+panel - q=100w+poly+panel&amp;hl=en&amp;prmd=imvns&amp;source=lnms&amp;tbm=shop&amp;ei=ya9GT-iRB8yp8APz_KGvDg&amp;sa=X&amp;oi=mode_link&amp;ct=mode&amp;cd=6&amp;ved=0CD4Q_AUoBQ&amp;bav=on.2,or.r_gc.r_pw.r_cp.r_qf.,cf.osb&amp;fp=9aab1fd4dd9be69f&amp;biw=1280&amp;bih=675&amp;ix=seb"/>
    <hyperlink ref="E9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B3"/>
  <sheetViews>
    <sheetView topLeftCell="C1" workbookViewId="0">
      <selection activeCell="C1" sqref="C1:F3"/>
    </sheetView>
  </sheetViews>
  <sheetFormatPr defaultRowHeight="12.75" x14ac:dyDescent="0.2"/>
  <cols>
    <col min="1" max="1" width="5.875" bestFit="1" customWidth="1"/>
    <col min="3" max="3" width="11.625" bestFit="1" customWidth="1"/>
    <col min="4" max="5" width="11.875" bestFit="1" customWidth="1"/>
    <col min="6" max="6" width="11.625" bestFit="1" customWidth="1"/>
  </cols>
  <sheetData>
    <row r="1" spans="1:2" x14ac:dyDescent="0.2">
      <c r="A1">
        <v>49.8</v>
      </c>
      <c r="B1">
        <v>0.03</v>
      </c>
    </row>
    <row r="2" spans="1:2" x14ac:dyDescent="0.2">
      <c r="A2">
        <v>44.27</v>
      </c>
      <c r="B2">
        <v>0.03</v>
      </c>
    </row>
    <row r="3" spans="1:2" x14ac:dyDescent="0.2">
      <c r="A3">
        <v>45.49</v>
      </c>
      <c r="B3">
        <v>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89"/>
  <sheetViews>
    <sheetView topLeftCell="C1" workbookViewId="0">
      <selection activeCell="P27" sqref="P27"/>
    </sheetView>
  </sheetViews>
  <sheetFormatPr defaultColWidth="9" defaultRowHeight="12.75" x14ac:dyDescent="0.2"/>
  <cols>
    <col min="1" max="1" width="30.5" customWidth="1"/>
  </cols>
  <sheetData>
    <row r="1" spans="1:9" x14ac:dyDescent="0.2">
      <c r="A1" t="s">
        <v>133</v>
      </c>
      <c r="B1" t="s">
        <v>134</v>
      </c>
    </row>
    <row r="2" spans="1:9" x14ac:dyDescent="0.2">
      <c r="A2" t="s">
        <v>135</v>
      </c>
      <c r="B2" t="s">
        <v>136</v>
      </c>
    </row>
    <row r="3" spans="1:9" x14ac:dyDescent="0.2">
      <c r="A3" t="s">
        <v>137</v>
      </c>
      <c r="B3" t="s">
        <v>138</v>
      </c>
    </row>
    <row r="4" spans="1:9" x14ac:dyDescent="0.2">
      <c r="A4" t="s">
        <v>139</v>
      </c>
      <c r="B4" t="s">
        <v>140</v>
      </c>
    </row>
    <row r="5" spans="1:9" x14ac:dyDescent="0.2">
      <c r="A5" t="s">
        <v>141</v>
      </c>
      <c r="B5" t="s">
        <v>142</v>
      </c>
    </row>
    <row r="7" spans="1:9" x14ac:dyDescent="0.2">
      <c r="B7" t="s">
        <v>143</v>
      </c>
    </row>
    <row r="8" spans="1:9" x14ac:dyDescent="0.2">
      <c r="A8" t="s">
        <v>144</v>
      </c>
      <c r="C8" t="s">
        <v>145</v>
      </c>
      <c r="E8" t="s">
        <v>146</v>
      </c>
      <c r="G8" t="s">
        <v>147</v>
      </c>
      <c r="I8" t="s">
        <v>148</v>
      </c>
    </row>
    <row r="9" spans="1:9" x14ac:dyDescent="0.2">
      <c r="A9">
        <v>1</v>
      </c>
      <c r="C9">
        <v>0.68</v>
      </c>
      <c r="E9">
        <v>21.1</v>
      </c>
      <c r="G9">
        <v>0.82</v>
      </c>
      <c r="I9">
        <v>25.4</v>
      </c>
    </row>
    <row r="10" spans="1:9" x14ac:dyDescent="0.2">
      <c r="A10">
        <v>2</v>
      </c>
      <c r="C10">
        <v>1.32</v>
      </c>
      <c r="E10">
        <v>37.1</v>
      </c>
      <c r="G10">
        <v>1.62</v>
      </c>
      <c r="I10">
        <v>45.3</v>
      </c>
    </row>
    <row r="11" spans="1:9" x14ac:dyDescent="0.2">
      <c r="A11">
        <v>3</v>
      </c>
      <c r="C11">
        <v>2.13</v>
      </c>
      <c r="E11">
        <v>66.2</v>
      </c>
      <c r="G11">
        <v>2.67</v>
      </c>
      <c r="I11">
        <v>82.6</v>
      </c>
    </row>
    <row r="12" spans="1:9" x14ac:dyDescent="0.2">
      <c r="A12">
        <v>4</v>
      </c>
      <c r="C12">
        <v>3.07</v>
      </c>
      <c r="E12">
        <v>92.2</v>
      </c>
      <c r="G12">
        <v>3.96</v>
      </c>
      <c r="I12">
        <v>119</v>
      </c>
    </row>
    <row r="13" spans="1:9" x14ac:dyDescent="0.2">
      <c r="A13">
        <v>5</v>
      </c>
      <c r="C13">
        <v>3.55</v>
      </c>
      <c r="E13">
        <v>110</v>
      </c>
      <c r="G13">
        <v>4.66</v>
      </c>
      <c r="I13">
        <v>145</v>
      </c>
    </row>
    <row r="14" spans="1:9" x14ac:dyDescent="0.2">
      <c r="A14">
        <v>6</v>
      </c>
      <c r="C14">
        <v>3.45</v>
      </c>
      <c r="E14">
        <v>104</v>
      </c>
      <c r="G14">
        <v>4.62</v>
      </c>
      <c r="I14">
        <v>139</v>
      </c>
    </row>
    <row r="15" spans="1:9" x14ac:dyDescent="0.2">
      <c r="A15">
        <v>7</v>
      </c>
      <c r="C15">
        <v>3.36</v>
      </c>
      <c r="E15">
        <v>104</v>
      </c>
      <c r="G15">
        <v>4.5</v>
      </c>
      <c r="I15">
        <v>140</v>
      </c>
    </row>
    <row r="16" spans="1:9" x14ac:dyDescent="0.2">
      <c r="A16">
        <v>8</v>
      </c>
      <c r="C16">
        <v>2.85</v>
      </c>
      <c r="E16">
        <v>88.5</v>
      </c>
      <c r="G16">
        <v>3.79</v>
      </c>
      <c r="I16">
        <v>117</v>
      </c>
    </row>
    <row r="17" spans="1:9" x14ac:dyDescent="0.2">
      <c r="A17">
        <v>9</v>
      </c>
      <c r="C17">
        <v>2.2799999999999998</v>
      </c>
      <c r="E17">
        <v>68.5</v>
      </c>
      <c r="G17">
        <v>2.96</v>
      </c>
      <c r="I17">
        <v>88.8</v>
      </c>
    </row>
    <row r="18" spans="1:9" x14ac:dyDescent="0.2">
      <c r="A18">
        <v>10</v>
      </c>
      <c r="C18">
        <v>1.42</v>
      </c>
      <c r="E18">
        <v>44.1</v>
      </c>
      <c r="G18">
        <v>1.79</v>
      </c>
      <c r="I18">
        <v>55.3</v>
      </c>
    </row>
    <row r="19" spans="1:9" x14ac:dyDescent="0.2">
      <c r="A19">
        <v>11</v>
      </c>
      <c r="C19">
        <v>0.91</v>
      </c>
      <c r="E19">
        <v>27.4</v>
      </c>
      <c r="G19">
        <v>1.1100000000000001</v>
      </c>
      <c r="I19">
        <v>33.299999999999997</v>
      </c>
    </row>
    <row r="20" spans="1:9" x14ac:dyDescent="0.2">
      <c r="A20">
        <v>12</v>
      </c>
      <c r="C20">
        <v>0.49</v>
      </c>
      <c r="E20">
        <v>15.1</v>
      </c>
      <c r="G20">
        <v>0.59</v>
      </c>
      <c r="I20">
        <v>18.2</v>
      </c>
    </row>
    <row r="21" spans="1:9" x14ac:dyDescent="0.2">
      <c r="A21" t="s">
        <v>149</v>
      </c>
      <c r="C21">
        <v>2.13</v>
      </c>
      <c r="E21">
        <v>64.900000000000006</v>
      </c>
      <c r="G21">
        <v>2.76</v>
      </c>
      <c r="I21">
        <v>84</v>
      </c>
    </row>
    <row r="23" spans="1:9" x14ac:dyDescent="0.2">
      <c r="A23" t="s">
        <v>150</v>
      </c>
    </row>
    <row r="24" spans="1:9" x14ac:dyDescent="0.2">
      <c r="A24" t="s">
        <v>151</v>
      </c>
    </row>
    <row r="25" spans="1:9" x14ac:dyDescent="0.2">
      <c r="A25" t="s">
        <v>152</v>
      </c>
    </row>
    <row r="26" spans="1:9" x14ac:dyDescent="0.2">
      <c r="A26" t="s">
        <v>153</v>
      </c>
    </row>
    <row r="28" spans="1:9" x14ac:dyDescent="0.2">
      <c r="A28" t="s">
        <v>154</v>
      </c>
    </row>
    <row r="31" spans="1:9" x14ac:dyDescent="0.2">
      <c r="A31" t="s">
        <v>133</v>
      </c>
      <c r="B31" t="s">
        <v>134</v>
      </c>
    </row>
    <row r="32" spans="1:9" x14ac:dyDescent="0.2">
      <c r="A32" t="s">
        <v>135</v>
      </c>
      <c r="B32" t="s">
        <v>136</v>
      </c>
    </row>
    <row r="33" spans="1:9" x14ac:dyDescent="0.2">
      <c r="A33" t="s">
        <v>137</v>
      </c>
      <c r="B33" t="s">
        <v>138</v>
      </c>
    </row>
    <row r="34" spans="1:9" x14ac:dyDescent="0.2">
      <c r="A34" t="s">
        <v>139</v>
      </c>
      <c r="B34" t="s">
        <v>140</v>
      </c>
    </row>
    <row r="35" spans="1:9" x14ac:dyDescent="0.2">
      <c r="A35" t="s">
        <v>141</v>
      </c>
      <c r="B35" t="s">
        <v>159</v>
      </c>
    </row>
    <row r="37" spans="1:9" x14ac:dyDescent="0.2">
      <c r="B37" t="s">
        <v>143</v>
      </c>
    </row>
    <row r="38" spans="1:9" x14ac:dyDescent="0.2">
      <c r="A38" t="s">
        <v>144</v>
      </c>
      <c r="C38" t="s">
        <v>145</v>
      </c>
      <c r="E38" t="s">
        <v>146</v>
      </c>
      <c r="G38" t="s">
        <v>147</v>
      </c>
      <c r="I38" t="s">
        <v>148</v>
      </c>
    </row>
    <row r="39" spans="1:9" x14ac:dyDescent="0.2">
      <c r="A39">
        <v>1</v>
      </c>
      <c r="C39">
        <v>0.31</v>
      </c>
      <c r="E39">
        <v>9.58</v>
      </c>
      <c r="G39">
        <v>0.45</v>
      </c>
      <c r="I39">
        <v>13.8</v>
      </c>
    </row>
    <row r="40" spans="1:9" x14ac:dyDescent="0.2">
      <c r="A40">
        <v>2</v>
      </c>
      <c r="C40">
        <v>0.77</v>
      </c>
      <c r="E40">
        <v>21.5</v>
      </c>
      <c r="G40">
        <v>1.02</v>
      </c>
      <c r="I40">
        <v>28.5</v>
      </c>
    </row>
    <row r="41" spans="1:9" x14ac:dyDescent="0.2">
      <c r="A41">
        <v>3</v>
      </c>
      <c r="C41">
        <v>1.53</v>
      </c>
      <c r="E41">
        <v>47.4</v>
      </c>
      <c r="G41">
        <v>1.95</v>
      </c>
      <c r="I41">
        <v>60.5</v>
      </c>
    </row>
    <row r="42" spans="1:9" x14ac:dyDescent="0.2">
      <c r="A42">
        <v>4</v>
      </c>
      <c r="C42">
        <v>2.5499999999999998</v>
      </c>
      <c r="E42">
        <v>76.400000000000006</v>
      </c>
      <c r="G42">
        <v>3.27</v>
      </c>
      <c r="I42">
        <v>98.1</v>
      </c>
    </row>
    <row r="43" spans="1:9" x14ac:dyDescent="0.2">
      <c r="A43">
        <v>5</v>
      </c>
      <c r="C43">
        <v>3.24</v>
      </c>
      <c r="E43">
        <v>101</v>
      </c>
      <c r="G43">
        <v>4.22</v>
      </c>
      <c r="I43">
        <v>131</v>
      </c>
    </row>
    <row r="44" spans="1:9" x14ac:dyDescent="0.2">
      <c r="A44">
        <v>6</v>
      </c>
      <c r="C44">
        <v>3.3</v>
      </c>
      <c r="E44">
        <v>99.1</v>
      </c>
      <c r="G44">
        <v>4.37</v>
      </c>
      <c r="I44">
        <v>131</v>
      </c>
    </row>
    <row r="45" spans="1:9" x14ac:dyDescent="0.2">
      <c r="A45">
        <v>7</v>
      </c>
      <c r="C45">
        <v>3.14</v>
      </c>
      <c r="E45">
        <v>97.3</v>
      </c>
      <c r="G45">
        <v>4.16</v>
      </c>
      <c r="I45">
        <v>129</v>
      </c>
    </row>
    <row r="46" spans="1:9" x14ac:dyDescent="0.2">
      <c r="A46">
        <v>8</v>
      </c>
      <c r="C46">
        <v>2.48</v>
      </c>
      <c r="E46">
        <v>76.900000000000006</v>
      </c>
      <c r="G46">
        <v>3.27</v>
      </c>
      <c r="I46">
        <v>102</v>
      </c>
    </row>
    <row r="47" spans="1:9" x14ac:dyDescent="0.2">
      <c r="A47">
        <v>9</v>
      </c>
      <c r="C47">
        <v>1.73</v>
      </c>
      <c r="E47">
        <v>52</v>
      </c>
      <c r="G47">
        <v>2.27</v>
      </c>
      <c r="I47">
        <v>68</v>
      </c>
    </row>
    <row r="48" spans="1:9" x14ac:dyDescent="0.2">
      <c r="A48">
        <v>10</v>
      </c>
      <c r="C48">
        <v>0.91</v>
      </c>
      <c r="E48">
        <v>28.2</v>
      </c>
      <c r="G48">
        <v>1.2</v>
      </c>
      <c r="I48">
        <v>37.1</v>
      </c>
    </row>
    <row r="49" spans="1:9" x14ac:dyDescent="0.2">
      <c r="A49">
        <v>11</v>
      </c>
      <c r="C49">
        <v>0.44</v>
      </c>
      <c r="E49">
        <v>13.2</v>
      </c>
      <c r="G49">
        <v>0.61</v>
      </c>
      <c r="I49">
        <v>18.399999999999999</v>
      </c>
    </row>
    <row r="50" spans="1:9" x14ac:dyDescent="0.2">
      <c r="A50">
        <v>12</v>
      </c>
      <c r="C50">
        <v>0.21</v>
      </c>
      <c r="E50">
        <v>6.44</v>
      </c>
      <c r="G50">
        <v>0.31</v>
      </c>
      <c r="I50">
        <v>9.6999999999999993</v>
      </c>
    </row>
    <row r="51" spans="1:9" x14ac:dyDescent="0.2">
      <c r="A51" t="s">
        <v>149</v>
      </c>
      <c r="C51">
        <v>1.72</v>
      </c>
      <c r="E51">
        <v>52.4</v>
      </c>
      <c r="G51">
        <v>2.2599999999999998</v>
      </c>
      <c r="I51">
        <v>68.900000000000006</v>
      </c>
    </row>
    <row r="53" spans="1:9" x14ac:dyDescent="0.2">
      <c r="A53" t="s">
        <v>150</v>
      </c>
    </row>
    <row r="54" spans="1:9" x14ac:dyDescent="0.2">
      <c r="A54" t="s">
        <v>151</v>
      </c>
    </row>
    <row r="55" spans="1:9" x14ac:dyDescent="0.2">
      <c r="A55" t="s">
        <v>152</v>
      </c>
    </row>
    <row r="56" spans="1:9" x14ac:dyDescent="0.2">
      <c r="A56" t="s">
        <v>153</v>
      </c>
    </row>
    <row r="58" spans="1:9" x14ac:dyDescent="0.2">
      <c r="A58" t="s">
        <v>154</v>
      </c>
    </row>
    <row r="62" spans="1:9" x14ac:dyDescent="0.2">
      <c r="A62" t="s">
        <v>133</v>
      </c>
      <c r="B62" t="s">
        <v>134</v>
      </c>
    </row>
    <row r="63" spans="1:9" x14ac:dyDescent="0.2">
      <c r="A63" t="s">
        <v>135</v>
      </c>
      <c r="B63" t="s">
        <v>136</v>
      </c>
    </row>
    <row r="64" spans="1:9" x14ac:dyDescent="0.2">
      <c r="A64" t="s">
        <v>137</v>
      </c>
      <c r="B64" t="s">
        <v>138</v>
      </c>
    </row>
    <row r="65" spans="1:9" x14ac:dyDescent="0.2">
      <c r="A65" t="s">
        <v>139</v>
      </c>
      <c r="B65" t="s">
        <v>140</v>
      </c>
    </row>
    <row r="66" spans="1:9" x14ac:dyDescent="0.2">
      <c r="A66" t="s">
        <v>141</v>
      </c>
      <c r="B66" t="s">
        <v>160</v>
      </c>
    </row>
    <row r="68" spans="1:9" x14ac:dyDescent="0.2">
      <c r="B68" t="s">
        <v>143</v>
      </c>
    </row>
    <row r="69" spans="1:9" x14ac:dyDescent="0.2">
      <c r="A69" t="s">
        <v>144</v>
      </c>
      <c r="C69" t="s">
        <v>145</v>
      </c>
      <c r="E69" t="s">
        <v>146</v>
      </c>
      <c r="G69" t="s">
        <v>147</v>
      </c>
      <c r="I69" t="s">
        <v>148</v>
      </c>
    </row>
    <row r="70" spans="1:9" x14ac:dyDescent="0.2">
      <c r="A70">
        <v>1</v>
      </c>
      <c r="C70">
        <v>0.32</v>
      </c>
      <c r="E70">
        <v>9.94</v>
      </c>
      <c r="G70">
        <v>0.46</v>
      </c>
      <c r="I70">
        <v>14.2</v>
      </c>
    </row>
    <row r="71" spans="1:9" x14ac:dyDescent="0.2">
      <c r="A71">
        <v>2</v>
      </c>
      <c r="C71">
        <v>0.77</v>
      </c>
      <c r="E71">
        <v>21.5</v>
      </c>
      <c r="G71">
        <v>1.02</v>
      </c>
      <c r="I71">
        <v>28.5</v>
      </c>
    </row>
    <row r="72" spans="1:9" x14ac:dyDescent="0.2">
      <c r="A72">
        <v>3</v>
      </c>
      <c r="C72">
        <v>1.53</v>
      </c>
      <c r="E72">
        <v>47.5</v>
      </c>
      <c r="G72">
        <v>1.96</v>
      </c>
      <c r="I72">
        <v>60.7</v>
      </c>
    </row>
    <row r="73" spans="1:9" x14ac:dyDescent="0.2">
      <c r="A73">
        <v>4</v>
      </c>
      <c r="C73">
        <v>2.54</v>
      </c>
      <c r="E73">
        <v>76.099999999999994</v>
      </c>
      <c r="G73">
        <v>3.27</v>
      </c>
      <c r="I73">
        <v>98.1</v>
      </c>
    </row>
    <row r="74" spans="1:9" x14ac:dyDescent="0.2">
      <c r="A74">
        <v>5</v>
      </c>
      <c r="C74">
        <v>3.23</v>
      </c>
      <c r="E74">
        <v>100</v>
      </c>
      <c r="G74">
        <v>4.22</v>
      </c>
      <c r="I74">
        <v>131</v>
      </c>
    </row>
    <row r="75" spans="1:9" x14ac:dyDescent="0.2">
      <c r="A75">
        <v>6</v>
      </c>
      <c r="C75">
        <v>3.29</v>
      </c>
      <c r="E75">
        <v>98.7</v>
      </c>
      <c r="G75">
        <v>4.37</v>
      </c>
      <c r="I75">
        <v>131</v>
      </c>
    </row>
    <row r="76" spans="1:9" x14ac:dyDescent="0.2">
      <c r="A76">
        <v>7</v>
      </c>
      <c r="C76">
        <v>3.13</v>
      </c>
      <c r="E76">
        <v>96.9</v>
      </c>
      <c r="G76">
        <v>4.16</v>
      </c>
      <c r="I76">
        <v>129</v>
      </c>
    </row>
    <row r="77" spans="1:9" x14ac:dyDescent="0.2">
      <c r="A77">
        <v>8</v>
      </c>
      <c r="C77">
        <v>2.48</v>
      </c>
      <c r="E77">
        <v>76.7</v>
      </c>
      <c r="G77">
        <v>3.28</v>
      </c>
      <c r="I77">
        <v>102</v>
      </c>
    </row>
    <row r="78" spans="1:9" x14ac:dyDescent="0.2">
      <c r="A78">
        <v>9</v>
      </c>
      <c r="C78">
        <v>1.73</v>
      </c>
      <c r="E78">
        <v>51.9</v>
      </c>
      <c r="G78">
        <v>2.27</v>
      </c>
      <c r="I78">
        <v>68.099999999999994</v>
      </c>
    </row>
    <row r="79" spans="1:9" x14ac:dyDescent="0.2">
      <c r="A79">
        <v>10</v>
      </c>
      <c r="C79">
        <v>0.91</v>
      </c>
      <c r="E79">
        <v>28.3</v>
      </c>
      <c r="G79">
        <v>1.2</v>
      </c>
      <c r="I79">
        <v>37.299999999999997</v>
      </c>
    </row>
    <row r="80" spans="1:9" x14ac:dyDescent="0.2">
      <c r="A80">
        <v>11</v>
      </c>
      <c r="C80">
        <v>0.45</v>
      </c>
      <c r="E80">
        <v>13.3</v>
      </c>
      <c r="G80">
        <v>0.62</v>
      </c>
      <c r="I80">
        <v>18.600000000000001</v>
      </c>
    </row>
    <row r="81" spans="1:9" x14ac:dyDescent="0.2">
      <c r="A81">
        <v>12</v>
      </c>
      <c r="C81">
        <v>0.21</v>
      </c>
      <c r="E81">
        <v>6.58</v>
      </c>
      <c r="G81">
        <v>0.32</v>
      </c>
      <c r="I81">
        <v>9.83</v>
      </c>
    </row>
    <row r="82" spans="1:9" x14ac:dyDescent="0.2">
      <c r="A82" t="s">
        <v>149</v>
      </c>
      <c r="C82">
        <v>1.72</v>
      </c>
      <c r="E82">
        <v>52.3</v>
      </c>
      <c r="G82">
        <v>2.27</v>
      </c>
      <c r="I82">
        <v>69</v>
      </c>
    </row>
    <row r="84" spans="1:9" x14ac:dyDescent="0.2">
      <c r="A84" t="s">
        <v>150</v>
      </c>
    </row>
    <row r="85" spans="1:9" x14ac:dyDescent="0.2">
      <c r="A85" t="s">
        <v>151</v>
      </c>
    </row>
    <row r="86" spans="1:9" x14ac:dyDescent="0.2">
      <c r="A86" t="s">
        <v>152</v>
      </c>
    </row>
    <row r="87" spans="1:9" x14ac:dyDescent="0.2">
      <c r="A87" t="s">
        <v>153</v>
      </c>
    </row>
    <row r="89" spans="1:9" x14ac:dyDescent="0.2">
      <c r="A89" t="s">
        <v>154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2:M69"/>
  <sheetViews>
    <sheetView zoomScale="115" zoomScaleNormal="115" workbookViewId="0">
      <pane ySplit="12" topLeftCell="A13" activePane="bottomLeft" state="frozen"/>
      <selection pane="bottomLeft" activeCell="H13" sqref="H13"/>
    </sheetView>
  </sheetViews>
  <sheetFormatPr defaultColWidth="9" defaultRowHeight="12.75" x14ac:dyDescent="0.2"/>
  <cols>
    <col min="1" max="1" width="8.875" bestFit="1" customWidth="1"/>
    <col min="2" max="2" width="8.375" bestFit="1" customWidth="1"/>
    <col min="3" max="3" width="7.5" bestFit="1" customWidth="1"/>
    <col min="4" max="4" width="13.625" bestFit="1" customWidth="1"/>
    <col min="5" max="6" width="12.25" customWidth="1"/>
  </cols>
  <sheetData>
    <row r="12" spans="1:13" s="17" customFormat="1" ht="38.25" x14ac:dyDescent="0.2">
      <c r="A12" s="20" t="s">
        <v>37</v>
      </c>
      <c r="B12" s="20" t="s">
        <v>38</v>
      </c>
      <c r="C12" s="20" t="s">
        <v>39</v>
      </c>
      <c r="D12" s="20" t="s">
        <v>40</v>
      </c>
      <c r="E12" s="20" t="s">
        <v>32</v>
      </c>
      <c r="F12" s="20" t="s">
        <v>41</v>
      </c>
      <c r="G12" s="47" t="s">
        <v>104</v>
      </c>
      <c r="H12" s="47" t="s">
        <v>103</v>
      </c>
      <c r="I12" s="47" t="s">
        <v>109</v>
      </c>
      <c r="J12" s="47" t="s">
        <v>105</v>
      </c>
      <c r="K12" s="47" t="s">
        <v>106</v>
      </c>
      <c r="L12" s="47" t="s">
        <v>107</v>
      </c>
      <c r="M12" s="47" t="s">
        <v>108</v>
      </c>
    </row>
    <row r="13" spans="1:13" x14ac:dyDescent="0.2">
      <c r="A13" s="18">
        <v>1</v>
      </c>
      <c r="B13" s="18">
        <v>91.47</v>
      </c>
      <c r="C13" s="18">
        <v>91.47</v>
      </c>
      <c r="D13" s="18">
        <v>45.734999999999999</v>
      </c>
      <c r="E13" s="18">
        <v>5</v>
      </c>
      <c r="F13" s="18">
        <v>280</v>
      </c>
      <c r="H13" t="str">
        <f>IF(AND(F13&gt;=90,F13&lt;150),-90,IF(AND(F13&gt;=150,F13&lt;=210),0,IF(AND(F13&gt;210,F13&lt;=270),90," ")))</f>
        <v xml:space="preserve"> </v>
      </c>
      <c r="I13">
        <f>E13*8</f>
        <v>40</v>
      </c>
    </row>
    <row r="14" spans="1:13" x14ac:dyDescent="0.2">
      <c r="A14" s="18">
        <v>2</v>
      </c>
      <c r="B14" s="18">
        <v>86.28</v>
      </c>
      <c r="C14" s="18">
        <v>172.56</v>
      </c>
      <c r="D14" s="18">
        <v>86.28</v>
      </c>
      <c r="E14" s="18">
        <v>10</v>
      </c>
      <c r="F14" s="18">
        <v>335</v>
      </c>
      <c r="H14" t="str">
        <f t="shared" ref="H14:H61" si="0">IF(AND(F14&gt;=90,F14&lt;150),-90,IF(AND(F14&gt;=150,F14&lt;=210),0,IF(AND(F14&gt;210,F14&lt;=270),90," ")))</f>
        <v xml:space="preserve"> </v>
      </c>
      <c r="I14">
        <f t="shared" ref="I14:I62" si="1">E14*8</f>
        <v>80</v>
      </c>
    </row>
    <row r="15" spans="1:13" x14ac:dyDescent="0.2">
      <c r="A15" s="18">
        <v>3</v>
      </c>
      <c r="B15" s="18">
        <v>95.86</v>
      </c>
      <c r="C15" s="18">
        <v>95.86</v>
      </c>
      <c r="D15" s="18">
        <v>47.93</v>
      </c>
      <c r="E15" s="18">
        <v>6</v>
      </c>
      <c r="F15" s="18">
        <v>64</v>
      </c>
      <c r="H15" t="str">
        <f t="shared" si="0"/>
        <v xml:space="preserve"> </v>
      </c>
      <c r="I15">
        <f t="shared" si="1"/>
        <v>48</v>
      </c>
    </row>
    <row r="16" spans="1:13" x14ac:dyDescent="0.2">
      <c r="A16" s="18">
        <v>4</v>
      </c>
      <c r="B16" s="18">
        <v>81.37</v>
      </c>
      <c r="C16" s="18">
        <v>162.74</v>
      </c>
      <c r="D16" s="18">
        <v>81.37</v>
      </c>
      <c r="E16" s="18">
        <v>10</v>
      </c>
      <c r="F16" s="18">
        <v>299</v>
      </c>
      <c r="H16" t="str">
        <f t="shared" si="0"/>
        <v xml:space="preserve"> </v>
      </c>
      <c r="I16">
        <f t="shared" si="1"/>
        <v>80</v>
      </c>
    </row>
    <row r="17" spans="1:9" x14ac:dyDescent="0.2">
      <c r="A17" s="18">
        <v>5</v>
      </c>
      <c r="B17" s="18">
        <v>61.36</v>
      </c>
      <c r="C17" s="18">
        <v>122.72</v>
      </c>
      <c r="D17" s="18">
        <v>61.36</v>
      </c>
      <c r="E17" s="18">
        <v>7</v>
      </c>
      <c r="F17" s="18">
        <v>299</v>
      </c>
      <c r="H17" t="str">
        <f t="shared" si="0"/>
        <v xml:space="preserve"> </v>
      </c>
      <c r="I17">
        <f t="shared" si="1"/>
        <v>56</v>
      </c>
    </row>
    <row r="18" spans="1:9" x14ac:dyDescent="0.2">
      <c r="A18" s="18">
        <v>6</v>
      </c>
      <c r="B18" s="18">
        <v>74.349999999999994</v>
      </c>
      <c r="C18" s="18">
        <v>74.349999999999994</v>
      </c>
      <c r="D18" s="18">
        <v>37.174999999999997</v>
      </c>
      <c r="E18" s="18">
        <v>4</v>
      </c>
      <c r="F18" s="18">
        <v>63</v>
      </c>
      <c r="H18" t="str">
        <f t="shared" si="0"/>
        <v xml:space="preserve"> </v>
      </c>
      <c r="I18">
        <f t="shared" si="1"/>
        <v>32</v>
      </c>
    </row>
    <row r="19" spans="1:9" x14ac:dyDescent="0.2">
      <c r="A19" s="18">
        <v>7</v>
      </c>
      <c r="B19" s="18">
        <v>88.405000000000001</v>
      </c>
      <c r="C19" s="18">
        <v>88.405000000000001</v>
      </c>
      <c r="D19" s="18">
        <v>442.02499999999998</v>
      </c>
      <c r="E19" s="18">
        <v>5</v>
      </c>
      <c r="F19" s="18">
        <v>62</v>
      </c>
      <c r="H19" t="str">
        <f t="shared" si="0"/>
        <v xml:space="preserve"> </v>
      </c>
      <c r="I19">
        <f t="shared" si="1"/>
        <v>40</v>
      </c>
    </row>
    <row r="20" spans="1:9" x14ac:dyDescent="0.2">
      <c r="A20" s="18">
        <v>8</v>
      </c>
      <c r="B20" s="18">
        <v>104.92</v>
      </c>
      <c r="C20" s="18">
        <v>104.92</v>
      </c>
      <c r="D20" s="18">
        <v>52.46</v>
      </c>
      <c r="E20" s="18">
        <v>6</v>
      </c>
      <c r="F20" s="18">
        <v>62</v>
      </c>
      <c r="H20" t="str">
        <f t="shared" si="0"/>
        <v xml:space="preserve"> </v>
      </c>
      <c r="I20">
        <f t="shared" si="1"/>
        <v>48</v>
      </c>
    </row>
    <row r="21" spans="1:9" x14ac:dyDescent="0.2">
      <c r="A21" s="18">
        <v>9</v>
      </c>
      <c r="B21" s="18">
        <v>71.19</v>
      </c>
      <c r="C21" s="18">
        <v>71.19</v>
      </c>
      <c r="D21" s="18">
        <v>35.594999999999999</v>
      </c>
      <c r="E21" s="18">
        <v>4</v>
      </c>
      <c r="F21" s="18">
        <v>63</v>
      </c>
      <c r="H21" t="str">
        <f t="shared" si="0"/>
        <v xml:space="preserve"> </v>
      </c>
      <c r="I21">
        <f t="shared" si="1"/>
        <v>32</v>
      </c>
    </row>
    <row r="22" spans="1:9" x14ac:dyDescent="0.2">
      <c r="A22" s="18">
        <v>10</v>
      </c>
      <c r="B22" s="18">
        <v>83.57</v>
      </c>
      <c r="C22" s="18">
        <v>167.14</v>
      </c>
      <c r="D22" s="18">
        <v>83.57</v>
      </c>
      <c r="E22" s="18">
        <v>10</v>
      </c>
      <c r="F22" s="18">
        <v>297</v>
      </c>
      <c r="H22" t="str">
        <f t="shared" si="0"/>
        <v xml:space="preserve"> </v>
      </c>
      <c r="I22">
        <f t="shared" si="1"/>
        <v>80</v>
      </c>
    </row>
    <row r="23" spans="1:9" x14ac:dyDescent="0.2">
      <c r="A23" s="18">
        <v>11</v>
      </c>
      <c r="B23" s="18">
        <v>87.38</v>
      </c>
      <c r="C23" s="18">
        <v>174.76</v>
      </c>
      <c r="D23" s="18">
        <v>87.38</v>
      </c>
      <c r="E23" s="18">
        <v>10</v>
      </c>
      <c r="F23" s="18">
        <v>276</v>
      </c>
      <c r="H23" t="str">
        <f t="shared" si="0"/>
        <v xml:space="preserve"> </v>
      </c>
      <c r="I23">
        <f t="shared" si="1"/>
        <v>80</v>
      </c>
    </row>
    <row r="24" spans="1:9" x14ac:dyDescent="0.2">
      <c r="A24" s="18">
        <v>12</v>
      </c>
      <c r="B24" s="18">
        <v>75.39</v>
      </c>
      <c r="C24" s="18">
        <v>75.39</v>
      </c>
      <c r="D24" s="18">
        <v>37.695</v>
      </c>
      <c r="E24" s="18">
        <v>4</v>
      </c>
      <c r="F24" s="18">
        <v>277</v>
      </c>
      <c r="H24" t="str">
        <f t="shared" si="0"/>
        <v xml:space="preserve"> </v>
      </c>
      <c r="I24">
        <f t="shared" si="1"/>
        <v>32</v>
      </c>
    </row>
    <row r="25" spans="1:9" x14ac:dyDescent="0.2">
      <c r="A25" s="18">
        <v>13</v>
      </c>
      <c r="B25" s="18">
        <v>105.15</v>
      </c>
      <c r="C25" s="18">
        <v>105.15</v>
      </c>
      <c r="D25" s="18">
        <v>52.575000000000003</v>
      </c>
      <c r="E25" s="18">
        <v>6</v>
      </c>
      <c r="F25" s="18">
        <v>276</v>
      </c>
      <c r="H25" t="str">
        <f t="shared" si="0"/>
        <v xml:space="preserve"> </v>
      </c>
      <c r="I25">
        <f t="shared" si="1"/>
        <v>48</v>
      </c>
    </row>
    <row r="26" spans="1:9" x14ac:dyDescent="0.2">
      <c r="A26" s="18">
        <v>14</v>
      </c>
      <c r="B26" s="18">
        <v>83.24</v>
      </c>
      <c r="C26" s="18">
        <v>166.48</v>
      </c>
      <c r="D26" s="18">
        <v>83.24</v>
      </c>
      <c r="E26" s="18">
        <v>10</v>
      </c>
      <c r="F26" s="18">
        <v>82</v>
      </c>
      <c r="H26" t="str">
        <f t="shared" si="0"/>
        <v xml:space="preserve"> </v>
      </c>
      <c r="I26">
        <f t="shared" si="1"/>
        <v>80</v>
      </c>
    </row>
    <row r="27" spans="1:9" x14ac:dyDescent="0.2">
      <c r="A27" s="18">
        <v>15</v>
      </c>
      <c r="B27" s="18">
        <v>74.88</v>
      </c>
      <c r="C27" s="18">
        <v>149.76</v>
      </c>
      <c r="D27" s="18">
        <v>74.88</v>
      </c>
      <c r="E27" s="18">
        <v>9</v>
      </c>
      <c r="F27" s="18">
        <v>81</v>
      </c>
      <c r="H27" t="str">
        <f t="shared" si="0"/>
        <v xml:space="preserve"> </v>
      </c>
      <c r="I27">
        <f t="shared" si="1"/>
        <v>72</v>
      </c>
    </row>
    <row r="28" spans="1:9" x14ac:dyDescent="0.2">
      <c r="A28" s="18">
        <v>16</v>
      </c>
      <c r="B28" s="18">
        <v>64.3</v>
      </c>
      <c r="C28" s="18">
        <v>128.6</v>
      </c>
      <c r="D28" s="18">
        <v>64.3</v>
      </c>
      <c r="E28" s="18">
        <v>8</v>
      </c>
      <c r="F28" s="18">
        <v>278</v>
      </c>
      <c r="H28" t="str">
        <f t="shared" si="0"/>
        <v xml:space="preserve"> </v>
      </c>
      <c r="I28">
        <f t="shared" si="1"/>
        <v>64</v>
      </c>
    </row>
    <row r="29" spans="1:9" x14ac:dyDescent="0.2">
      <c r="A29" s="18">
        <v>17</v>
      </c>
      <c r="B29" s="18">
        <v>90.73</v>
      </c>
      <c r="C29" s="18">
        <v>181.46</v>
      </c>
      <c r="D29" s="18">
        <v>90.73</v>
      </c>
      <c r="E29" s="18">
        <v>11</v>
      </c>
      <c r="F29" s="18">
        <v>277</v>
      </c>
      <c r="H29" t="str">
        <f t="shared" si="0"/>
        <v xml:space="preserve"> </v>
      </c>
      <c r="I29">
        <f t="shared" si="1"/>
        <v>88</v>
      </c>
    </row>
    <row r="30" spans="1:9" x14ac:dyDescent="0.2">
      <c r="A30" s="18">
        <v>18</v>
      </c>
      <c r="B30" s="18">
        <v>96.33</v>
      </c>
      <c r="C30" s="18">
        <v>96.33</v>
      </c>
      <c r="D30" s="18">
        <v>48.164999999999999</v>
      </c>
      <c r="E30" s="18">
        <v>6</v>
      </c>
      <c r="F30" s="18">
        <v>276</v>
      </c>
      <c r="H30" t="str">
        <f t="shared" si="0"/>
        <v xml:space="preserve"> </v>
      </c>
      <c r="I30">
        <f t="shared" si="1"/>
        <v>48</v>
      </c>
    </row>
    <row r="31" spans="1:9" x14ac:dyDescent="0.2">
      <c r="A31" s="18">
        <v>19</v>
      </c>
      <c r="B31" s="18">
        <v>139.43</v>
      </c>
      <c r="C31" s="18">
        <v>139.43</v>
      </c>
      <c r="D31" s="18">
        <v>69.715000000000003</v>
      </c>
      <c r="E31" s="18">
        <v>8</v>
      </c>
      <c r="F31" s="18">
        <v>319</v>
      </c>
      <c r="H31" t="str">
        <f t="shared" si="0"/>
        <v xml:space="preserve"> </v>
      </c>
      <c r="I31">
        <f t="shared" si="1"/>
        <v>64</v>
      </c>
    </row>
    <row r="32" spans="1:9" x14ac:dyDescent="0.2">
      <c r="A32" s="18">
        <v>20</v>
      </c>
      <c r="B32" s="18">
        <v>78.040000000000006</v>
      </c>
      <c r="C32" s="18">
        <v>78.040000000000006</v>
      </c>
      <c r="D32" s="18">
        <v>39.020000000000003</v>
      </c>
      <c r="E32" s="18">
        <v>4</v>
      </c>
      <c r="F32" s="18">
        <v>53</v>
      </c>
      <c r="H32" t="str">
        <f t="shared" si="0"/>
        <v xml:space="preserve"> </v>
      </c>
      <c r="I32">
        <f t="shared" si="1"/>
        <v>32</v>
      </c>
    </row>
    <row r="33" spans="1:9" x14ac:dyDescent="0.2">
      <c r="A33" s="18">
        <v>21</v>
      </c>
      <c r="B33" s="18">
        <v>92.47</v>
      </c>
      <c r="C33" s="18">
        <v>92.47</v>
      </c>
      <c r="D33" s="18">
        <v>46.234999999999999</v>
      </c>
      <c r="E33" s="18">
        <v>5</v>
      </c>
      <c r="F33" s="18">
        <v>276</v>
      </c>
      <c r="H33" t="str">
        <f t="shared" si="0"/>
        <v xml:space="preserve"> </v>
      </c>
      <c r="I33">
        <f t="shared" si="1"/>
        <v>40</v>
      </c>
    </row>
    <row r="34" spans="1:9" x14ac:dyDescent="0.2">
      <c r="A34" s="18">
        <v>22</v>
      </c>
      <c r="B34" s="18">
        <v>87.45</v>
      </c>
      <c r="C34" s="18">
        <v>174.9</v>
      </c>
      <c r="D34" s="18">
        <v>87.45</v>
      </c>
      <c r="E34" s="18">
        <v>10</v>
      </c>
      <c r="F34" s="18">
        <v>275</v>
      </c>
      <c r="H34" t="str">
        <f t="shared" si="0"/>
        <v xml:space="preserve"> </v>
      </c>
      <c r="I34">
        <f t="shared" si="1"/>
        <v>80</v>
      </c>
    </row>
    <row r="35" spans="1:9" x14ac:dyDescent="0.2">
      <c r="A35" s="18">
        <v>23</v>
      </c>
      <c r="B35" s="18">
        <v>93.19</v>
      </c>
      <c r="C35" s="18">
        <v>93.19</v>
      </c>
      <c r="D35" s="18">
        <v>46.594999999999999</v>
      </c>
      <c r="E35" s="18">
        <v>5</v>
      </c>
      <c r="F35" s="18">
        <v>81</v>
      </c>
      <c r="H35" t="str">
        <f t="shared" si="0"/>
        <v xml:space="preserve"> </v>
      </c>
      <c r="I35">
        <f t="shared" si="1"/>
        <v>40</v>
      </c>
    </row>
    <row r="36" spans="1:9" x14ac:dyDescent="0.2">
      <c r="A36" s="18">
        <v>24</v>
      </c>
      <c r="B36" s="18">
        <v>70.8</v>
      </c>
      <c r="C36" s="18">
        <v>141.6</v>
      </c>
      <c r="D36" s="18">
        <v>70.8</v>
      </c>
      <c r="E36" s="18">
        <v>8</v>
      </c>
      <c r="F36" s="18">
        <v>278</v>
      </c>
      <c r="H36" t="str">
        <f t="shared" si="0"/>
        <v xml:space="preserve"> </v>
      </c>
      <c r="I36">
        <f t="shared" si="1"/>
        <v>64</v>
      </c>
    </row>
    <row r="37" spans="1:9" x14ac:dyDescent="0.2">
      <c r="A37" s="18">
        <v>25</v>
      </c>
      <c r="B37" s="18">
        <v>102.15</v>
      </c>
      <c r="C37" s="18">
        <v>204.3</v>
      </c>
      <c r="D37" s="18">
        <v>102.15</v>
      </c>
      <c r="E37" s="18">
        <v>12</v>
      </c>
      <c r="F37" s="18">
        <v>278</v>
      </c>
      <c r="H37" t="str">
        <f t="shared" si="0"/>
        <v xml:space="preserve"> </v>
      </c>
      <c r="I37">
        <f t="shared" si="1"/>
        <v>96</v>
      </c>
    </row>
    <row r="38" spans="1:9" x14ac:dyDescent="0.2">
      <c r="A38" s="18">
        <v>26</v>
      </c>
      <c r="B38" s="18">
        <v>89.18</v>
      </c>
      <c r="C38" s="18">
        <v>178.36</v>
      </c>
      <c r="D38" s="18">
        <v>89.18</v>
      </c>
      <c r="E38" s="18">
        <v>11</v>
      </c>
      <c r="F38" s="18">
        <v>62</v>
      </c>
      <c r="H38" t="str">
        <f t="shared" si="0"/>
        <v xml:space="preserve"> </v>
      </c>
      <c r="I38">
        <f t="shared" si="1"/>
        <v>88</v>
      </c>
    </row>
    <row r="39" spans="1:9" x14ac:dyDescent="0.2">
      <c r="A39" s="18">
        <v>27</v>
      </c>
      <c r="B39" s="18">
        <v>63.35</v>
      </c>
      <c r="C39" s="18">
        <v>126.7</v>
      </c>
      <c r="D39" s="18">
        <v>63.35</v>
      </c>
      <c r="E39" s="18">
        <v>7</v>
      </c>
      <c r="F39" s="18">
        <v>72</v>
      </c>
      <c r="H39" t="str">
        <f t="shared" si="0"/>
        <v xml:space="preserve"> </v>
      </c>
      <c r="I39">
        <f t="shared" si="1"/>
        <v>56</v>
      </c>
    </row>
    <row r="40" spans="1:9" x14ac:dyDescent="0.2">
      <c r="A40" s="18">
        <v>28</v>
      </c>
      <c r="B40" s="18">
        <v>93.27</v>
      </c>
      <c r="C40" s="18">
        <v>186.54</v>
      </c>
      <c r="D40" s="18">
        <v>93.27</v>
      </c>
      <c r="E40" s="18">
        <v>11</v>
      </c>
      <c r="F40" s="18">
        <v>76</v>
      </c>
      <c r="H40" t="str">
        <f t="shared" si="0"/>
        <v xml:space="preserve"> </v>
      </c>
      <c r="I40">
        <f t="shared" si="1"/>
        <v>88</v>
      </c>
    </row>
    <row r="41" spans="1:9" x14ac:dyDescent="0.2">
      <c r="A41" s="18">
        <v>29</v>
      </c>
      <c r="B41" s="18">
        <v>91.29</v>
      </c>
      <c r="C41" s="18">
        <v>182.58</v>
      </c>
      <c r="D41" s="18">
        <v>91.29</v>
      </c>
      <c r="E41" s="18">
        <v>11</v>
      </c>
      <c r="F41" s="18">
        <v>81</v>
      </c>
      <c r="H41" t="str">
        <f t="shared" si="0"/>
        <v xml:space="preserve"> </v>
      </c>
      <c r="I41">
        <f t="shared" si="1"/>
        <v>88</v>
      </c>
    </row>
    <row r="42" spans="1:9" x14ac:dyDescent="0.2">
      <c r="A42" s="18">
        <v>30</v>
      </c>
      <c r="B42" s="18">
        <v>100.55</v>
      </c>
      <c r="C42" s="18">
        <v>201.1</v>
      </c>
      <c r="D42" s="18">
        <v>100.55</v>
      </c>
      <c r="E42" s="18">
        <v>12</v>
      </c>
      <c r="F42" s="18">
        <v>81</v>
      </c>
      <c r="H42" t="str">
        <f t="shared" si="0"/>
        <v xml:space="preserve"> </v>
      </c>
      <c r="I42">
        <f t="shared" si="1"/>
        <v>96</v>
      </c>
    </row>
    <row r="43" spans="1:9" x14ac:dyDescent="0.2">
      <c r="A43" s="18">
        <v>31</v>
      </c>
      <c r="B43" s="18">
        <v>76.3</v>
      </c>
      <c r="C43" s="18">
        <v>152.6</v>
      </c>
      <c r="D43" s="18">
        <v>76.3</v>
      </c>
      <c r="E43" s="18">
        <v>9</v>
      </c>
      <c r="F43" s="18">
        <v>87</v>
      </c>
      <c r="H43" t="str">
        <f t="shared" si="0"/>
        <v xml:space="preserve"> </v>
      </c>
      <c r="I43">
        <f t="shared" si="1"/>
        <v>72</v>
      </c>
    </row>
    <row r="44" spans="1:9" x14ac:dyDescent="0.2">
      <c r="A44" s="18" t="s">
        <v>33</v>
      </c>
      <c r="B44" s="18">
        <v>76.575000000000003</v>
      </c>
      <c r="C44" s="18">
        <v>153.15</v>
      </c>
      <c r="D44" s="18">
        <v>76.575000000000003</v>
      </c>
      <c r="E44" s="18">
        <v>9</v>
      </c>
      <c r="F44" s="18">
        <v>343</v>
      </c>
      <c r="H44" t="str">
        <f t="shared" si="0"/>
        <v xml:space="preserve"> </v>
      </c>
      <c r="I44">
        <f t="shared" si="1"/>
        <v>72</v>
      </c>
    </row>
    <row r="45" spans="1:9" x14ac:dyDescent="0.2">
      <c r="A45" s="18" t="s">
        <v>34</v>
      </c>
      <c r="B45" s="18">
        <v>76.575000000000003</v>
      </c>
      <c r="C45" s="18">
        <v>153.15</v>
      </c>
      <c r="D45" s="18">
        <v>76.575000000000003</v>
      </c>
      <c r="E45" s="18">
        <v>9</v>
      </c>
      <c r="F45" s="18">
        <v>343</v>
      </c>
      <c r="H45" t="str">
        <f t="shared" si="0"/>
        <v xml:space="preserve"> </v>
      </c>
      <c r="I45">
        <f t="shared" si="1"/>
        <v>72</v>
      </c>
    </row>
    <row r="46" spans="1:9" x14ac:dyDescent="0.2">
      <c r="A46" s="18" t="s">
        <v>35</v>
      </c>
      <c r="B46" s="18">
        <v>83.814999999999998</v>
      </c>
      <c r="C46" s="18">
        <v>167.63</v>
      </c>
      <c r="D46" s="18">
        <v>83.814999999999998</v>
      </c>
      <c r="E46" s="18">
        <v>10</v>
      </c>
      <c r="F46" s="18">
        <v>331</v>
      </c>
      <c r="H46" t="str">
        <f t="shared" si="0"/>
        <v xml:space="preserve"> </v>
      </c>
      <c r="I46">
        <f t="shared" si="1"/>
        <v>80</v>
      </c>
    </row>
    <row r="47" spans="1:9" x14ac:dyDescent="0.2">
      <c r="A47" s="18" t="s">
        <v>36</v>
      </c>
      <c r="B47" s="18">
        <v>83.814999999999998</v>
      </c>
      <c r="C47" s="18">
        <v>167.63</v>
      </c>
      <c r="D47" s="18">
        <v>83.814999999999998</v>
      </c>
      <c r="E47" s="18">
        <v>10</v>
      </c>
      <c r="F47" s="18">
        <v>331</v>
      </c>
      <c r="H47" t="str">
        <f t="shared" si="0"/>
        <v xml:space="preserve"> </v>
      </c>
      <c r="I47">
        <f t="shared" si="1"/>
        <v>80</v>
      </c>
    </row>
    <row r="48" spans="1:9" x14ac:dyDescent="0.2">
      <c r="A48" s="18">
        <v>34</v>
      </c>
      <c r="B48" s="18">
        <v>73.680000000000007</v>
      </c>
      <c r="C48" s="18">
        <v>147.36000000000001</v>
      </c>
      <c r="D48" s="18">
        <v>73.680000000000007</v>
      </c>
      <c r="E48" s="18">
        <v>9</v>
      </c>
      <c r="F48" s="18">
        <v>341</v>
      </c>
      <c r="H48" t="str">
        <f t="shared" si="0"/>
        <v xml:space="preserve"> </v>
      </c>
      <c r="I48">
        <f t="shared" si="1"/>
        <v>72</v>
      </c>
    </row>
    <row r="49" spans="1:9" x14ac:dyDescent="0.2">
      <c r="A49" s="18">
        <v>35</v>
      </c>
      <c r="B49" s="18">
        <v>69.19</v>
      </c>
      <c r="C49" s="18">
        <v>138.38</v>
      </c>
      <c r="D49" s="18">
        <v>69.19</v>
      </c>
      <c r="E49" s="18">
        <v>8</v>
      </c>
      <c r="F49" s="18">
        <v>358</v>
      </c>
      <c r="H49" t="str">
        <f t="shared" si="0"/>
        <v xml:space="preserve"> </v>
      </c>
      <c r="I49">
        <f t="shared" si="1"/>
        <v>64</v>
      </c>
    </row>
    <row r="50" spans="1:9" x14ac:dyDescent="0.2">
      <c r="A50" s="18">
        <v>36</v>
      </c>
      <c r="B50" s="18">
        <v>71.19</v>
      </c>
      <c r="C50" s="18">
        <v>142.38</v>
      </c>
      <c r="D50" s="18">
        <v>71.19</v>
      </c>
      <c r="E50" s="18">
        <v>8</v>
      </c>
      <c r="F50" s="18">
        <v>88</v>
      </c>
      <c r="H50" t="str">
        <f t="shared" si="0"/>
        <v xml:space="preserve"> </v>
      </c>
      <c r="I50">
        <f t="shared" si="1"/>
        <v>64</v>
      </c>
    </row>
    <row r="51" spans="1:9" x14ac:dyDescent="0.2">
      <c r="A51" s="18">
        <v>37</v>
      </c>
      <c r="B51" s="18">
        <v>72.989999999999995</v>
      </c>
      <c r="C51" s="18">
        <v>145.97999999999999</v>
      </c>
      <c r="D51" s="18">
        <v>72.989999999999995</v>
      </c>
      <c r="E51" s="18">
        <v>9</v>
      </c>
      <c r="F51" s="18">
        <v>80</v>
      </c>
      <c r="H51" t="str">
        <f t="shared" si="0"/>
        <v xml:space="preserve"> </v>
      </c>
      <c r="I51">
        <f t="shared" si="1"/>
        <v>72</v>
      </c>
    </row>
    <row r="52" spans="1:9" x14ac:dyDescent="0.2">
      <c r="A52" s="18">
        <v>38</v>
      </c>
      <c r="B52" s="18">
        <v>77.239999999999995</v>
      </c>
      <c r="C52" s="18">
        <v>154.47999999999999</v>
      </c>
      <c r="D52" s="18">
        <v>77.239999999999995</v>
      </c>
      <c r="E52" s="18">
        <v>9</v>
      </c>
      <c r="F52" s="18">
        <v>53</v>
      </c>
      <c r="H52" t="str">
        <f t="shared" si="0"/>
        <v xml:space="preserve"> </v>
      </c>
      <c r="I52">
        <f t="shared" si="1"/>
        <v>72</v>
      </c>
    </row>
    <row r="53" spans="1:9" x14ac:dyDescent="0.2">
      <c r="A53" s="18">
        <v>39</v>
      </c>
      <c r="B53" s="18">
        <v>92.54</v>
      </c>
      <c r="C53" s="18">
        <v>92.54</v>
      </c>
      <c r="D53" s="18">
        <v>46.27</v>
      </c>
      <c r="E53" s="18">
        <v>5</v>
      </c>
      <c r="F53" s="18">
        <v>30</v>
      </c>
      <c r="H53" t="str">
        <f t="shared" si="0"/>
        <v xml:space="preserve"> </v>
      </c>
      <c r="I53">
        <f t="shared" si="1"/>
        <v>40</v>
      </c>
    </row>
    <row r="54" spans="1:9" x14ac:dyDescent="0.2">
      <c r="A54" s="18">
        <v>40</v>
      </c>
      <c r="B54" s="18">
        <v>74.400000000000006</v>
      </c>
      <c r="C54" s="18">
        <v>74.400000000000006</v>
      </c>
      <c r="D54" s="18">
        <v>37.200000000000003</v>
      </c>
      <c r="E54" s="18">
        <v>4</v>
      </c>
      <c r="F54" s="18">
        <v>-4</v>
      </c>
      <c r="H54" t="str">
        <f t="shared" si="0"/>
        <v xml:space="preserve"> </v>
      </c>
      <c r="I54">
        <f t="shared" si="1"/>
        <v>32</v>
      </c>
    </row>
    <row r="55" spans="1:9" x14ac:dyDescent="0.2">
      <c r="A55" s="18">
        <v>41</v>
      </c>
      <c r="B55" s="18">
        <v>88.64</v>
      </c>
      <c r="C55" s="18">
        <v>177.28</v>
      </c>
      <c r="D55" s="18">
        <v>88.64</v>
      </c>
      <c r="E55" s="18">
        <v>11</v>
      </c>
      <c r="F55" s="18">
        <v>-4</v>
      </c>
      <c r="H55" t="str">
        <f t="shared" si="0"/>
        <v xml:space="preserve"> </v>
      </c>
      <c r="I55">
        <f t="shared" si="1"/>
        <v>88</v>
      </c>
    </row>
    <row r="56" spans="1:9" x14ac:dyDescent="0.2">
      <c r="A56" s="18">
        <v>42</v>
      </c>
      <c r="B56" s="18">
        <v>82.63</v>
      </c>
      <c r="C56" s="18">
        <v>165.26</v>
      </c>
      <c r="D56" s="18">
        <v>82.63</v>
      </c>
      <c r="E56" s="18">
        <v>10</v>
      </c>
      <c r="F56" s="18">
        <v>0</v>
      </c>
      <c r="H56" t="str">
        <f t="shared" si="0"/>
        <v xml:space="preserve"> </v>
      </c>
      <c r="I56">
        <f t="shared" si="1"/>
        <v>80</v>
      </c>
    </row>
    <row r="57" spans="1:9" x14ac:dyDescent="0.2">
      <c r="A57" s="18">
        <v>43</v>
      </c>
      <c r="B57" s="18">
        <v>60.15</v>
      </c>
      <c r="C57" s="18">
        <v>120.3</v>
      </c>
      <c r="D57" s="18">
        <v>60.15</v>
      </c>
      <c r="E57" s="18">
        <v>7</v>
      </c>
      <c r="F57" s="18">
        <v>21</v>
      </c>
      <c r="H57" t="str">
        <f t="shared" si="0"/>
        <v xml:space="preserve"> </v>
      </c>
      <c r="I57">
        <f t="shared" si="1"/>
        <v>56</v>
      </c>
    </row>
    <row r="58" spans="1:9" x14ac:dyDescent="0.2">
      <c r="A58" s="18">
        <v>44</v>
      </c>
      <c r="B58" s="18">
        <v>60.83</v>
      </c>
      <c r="C58" s="18">
        <v>121.66</v>
      </c>
      <c r="D58" s="18">
        <v>60.83</v>
      </c>
      <c r="E58" s="18">
        <v>7</v>
      </c>
      <c r="F58" s="18">
        <v>20</v>
      </c>
      <c r="H58" t="str">
        <f t="shared" si="0"/>
        <v xml:space="preserve"> </v>
      </c>
      <c r="I58">
        <f t="shared" si="1"/>
        <v>56</v>
      </c>
    </row>
    <row r="59" spans="1:9" x14ac:dyDescent="0.2">
      <c r="A59" s="18">
        <v>45</v>
      </c>
      <c r="B59" s="18">
        <v>81.88</v>
      </c>
      <c r="C59" s="18">
        <v>163.76</v>
      </c>
      <c r="D59" s="18">
        <v>81.88</v>
      </c>
      <c r="E59" s="18">
        <v>10</v>
      </c>
      <c r="F59" s="18">
        <v>17</v>
      </c>
      <c r="H59" t="str">
        <f t="shared" si="0"/>
        <v xml:space="preserve"> </v>
      </c>
      <c r="I59">
        <f t="shared" si="1"/>
        <v>80</v>
      </c>
    </row>
    <row r="60" spans="1:9" x14ac:dyDescent="0.2">
      <c r="A60" s="18">
        <v>46</v>
      </c>
      <c r="B60" s="18">
        <v>62.33</v>
      </c>
      <c r="C60" s="18">
        <v>124.66</v>
      </c>
      <c r="D60" s="18">
        <v>62.33</v>
      </c>
      <c r="E60" s="18">
        <v>7</v>
      </c>
      <c r="F60" s="18">
        <v>290</v>
      </c>
      <c r="H60" t="str">
        <f t="shared" si="0"/>
        <v xml:space="preserve"> </v>
      </c>
      <c r="I60">
        <f>E60*8</f>
        <v>56</v>
      </c>
    </row>
    <row r="61" spans="1:9" x14ac:dyDescent="0.2">
      <c r="A61" s="18">
        <v>47</v>
      </c>
      <c r="B61" s="18">
        <v>64.42</v>
      </c>
      <c r="C61" s="18">
        <v>128.84</v>
      </c>
      <c r="D61" s="18">
        <v>64.42</v>
      </c>
      <c r="E61" s="18">
        <v>8</v>
      </c>
      <c r="F61" s="18">
        <v>293</v>
      </c>
      <c r="H61" t="str">
        <f t="shared" si="0"/>
        <v xml:space="preserve"> </v>
      </c>
      <c r="I61">
        <f t="shared" si="1"/>
        <v>64</v>
      </c>
    </row>
    <row r="62" spans="1:9" x14ac:dyDescent="0.2">
      <c r="A62" s="18">
        <v>48</v>
      </c>
      <c r="B62" s="18">
        <v>144.11000000000001</v>
      </c>
      <c r="C62" s="18">
        <v>144.11000000000001</v>
      </c>
      <c r="D62" s="18">
        <v>72.055000000000007</v>
      </c>
      <c r="E62" s="18">
        <v>9</v>
      </c>
      <c r="F62" s="18">
        <v>71</v>
      </c>
      <c r="H62" t="str">
        <f>IF(AND(F62&gt;=90,F62&lt;150),-90,IF(AND(F62&gt;=150,F62&lt;=210),0,IF(AND(F62&gt;210,F62&lt;=270),90," ")))</f>
        <v xml:space="preserve"> </v>
      </c>
      <c r="I62">
        <f t="shared" si="1"/>
        <v>72</v>
      </c>
    </row>
    <row r="63" spans="1:9" x14ac:dyDescent="0.2">
      <c r="A63" s="19"/>
      <c r="B63" s="19"/>
      <c r="C63" s="19"/>
      <c r="D63" s="19"/>
      <c r="E63" s="19"/>
      <c r="F63" s="19"/>
    </row>
    <row r="64" spans="1:9" x14ac:dyDescent="0.2">
      <c r="A64" s="19"/>
      <c r="B64" s="19"/>
      <c r="C64" s="19"/>
      <c r="D64" s="19" t="s">
        <v>46</v>
      </c>
      <c r="E64" s="27">
        <f>SUM(E13:E62)</f>
        <v>403</v>
      </c>
      <c r="F64" s="19"/>
    </row>
    <row r="65" spans="1:6" x14ac:dyDescent="0.2">
      <c r="A65" s="19"/>
      <c r="B65" s="19"/>
      <c r="C65" s="19"/>
      <c r="D65" s="19"/>
      <c r="E65" s="28"/>
      <c r="F65" s="19"/>
    </row>
    <row r="66" spans="1:6" x14ac:dyDescent="0.2">
      <c r="D66" s="19" t="s">
        <v>47</v>
      </c>
      <c r="E66" s="27">
        <f>E64*8</f>
        <v>3224</v>
      </c>
    </row>
    <row r="67" spans="1:6" x14ac:dyDescent="0.2">
      <c r="E67" s="23"/>
    </row>
    <row r="68" spans="1:6" x14ac:dyDescent="0.2">
      <c r="E68" s="23"/>
    </row>
    <row r="69" spans="1:6" x14ac:dyDescent="0.2">
      <c r="E69" s="23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E54"/>
  <sheetViews>
    <sheetView workbookViewId="0">
      <pane ySplit="1" topLeftCell="A2" activePane="bottomLeft" state="frozen"/>
      <selection pane="bottomLeft" activeCell="D58" sqref="D58"/>
    </sheetView>
  </sheetViews>
  <sheetFormatPr defaultColWidth="9" defaultRowHeight="12.75" x14ac:dyDescent="0.2"/>
  <cols>
    <col min="3" max="3" width="9.125" bestFit="1" customWidth="1"/>
  </cols>
  <sheetData>
    <row r="1" spans="1:3" ht="25.5" x14ac:dyDescent="0.2">
      <c r="A1" s="22" t="s">
        <v>42</v>
      </c>
      <c r="B1" s="22" t="s">
        <v>43</v>
      </c>
      <c r="C1" s="22" t="s">
        <v>44</v>
      </c>
    </row>
    <row r="2" spans="1:3" x14ac:dyDescent="0.2">
      <c r="A2" s="21">
        <v>1</v>
      </c>
      <c r="B2" s="21">
        <v>90.95</v>
      </c>
      <c r="C2" s="21">
        <v>454.75</v>
      </c>
    </row>
    <row r="3" spans="1:3" x14ac:dyDescent="0.2">
      <c r="A3" s="21">
        <v>2</v>
      </c>
      <c r="B3" s="21">
        <v>93.71</v>
      </c>
      <c r="C3" s="21">
        <v>937.1</v>
      </c>
    </row>
    <row r="4" spans="1:3" x14ac:dyDescent="0.2">
      <c r="A4" s="21">
        <v>3</v>
      </c>
      <c r="B4" s="21">
        <v>92.65</v>
      </c>
      <c r="C4" s="21">
        <v>555.9</v>
      </c>
    </row>
    <row r="5" spans="1:3" x14ac:dyDescent="0.2">
      <c r="A5" s="21">
        <v>4</v>
      </c>
      <c r="B5" s="21">
        <v>92.65</v>
      </c>
      <c r="C5" s="21">
        <v>926.5</v>
      </c>
    </row>
    <row r="6" spans="1:3" x14ac:dyDescent="0.2">
      <c r="A6" s="21">
        <v>5</v>
      </c>
      <c r="B6" s="21">
        <v>87</v>
      </c>
      <c r="C6" s="21">
        <v>609</v>
      </c>
    </row>
    <row r="7" spans="1:3" x14ac:dyDescent="0.2">
      <c r="A7" s="21">
        <v>6</v>
      </c>
      <c r="B7" s="21">
        <v>87</v>
      </c>
      <c r="C7" s="21">
        <v>348</v>
      </c>
    </row>
    <row r="8" spans="1:3" x14ac:dyDescent="0.2">
      <c r="A8" s="21">
        <v>7</v>
      </c>
      <c r="B8" s="21">
        <v>86.3</v>
      </c>
      <c r="C8" s="21">
        <v>431.5</v>
      </c>
    </row>
    <row r="9" spans="1:3" x14ac:dyDescent="0.2">
      <c r="A9" s="21">
        <v>8</v>
      </c>
      <c r="B9" s="21">
        <v>86.3</v>
      </c>
      <c r="C9" s="21">
        <v>517.79999999999995</v>
      </c>
    </row>
    <row r="10" spans="1:3" x14ac:dyDescent="0.2">
      <c r="A10" s="21">
        <v>9</v>
      </c>
      <c r="B10" s="21">
        <v>86.3</v>
      </c>
      <c r="C10" s="21">
        <v>345.2</v>
      </c>
    </row>
    <row r="11" spans="1:3" x14ac:dyDescent="0.2">
      <c r="A11" s="21">
        <v>10</v>
      </c>
      <c r="B11" s="21">
        <v>92</v>
      </c>
      <c r="C11" s="21">
        <v>920</v>
      </c>
    </row>
    <row r="12" spans="1:3" x14ac:dyDescent="0.2">
      <c r="A12" s="21">
        <v>11</v>
      </c>
      <c r="B12" s="21">
        <v>92</v>
      </c>
      <c r="C12" s="21">
        <v>920</v>
      </c>
    </row>
    <row r="13" spans="1:3" x14ac:dyDescent="0.2">
      <c r="A13" s="21">
        <v>12</v>
      </c>
      <c r="B13" s="21">
        <v>92</v>
      </c>
      <c r="C13" s="21">
        <v>368</v>
      </c>
    </row>
    <row r="14" spans="1:3" x14ac:dyDescent="0.2">
      <c r="A14" s="21">
        <v>13</v>
      </c>
      <c r="B14" s="21">
        <v>92</v>
      </c>
      <c r="C14" s="21">
        <v>552</v>
      </c>
    </row>
    <row r="15" spans="1:3" x14ac:dyDescent="0.2">
      <c r="A15" s="21">
        <v>14</v>
      </c>
      <c r="B15" s="21">
        <v>91.12</v>
      </c>
      <c r="C15" s="21">
        <v>911.2</v>
      </c>
    </row>
    <row r="16" spans="1:3" x14ac:dyDescent="0.2">
      <c r="A16" s="21">
        <v>15</v>
      </c>
      <c r="B16" s="21">
        <v>91</v>
      </c>
      <c r="C16" s="21">
        <v>819</v>
      </c>
    </row>
    <row r="17" spans="1:3" x14ac:dyDescent="0.2">
      <c r="A17" s="21">
        <v>16</v>
      </c>
      <c r="B17" s="21">
        <v>90.52</v>
      </c>
      <c r="C17" s="21">
        <v>724.16</v>
      </c>
    </row>
    <row r="18" spans="1:3" x14ac:dyDescent="0.2">
      <c r="A18" s="21">
        <v>17</v>
      </c>
      <c r="B18" s="21">
        <v>90.5</v>
      </c>
      <c r="C18" s="21">
        <v>995.5</v>
      </c>
    </row>
    <row r="19" spans="1:3" x14ac:dyDescent="0.2">
      <c r="A19" s="21">
        <v>18</v>
      </c>
      <c r="B19" s="21">
        <v>89.9</v>
      </c>
      <c r="C19" s="21">
        <v>539.4</v>
      </c>
    </row>
    <row r="20" spans="1:3" x14ac:dyDescent="0.2">
      <c r="A20" s="21">
        <v>19</v>
      </c>
      <c r="B20" s="21">
        <v>78</v>
      </c>
      <c r="C20" s="21">
        <v>624</v>
      </c>
    </row>
    <row r="21" spans="1:3" x14ac:dyDescent="0.2">
      <c r="A21" s="21">
        <v>20</v>
      </c>
      <c r="B21" s="21">
        <v>77.599999999999994</v>
      </c>
      <c r="C21" s="21">
        <v>310.39999999999998</v>
      </c>
    </row>
    <row r="22" spans="1:3" x14ac:dyDescent="0.2">
      <c r="A22" s="21">
        <v>21</v>
      </c>
      <c r="B22" s="21">
        <v>89.9</v>
      </c>
      <c r="C22" s="21">
        <v>449.5</v>
      </c>
    </row>
    <row r="23" spans="1:3" x14ac:dyDescent="0.2">
      <c r="A23" s="21">
        <v>22</v>
      </c>
      <c r="B23" s="21">
        <v>87.5</v>
      </c>
      <c r="C23" s="21">
        <v>875</v>
      </c>
    </row>
    <row r="24" spans="1:3" x14ac:dyDescent="0.2">
      <c r="A24" s="21">
        <v>23</v>
      </c>
      <c r="B24" s="21">
        <v>91</v>
      </c>
      <c r="C24" s="21">
        <v>455</v>
      </c>
    </row>
    <row r="25" spans="1:3" x14ac:dyDescent="0.2">
      <c r="A25" s="21">
        <v>24</v>
      </c>
      <c r="B25" s="21">
        <v>90.52</v>
      </c>
      <c r="C25" s="21">
        <v>724.16</v>
      </c>
    </row>
    <row r="26" spans="1:3" x14ac:dyDescent="0.2">
      <c r="A26" s="21">
        <v>25</v>
      </c>
      <c r="B26" s="21">
        <v>90.52</v>
      </c>
      <c r="C26" s="21">
        <v>1086.24</v>
      </c>
    </row>
    <row r="27" spans="1:3" x14ac:dyDescent="0.2">
      <c r="A27" s="21">
        <v>26</v>
      </c>
      <c r="B27" s="21">
        <v>85</v>
      </c>
      <c r="C27" s="21">
        <v>935</v>
      </c>
    </row>
    <row r="28" spans="1:3" x14ac:dyDescent="0.2">
      <c r="A28" s="21">
        <v>27</v>
      </c>
      <c r="B28" s="21">
        <v>88</v>
      </c>
      <c r="C28" s="21">
        <v>616</v>
      </c>
    </row>
    <row r="29" spans="1:3" x14ac:dyDescent="0.2">
      <c r="A29" s="21">
        <v>28</v>
      </c>
      <c r="B29" s="21">
        <v>88.3</v>
      </c>
      <c r="C29" s="21">
        <v>971.3</v>
      </c>
    </row>
    <row r="30" spans="1:3" x14ac:dyDescent="0.2">
      <c r="A30" s="21">
        <v>29</v>
      </c>
      <c r="B30" s="21">
        <v>91</v>
      </c>
      <c r="C30" s="21">
        <v>1001</v>
      </c>
    </row>
    <row r="31" spans="1:3" x14ac:dyDescent="0.2">
      <c r="A31" s="21">
        <v>30</v>
      </c>
      <c r="B31" s="21">
        <v>91</v>
      </c>
      <c r="C31" s="21">
        <v>1092</v>
      </c>
    </row>
    <row r="32" spans="1:3" x14ac:dyDescent="0.2">
      <c r="A32" s="21">
        <v>31</v>
      </c>
      <c r="B32" s="21">
        <v>90</v>
      </c>
      <c r="C32" s="21">
        <v>810</v>
      </c>
    </row>
    <row r="33" spans="1:3" x14ac:dyDescent="0.2">
      <c r="A33" s="21" t="s">
        <v>33</v>
      </c>
      <c r="B33" s="21">
        <v>86.8</v>
      </c>
      <c r="C33" s="21">
        <v>781.2</v>
      </c>
    </row>
    <row r="34" spans="1:3" x14ac:dyDescent="0.2">
      <c r="A34" s="21" t="s">
        <v>34</v>
      </c>
      <c r="B34" s="21">
        <v>86.8</v>
      </c>
      <c r="C34" s="21">
        <v>781.2</v>
      </c>
    </row>
    <row r="35" spans="1:3" x14ac:dyDescent="0.2">
      <c r="A35" s="21" t="s">
        <v>35</v>
      </c>
      <c r="B35" s="21">
        <v>76.62</v>
      </c>
      <c r="C35" s="21">
        <v>766.2</v>
      </c>
    </row>
    <row r="36" spans="1:3" x14ac:dyDescent="0.2">
      <c r="A36" s="21" t="s">
        <v>36</v>
      </c>
      <c r="B36" s="21">
        <v>76.62</v>
      </c>
      <c r="C36" s="21">
        <v>766.2</v>
      </c>
    </row>
    <row r="37" spans="1:3" x14ac:dyDescent="0.2">
      <c r="A37" s="21">
        <v>34</v>
      </c>
      <c r="B37" s="21">
        <v>87</v>
      </c>
      <c r="C37" s="21">
        <v>783</v>
      </c>
    </row>
    <row r="38" spans="1:3" x14ac:dyDescent="0.2">
      <c r="A38" s="21">
        <v>35</v>
      </c>
      <c r="B38" s="21">
        <v>86</v>
      </c>
      <c r="C38" s="21">
        <v>688</v>
      </c>
    </row>
    <row r="39" spans="1:3" x14ac:dyDescent="0.2">
      <c r="A39" s="21">
        <v>36</v>
      </c>
      <c r="B39" s="21">
        <v>86</v>
      </c>
      <c r="C39" s="21">
        <v>688</v>
      </c>
    </row>
    <row r="40" spans="1:3" x14ac:dyDescent="0.2">
      <c r="A40" s="21">
        <v>37</v>
      </c>
      <c r="B40" s="21">
        <v>91</v>
      </c>
      <c r="C40" s="21">
        <v>819</v>
      </c>
    </row>
    <row r="41" spans="1:3" x14ac:dyDescent="0.2">
      <c r="A41" s="21">
        <v>38</v>
      </c>
      <c r="B41" s="21">
        <v>85</v>
      </c>
      <c r="C41" s="21">
        <v>765</v>
      </c>
    </row>
    <row r="42" spans="1:3" x14ac:dyDescent="0.2">
      <c r="A42" s="21">
        <v>39</v>
      </c>
      <c r="B42" s="21">
        <v>79</v>
      </c>
      <c r="C42" s="21">
        <v>395</v>
      </c>
    </row>
    <row r="43" spans="1:3" x14ac:dyDescent="0.2">
      <c r="A43" s="21">
        <v>40</v>
      </c>
      <c r="B43" s="21">
        <v>90</v>
      </c>
      <c r="C43" s="21">
        <v>360</v>
      </c>
    </row>
    <row r="44" spans="1:3" x14ac:dyDescent="0.2">
      <c r="A44" s="21">
        <v>41</v>
      </c>
      <c r="B44" s="21">
        <v>90</v>
      </c>
      <c r="C44" s="21">
        <v>990</v>
      </c>
    </row>
    <row r="45" spans="1:3" x14ac:dyDescent="0.2">
      <c r="A45" s="21">
        <v>42</v>
      </c>
      <c r="B45" s="21">
        <v>92</v>
      </c>
      <c r="C45" s="21">
        <v>920</v>
      </c>
    </row>
    <row r="46" spans="1:3" x14ac:dyDescent="0.2">
      <c r="A46" s="21">
        <v>43</v>
      </c>
      <c r="B46" s="21">
        <v>81.599999999999994</v>
      </c>
      <c r="C46" s="21">
        <v>571.20000000000005</v>
      </c>
    </row>
    <row r="47" spans="1:3" x14ac:dyDescent="0.2">
      <c r="A47" s="21">
        <v>44</v>
      </c>
      <c r="B47" s="21">
        <v>81.650000000000006</v>
      </c>
      <c r="C47" s="21">
        <v>571.54999999999995</v>
      </c>
    </row>
    <row r="48" spans="1:3" x14ac:dyDescent="0.2">
      <c r="A48" s="21">
        <v>45</v>
      </c>
      <c r="B48" s="21">
        <v>83</v>
      </c>
      <c r="C48" s="21">
        <v>830</v>
      </c>
    </row>
    <row r="49" spans="1:5" x14ac:dyDescent="0.2">
      <c r="A49" s="21">
        <v>46</v>
      </c>
      <c r="B49" s="21">
        <v>81.650000000000006</v>
      </c>
      <c r="C49" s="21">
        <v>571.54999999999995</v>
      </c>
    </row>
    <row r="50" spans="1:5" x14ac:dyDescent="0.2">
      <c r="A50" s="21">
        <v>47</v>
      </c>
      <c r="B50" s="21">
        <v>80.099999999999994</v>
      </c>
      <c r="C50" s="21">
        <v>640.79999999999995</v>
      </c>
    </row>
    <row r="51" spans="1:5" x14ac:dyDescent="0.2">
      <c r="A51" s="21">
        <v>48</v>
      </c>
      <c r="B51" s="21">
        <v>87</v>
      </c>
      <c r="C51" s="21">
        <v>783</v>
      </c>
    </row>
    <row r="52" spans="1:5" ht="24" thickBot="1" x14ac:dyDescent="0.25">
      <c r="A52" s="24"/>
      <c r="B52" s="24"/>
      <c r="C52" s="25">
        <v>35295.51</v>
      </c>
    </row>
    <row r="53" spans="1:5" x14ac:dyDescent="0.2">
      <c r="A53" s="26"/>
      <c r="B53" s="26">
        <f>SUM(B2:B51)</f>
        <v>4370.08</v>
      </c>
      <c r="C53" s="26">
        <f>SUM(C2:C51)</f>
        <v>35295.510000000009</v>
      </c>
      <c r="E53">
        <f>C53/B53</f>
        <v>8.0766278878189901</v>
      </c>
    </row>
    <row r="54" spans="1:5" x14ac:dyDescent="0.2">
      <c r="E5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C1" workbookViewId="0">
      <selection activeCell="C15" sqref="C15"/>
    </sheetView>
  </sheetViews>
  <sheetFormatPr defaultColWidth="10" defaultRowHeight="15" x14ac:dyDescent="0.25"/>
  <cols>
    <col min="1" max="1" width="32.875" style="40" customWidth="1"/>
    <col min="2" max="5" width="10" style="40"/>
    <col min="6" max="6" width="14.125" style="40" customWidth="1"/>
    <col min="7" max="7" width="16.125" style="40" customWidth="1"/>
    <col min="8" max="8" width="12.75" style="40" customWidth="1"/>
    <col min="9" max="9" width="14.125" style="40" customWidth="1"/>
    <col min="10" max="13" width="10" style="40"/>
    <col min="14" max="14" width="14" style="40" customWidth="1"/>
    <col min="15" max="15" width="15.25" style="40" customWidth="1"/>
    <col min="16" max="16" width="12.75" style="40" customWidth="1"/>
    <col min="17" max="17" width="13.75" style="40" customWidth="1"/>
    <col min="18" max="18" width="12.25" style="40" customWidth="1"/>
    <col min="19" max="16384" width="10" style="40"/>
  </cols>
  <sheetData>
    <row r="1" spans="1:21" x14ac:dyDescent="0.25">
      <c r="B1" s="106" t="s">
        <v>73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5"/>
      <c r="R1" s="105"/>
      <c r="T1" s="105" t="s">
        <v>74</v>
      </c>
      <c r="U1" s="105"/>
    </row>
    <row r="2" spans="1:21" x14ac:dyDescent="0.25">
      <c r="B2" s="41" t="s">
        <v>75</v>
      </c>
      <c r="C2" s="41" t="s">
        <v>75</v>
      </c>
      <c r="D2" s="41" t="s">
        <v>75</v>
      </c>
      <c r="E2" s="41" t="s">
        <v>75</v>
      </c>
      <c r="F2" s="41" t="s">
        <v>75</v>
      </c>
      <c r="G2" s="41" t="s">
        <v>75</v>
      </c>
      <c r="H2" s="41" t="s">
        <v>75</v>
      </c>
      <c r="I2" s="41" t="s">
        <v>75</v>
      </c>
      <c r="J2" s="42" t="s">
        <v>76</v>
      </c>
      <c r="K2" s="42" t="s">
        <v>76</v>
      </c>
      <c r="L2" s="42" t="s">
        <v>76</v>
      </c>
      <c r="M2" s="42" t="s">
        <v>76</v>
      </c>
      <c r="N2" s="42" t="s">
        <v>76</v>
      </c>
      <c r="O2" s="42" t="s">
        <v>76</v>
      </c>
      <c r="P2" s="42" t="s">
        <v>76</v>
      </c>
      <c r="Q2" s="42" t="s">
        <v>76</v>
      </c>
      <c r="T2" s="40" t="s">
        <v>77</v>
      </c>
      <c r="U2" s="40" t="s">
        <v>78</v>
      </c>
    </row>
    <row r="3" spans="1:21" x14ac:dyDescent="0.25">
      <c r="B3" s="43" t="s">
        <v>79</v>
      </c>
      <c r="C3" s="43" t="s">
        <v>79</v>
      </c>
      <c r="D3" s="43" t="s">
        <v>79</v>
      </c>
      <c r="E3" s="43" t="s">
        <v>79</v>
      </c>
      <c r="F3" s="44" t="s">
        <v>80</v>
      </c>
      <c r="G3" s="44" t="s">
        <v>80</v>
      </c>
      <c r="H3" s="44" t="s">
        <v>80</v>
      </c>
      <c r="I3" s="44" t="s">
        <v>80</v>
      </c>
      <c r="J3" s="59" t="s">
        <v>79</v>
      </c>
      <c r="K3" s="43" t="s">
        <v>79</v>
      </c>
      <c r="L3" s="43" t="s">
        <v>79</v>
      </c>
      <c r="M3" s="43" t="s">
        <v>79</v>
      </c>
      <c r="N3" s="44" t="s">
        <v>80</v>
      </c>
      <c r="O3" s="44" t="s">
        <v>80</v>
      </c>
      <c r="P3" s="44" t="s">
        <v>80</v>
      </c>
      <c r="Q3" s="44" t="s">
        <v>80</v>
      </c>
      <c r="T3" s="40" t="s">
        <v>81</v>
      </c>
      <c r="U3" s="40" t="s">
        <v>82</v>
      </c>
    </row>
    <row r="4" spans="1:21" x14ac:dyDescent="0.25">
      <c r="B4" s="45" t="s">
        <v>83</v>
      </c>
      <c r="C4" s="46" t="s">
        <v>84</v>
      </c>
      <c r="D4" s="55" t="s">
        <v>177</v>
      </c>
      <c r="E4" s="56" t="s">
        <v>178</v>
      </c>
      <c r="F4" s="45" t="s">
        <v>83</v>
      </c>
      <c r="G4" s="46" t="s">
        <v>84</v>
      </c>
      <c r="H4" s="55" t="s">
        <v>177</v>
      </c>
      <c r="I4" s="56" t="s">
        <v>178</v>
      </c>
      <c r="J4" s="45" t="s">
        <v>83</v>
      </c>
      <c r="K4" s="46" t="s">
        <v>84</v>
      </c>
      <c r="L4" s="55" t="s">
        <v>177</v>
      </c>
      <c r="M4" s="56" t="s">
        <v>178</v>
      </c>
      <c r="N4" s="45" t="s">
        <v>83</v>
      </c>
      <c r="O4" s="46" t="s">
        <v>84</v>
      </c>
      <c r="P4" s="55" t="s">
        <v>177</v>
      </c>
      <c r="Q4" s="56" t="s">
        <v>178</v>
      </c>
      <c r="T4" s="40" t="s">
        <v>85</v>
      </c>
      <c r="U4" s="40" t="s">
        <v>78</v>
      </c>
    </row>
    <row r="5" spans="1:21" ht="18" customHeight="1" x14ac:dyDescent="0.25">
      <c r="A5" s="40" t="s">
        <v>86</v>
      </c>
      <c r="B5" s="40">
        <v>29.3</v>
      </c>
      <c r="C5" s="40">
        <v>358.7</v>
      </c>
      <c r="D5" s="40">
        <v>29.3</v>
      </c>
      <c r="E5" s="40">
        <v>29.3</v>
      </c>
      <c r="F5" s="40">
        <v>29.3</v>
      </c>
      <c r="G5" s="40">
        <v>339.3</v>
      </c>
      <c r="H5" s="40">
        <v>29.3</v>
      </c>
      <c r="I5" s="40">
        <v>29.3</v>
      </c>
      <c r="J5" s="40">
        <v>29.3</v>
      </c>
      <c r="K5" s="40">
        <v>333.2</v>
      </c>
      <c r="L5" s="40">
        <v>29.3</v>
      </c>
      <c r="M5" s="40">
        <v>29.3</v>
      </c>
      <c r="N5" s="40">
        <v>29.3</v>
      </c>
      <c r="O5" s="40">
        <v>301.60000000000002</v>
      </c>
      <c r="P5" s="40">
        <v>29.3</v>
      </c>
      <c r="Q5" s="40">
        <v>29.3</v>
      </c>
      <c r="T5" s="40" t="s">
        <v>87</v>
      </c>
      <c r="U5" s="40" t="s">
        <v>78</v>
      </c>
    </row>
    <row r="6" spans="1:21" ht="15.75" customHeight="1" x14ac:dyDescent="0.25">
      <c r="A6" s="60" t="s">
        <v>179</v>
      </c>
      <c r="B6" s="40">
        <v>553.29999999999995</v>
      </c>
      <c r="C6" s="40">
        <v>31.7</v>
      </c>
      <c r="D6" s="40">
        <v>478.8</v>
      </c>
      <c r="E6" s="40">
        <v>478.8</v>
      </c>
      <c r="F6" s="40">
        <v>522.5</v>
      </c>
      <c r="G6" s="40">
        <v>31.7</v>
      </c>
      <c r="H6" s="40">
        <v>452.4</v>
      </c>
      <c r="I6" s="40">
        <v>452.4</v>
      </c>
      <c r="J6" s="40">
        <v>512.79999999999995</v>
      </c>
      <c r="K6" s="40">
        <v>31.7</v>
      </c>
      <c r="L6" s="40">
        <v>444.1</v>
      </c>
      <c r="M6" s="40">
        <v>444.1</v>
      </c>
      <c r="N6" s="40">
        <v>462.8</v>
      </c>
      <c r="O6" s="40">
        <v>31.7</v>
      </c>
      <c r="P6" s="40">
        <v>401.2</v>
      </c>
      <c r="Q6" s="40">
        <v>401.2</v>
      </c>
      <c r="T6" s="40" t="s">
        <v>89</v>
      </c>
      <c r="U6" s="40" t="s">
        <v>90</v>
      </c>
    </row>
    <row r="7" spans="1:21" x14ac:dyDescent="0.25">
      <c r="A7" s="40" t="s">
        <v>88</v>
      </c>
      <c r="B7" s="40">
        <v>119.7</v>
      </c>
      <c r="C7" s="40">
        <v>157</v>
      </c>
      <c r="D7" s="40">
        <v>31</v>
      </c>
      <c r="E7" s="40">
        <v>138.30000000000001</v>
      </c>
      <c r="F7" s="40">
        <v>113.7</v>
      </c>
      <c r="G7" s="40">
        <v>150.6</v>
      </c>
      <c r="H7" s="40">
        <v>30.3</v>
      </c>
      <c r="I7" s="40">
        <v>131.30000000000001</v>
      </c>
      <c r="J7" s="40">
        <v>111.9</v>
      </c>
      <c r="K7" s="40">
        <v>148</v>
      </c>
      <c r="L7" s="40">
        <v>30.1</v>
      </c>
      <c r="M7" s="40">
        <v>129.1</v>
      </c>
      <c r="N7" s="40">
        <v>102.2</v>
      </c>
      <c r="O7" s="40">
        <v>134.69999999999999</v>
      </c>
      <c r="P7" s="40">
        <v>29</v>
      </c>
      <c r="Q7" s="40">
        <v>117.7</v>
      </c>
      <c r="T7" s="40" t="s">
        <v>91</v>
      </c>
      <c r="U7" s="40" t="s">
        <v>92</v>
      </c>
    </row>
    <row r="8" spans="1:21" x14ac:dyDescent="0.25">
      <c r="T8" s="40" t="s">
        <v>94</v>
      </c>
      <c r="U8" s="40" t="s">
        <v>95</v>
      </c>
    </row>
    <row r="9" spans="1:21" x14ac:dyDescent="0.25">
      <c r="T9" s="40" t="s">
        <v>96</v>
      </c>
      <c r="U9" s="40" t="s">
        <v>97</v>
      </c>
    </row>
    <row r="10" spans="1:21" x14ac:dyDescent="0.25">
      <c r="B10" s="105" t="s">
        <v>93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57"/>
      <c r="Q10" s="57"/>
      <c r="T10" s="40" t="s">
        <v>98</v>
      </c>
      <c r="U10" s="40" t="s">
        <v>99</v>
      </c>
    </row>
    <row r="11" spans="1:21" x14ac:dyDescent="0.25">
      <c r="B11" s="41" t="s">
        <v>75</v>
      </c>
      <c r="C11" s="41" t="s">
        <v>75</v>
      </c>
      <c r="D11" s="41" t="s">
        <v>75</v>
      </c>
      <c r="E11" s="41" t="s">
        <v>75</v>
      </c>
      <c r="F11" s="41" t="s">
        <v>75</v>
      </c>
      <c r="G11" s="41" t="s">
        <v>75</v>
      </c>
      <c r="H11" s="41" t="s">
        <v>75</v>
      </c>
      <c r="I11" s="41" t="s">
        <v>75</v>
      </c>
      <c r="J11" s="42" t="s">
        <v>76</v>
      </c>
      <c r="K11" s="42" t="s">
        <v>76</v>
      </c>
      <c r="L11" s="42" t="s">
        <v>76</v>
      </c>
      <c r="M11" s="42" t="s">
        <v>76</v>
      </c>
      <c r="N11" s="42" t="s">
        <v>76</v>
      </c>
      <c r="O11" s="42" t="s">
        <v>76</v>
      </c>
      <c r="P11" s="42" t="s">
        <v>76</v>
      </c>
      <c r="Q11" s="42" t="s">
        <v>76</v>
      </c>
      <c r="T11" s="40" t="s">
        <v>84</v>
      </c>
      <c r="U11" s="40" t="s">
        <v>100</v>
      </c>
    </row>
    <row r="12" spans="1:21" x14ac:dyDescent="0.25">
      <c r="B12" s="43" t="s">
        <v>79</v>
      </c>
      <c r="C12" s="43" t="s">
        <v>79</v>
      </c>
      <c r="D12" s="43" t="s">
        <v>79</v>
      </c>
      <c r="E12" s="43" t="s">
        <v>79</v>
      </c>
      <c r="F12" s="44" t="s">
        <v>80</v>
      </c>
      <c r="G12" s="44" t="s">
        <v>80</v>
      </c>
      <c r="H12" s="44" t="s">
        <v>80</v>
      </c>
      <c r="I12" s="44" t="s">
        <v>80</v>
      </c>
      <c r="J12" s="43" t="s">
        <v>79</v>
      </c>
      <c r="K12" s="43" t="s">
        <v>79</v>
      </c>
      <c r="L12" s="43" t="s">
        <v>79</v>
      </c>
      <c r="M12" s="43" t="s">
        <v>79</v>
      </c>
      <c r="N12" s="44" t="s">
        <v>80</v>
      </c>
      <c r="O12" s="44" t="s">
        <v>80</v>
      </c>
      <c r="P12" s="44" t="s">
        <v>80</v>
      </c>
      <c r="Q12" s="44" t="s">
        <v>80</v>
      </c>
      <c r="T12" s="60" t="s">
        <v>180</v>
      </c>
      <c r="U12" s="60" t="s">
        <v>181</v>
      </c>
    </row>
    <row r="13" spans="1:21" x14ac:dyDescent="0.25">
      <c r="B13" s="45" t="s">
        <v>83</v>
      </c>
      <c r="C13" s="46" t="s">
        <v>84</v>
      </c>
      <c r="D13" s="55" t="s">
        <v>177</v>
      </c>
      <c r="E13" s="56" t="s">
        <v>178</v>
      </c>
      <c r="F13" s="45" t="s">
        <v>83</v>
      </c>
      <c r="G13" s="46" t="s">
        <v>84</v>
      </c>
      <c r="H13" s="55" t="s">
        <v>177</v>
      </c>
      <c r="I13" s="56" t="s">
        <v>178</v>
      </c>
      <c r="J13" s="45" t="s">
        <v>83</v>
      </c>
      <c r="K13" s="46" t="s">
        <v>84</v>
      </c>
      <c r="L13" s="55" t="s">
        <v>177</v>
      </c>
      <c r="M13" s="56" t="s">
        <v>178</v>
      </c>
      <c r="N13" s="45" t="s">
        <v>83</v>
      </c>
      <c r="O13" s="46" t="s">
        <v>84</v>
      </c>
      <c r="P13" s="55" t="s">
        <v>177</v>
      </c>
      <c r="Q13" s="56" t="s">
        <v>178</v>
      </c>
      <c r="T13" s="60" t="s">
        <v>182</v>
      </c>
      <c r="U13" s="60" t="s">
        <v>181</v>
      </c>
    </row>
    <row r="14" spans="1:21" x14ac:dyDescent="0.25">
      <c r="A14" s="40" t="s">
        <v>86</v>
      </c>
      <c r="B14" s="40">
        <v>29.3</v>
      </c>
      <c r="C14" s="40">
        <v>232.2</v>
      </c>
      <c r="D14" s="40">
        <v>29.3</v>
      </c>
      <c r="E14" s="40">
        <v>29.3</v>
      </c>
      <c r="F14" s="40">
        <v>29.3</v>
      </c>
      <c r="G14" s="40">
        <v>215.2</v>
      </c>
      <c r="H14" s="40">
        <v>29.3</v>
      </c>
      <c r="I14" s="40">
        <v>29.3</v>
      </c>
      <c r="J14" s="40">
        <v>29.3</v>
      </c>
      <c r="K14" s="40">
        <v>211.6</v>
      </c>
      <c r="L14" s="40">
        <v>29.3</v>
      </c>
      <c r="M14" s="40">
        <v>29.3</v>
      </c>
      <c r="N14" s="40">
        <v>29.3</v>
      </c>
      <c r="O14" s="40">
        <v>192.1</v>
      </c>
      <c r="P14" s="40">
        <v>29.3</v>
      </c>
      <c r="Q14" s="40">
        <v>29.3</v>
      </c>
    </row>
    <row r="15" spans="1:21" x14ac:dyDescent="0.25">
      <c r="A15" s="60" t="s">
        <v>179</v>
      </c>
      <c r="B15" s="40">
        <v>353</v>
      </c>
      <c r="C15" s="40">
        <v>31.7</v>
      </c>
      <c r="D15" s="40">
        <v>307.10000000000002</v>
      </c>
      <c r="E15" s="40">
        <v>307.10000000000002</v>
      </c>
      <c r="F15" s="40">
        <v>326</v>
      </c>
      <c r="G15" s="40">
        <v>31.7</v>
      </c>
      <c r="H15" s="40">
        <v>284</v>
      </c>
      <c r="I15" s="40">
        <v>284</v>
      </c>
      <c r="J15" s="40">
        <v>320.3</v>
      </c>
      <c r="K15" s="40">
        <v>31.7</v>
      </c>
      <c r="L15" s="40">
        <v>279</v>
      </c>
      <c r="M15" s="40">
        <v>279</v>
      </c>
      <c r="N15" s="40">
        <v>289.39999999999998</v>
      </c>
      <c r="O15" s="40">
        <v>31.7</v>
      </c>
      <c r="P15" s="40">
        <v>252.6</v>
      </c>
      <c r="Q15" s="40">
        <v>252.6</v>
      </c>
    </row>
    <row r="16" spans="1:21" x14ac:dyDescent="0.25">
      <c r="A16" s="40" t="s">
        <v>88</v>
      </c>
      <c r="B16" s="40">
        <v>80.900000000000006</v>
      </c>
      <c r="C16" s="40">
        <v>105.4</v>
      </c>
      <c r="D16" s="40">
        <v>26.7</v>
      </c>
      <c r="E16" s="40">
        <v>92.8</v>
      </c>
      <c r="F16" s="40">
        <v>75.599999999999994</v>
      </c>
      <c r="G16" s="40">
        <v>98.2</v>
      </c>
      <c r="H16" s="40">
        <v>26.1</v>
      </c>
      <c r="I16" s="40">
        <v>86.6</v>
      </c>
      <c r="J16" s="40">
        <v>72.900000000000006</v>
      </c>
      <c r="K16" s="40">
        <v>96.7</v>
      </c>
      <c r="L16" s="40">
        <v>26</v>
      </c>
      <c r="M16" s="40">
        <v>85.3</v>
      </c>
      <c r="N16" s="40">
        <v>68.5</v>
      </c>
      <c r="O16" s="40">
        <v>88.5</v>
      </c>
      <c r="P16" s="40">
        <v>25.3</v>
      </c>
      <c r="Q16" s="40">
        <v>78.3</v>
      </c>
    </row>
    <row r="19" spans="1:17" x14ac:dyDescent="0.25">
      <c r="B19" s="105" t="s">
        <v>101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57"/>
      <c r="Q19" s="57"/>
    </row>
    <row r="20" spans="1:17" x14ac:dyDescent="0.25">
      <c r="B20" s="41" t="s">
        <v>75</v>
      </c>
      <c r="C20" s="41" t="s">
        <v>75</v>
      </c>
      <c r="D20" s="41" t="s">
        <v>75</v>
      </c>
      <c r="E20" s="41" t="s">
        <v>75</v>
      </c>
      <c r="F20" s="41" t="s">
        <v>75</v>
      </c>
      <c r="G20" s="41" t="s">
        <v>75</v>
      </c>
      <c r="H20" s="41" t="s">
        <v>75</v>
      </c>
      <c r="I20" s="41" t="s">
        <v>75</v>
      </c>
      <c r="J20" s="42" t="s">
        <v>76</v>
      </c>
      <c r="K20" s="42" t="s">
        <v>76</v>
      </c>
      <c r="L20" s="42" t="s">
        <v>76</v>
      </c>
      <c r="M20" s="42" t="s">
        <v>76</v>
      </c>
      <c r="N20" s="42" t="s">
        <v>76</v>
      </c>
      <c r="O20" s="42" t="s">
        <v>76</v>
      </c>
      <c r="P20" s="42" t="s">
        <v>76</v>
      </c>
      <c r="Q20" s="42" t="s">
        <v>76</v>
      </c>
    </row>
    <row r="21" spans="1:17" x14ac:dyDescent="0.25">
      <c r="B21" s="43" t="s">
        <v>79</v>
      </c>
      <c r="C21" s="43" t="s">
        <v>79</v>
      </c>
      <c r="D21" s="43" t="s">
        <v>79</v>
      </c>
      <c r="E21" s="43" t="s">
        <v>79</v>
      </c>
      <c r="F21" s="44" t="s">
        <v>80</v>
      </c>
      <c r="G21" s="44" t="s">
        <v>80</v>
      </c>
      <c r="H21" s="44" t="s">
        <v>80</v>
      </c>
      <c r="I21" s="44" t="s">
        <v>80</v>
      </c>
      <c r="J21" s="43" t="s">
        <v>79</v>
      </c>
      <c r="K21" s="43" t="s">
        <v>79</v>
      </c>
      <c r="L21" s="43" t="s">
        <v>79</v>
      </c>
      <c r="M21" s="43" t="s">
        <v>79</v>
      </c>
      <c r="N21" s="44" t="s">
        <v>80</v>
      </c>
      <c r="O21" s="44" t="s">
        <v>80</v>
      </c>
      <c r="P21" s="44" t="s">
        <v>80</v>
      </c>
      <c r="Q21" s="44" t="s">
        <v>80</v>
      </c>
    </row>
    <row r="22" spans="1:17" x14ac:dyDescent="0.25">
      <c r="B22" s="45" t="s">
        <v>83</v>
      </c>
      <c r="C22" s="46" t="s">
        <v>84</v>
      </c>
      <c r="D22" s="55" t="s">
        <v>177</v>
      </c>
      <c r="E22" s="56" t="s">
        <v>178</v>
      </c>
      <c r="F22" s="45" t="s">
        <v>83</v>
      </c>
      <c r="G22" s="46" t="s">
        <v>84</v>
      </c>
      <c r="H22" s="55" t="s">
        <v>177</v>
      </c>
      <c r="I22" s="56" t="s">
        <v>178</v>
      </c>
      <c r="J22" s="45" t="s">
        <v>83</v>
      </c>
      <c r="K22" s="46" t="s">
        <v>84</v>
      </c>
      <c r="L22" s="55" t="s">
        <v>177</v>
      </c>
      <c r="M22" s="56" t="s">
        <v>178</v>
      </c>
      <c r="N22" s="45" t="s">
        <v>83</v>
      </c>
      <c r="O22" s="46" t="s">
        <v>84</v>
      </c>
      <c r="P22" s="55" t="s">
        <v>177</v>
      </c>
      <c r="Q22" s="56" t="s">
        <v>178</v>
      </c>
    </row>
    <row r="23" spans="1:17" x14ac:dyDescent="0.25">
      <c r="A23" s="40" t="s">
        <v>86</v>
      </c>
      <c r="B23" s="40">
        <v>29.3</v>
      </c>
      <c r="C23" s="40">
        <v>141</v>
      </c>
      <c r="D23" s="40">
        <v>29.3</v>
      </c>
      <c r="E23" s="40">
        <v>29.3</v>
      </c>
      <c r="F23" s="40">
        <v>29.3</v>
      </c>
      <c r="G23" s="40">
        <v>134.9</v>
      </c>
      <c r="H23" s="40">
        <v>29.3</v>
      </c>
      <c r="I23" s="40">
        <v>29.3</v>
      </c>
      <c r="J23" s="40">
        <v>29.3</v>
      </c>
      <c r="K23" s="40">
        <v>132.5</v>
      </c>
      <c r="L23" s="40">
        <v>29.3</v>
      </c>
      <c r="M23" s="40">
        <v>29.3</v>
      </c>
      <c r="N23" s="40">
        <v>29.3</v>
      </c>
      <c r="O23" s="40">
        <v>125.2</v>
      </c>
      <c r="P23" s="40">
        <v>29.3</v>
      </c>
      <c r="Q23" s="40">
        <v>29.3</v>
      </c>
    </row>
    <row r="24" spans="1:17" x14ac:dyDescent="0.25">
      <c r="A24" s="60" t="s">
        <v>179</v>
      </c>
      <c r="B24" s="40">
        <v>208.6</v>
      </c>
      <c r="C24" s="40">
        <v>31.7</v>
      </c>
      <c r="D24" s="40">
        <v>183.3</v>
      </c>
      <c r="E24" s="40">
        <v>208.6</v>
      </c>
      <c r="F24" s="40">
        <v>198.9</v>
      </c>
      <c r="G24" s="40">
        <v>31.7</v>
      </c>
      <c r="H24" s="40">
        <v>175</v>
      </c>
      <c r="I24" s="40">
        <v>175</v>
      </c>
      <c r="J24" s="40">
        <v>195.1</v>
      </c>
      <c r="K24" s="40">
        <v>31.7</v>
      </c>
      <c r="L24" s="40">
        <v>195.1</v>
      </c>
      <c r="M24" s="40">
        <v>171.7</v>
      </c>
      <c r="N24" s="40">
        <v>183.5</v>
      </c>
      <c r="O24" s="40">
        <v>31.7</v>
      </c>
      <c r="P24" s="40">
        <v>161.80000000000001</v>
      </c>
      <c r="Q24" s="40">
        <v>183.5</v>
      </c>
    </row>
    <row r="25" spans="1:17" x14ac:dyDescent="0.25">
      <c r="A25" s="40" t="s">
        <v>88</v>
      </c>
      <c r="B25" s="40">
        <v>52.8</v>
      </c>
      <c r="C25" s="40">
        <v>65.3</v>
      </c>
      <c r="D25" s="40">
        <v>23.6</v>
      </c>
      <c r="E25" s="40">
        <v>66.7</v>
      </c>
      <c r="F25" s="40">
        <v>49.4</v>
      </c>
      <c r="G25" s="40">
        <v>64.400000000000006</v>
      </c>
      <c r="H25" s="40">
        <v>23.4</v>
      </c>
      <c r="I25" s="40">
        <v>57.8</v>
      </c>
      <c r="J25" s="40">
        <v>48.7</v>
      </c>
      <c r="K25" s="40">
        <v>63.3</v>
      </c>
      <c r="L25" s="40">
        <v>23.9</v>
      </c>
      <c r="M25" s="40">
        <v>56.9</v>
      </c>
      <c r="N25" s="40">
        <v>48</v>
      </c>
      <c r="O25" s="40">
        <v>60.3</v>
      </c>
      <c r="P25" s="40">
        <v>23</v>
      </c>
      <c r="Q25" s="40">
        <v>60</v>
      </c>
    </row>
    <row r="27" spans="1:17" x14ac:dyDescent="0.25">
      <c r="B27" s="105" t="s">
        <v>102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57"/>
      <c r="Q27" s="57"/>
    </row>
    <row r="28" spans="1:17" x14ac:dyDescent="0.25">
      <c r="B28" s="41" t="s">
        <v>75</v>
      </c>
      <c r="C28" s="41" t="s">
        <v>75</v>
      </c>
      <c r="D28" s="41" t="s">
        <v>75</v>
      </c>
      <c r="E28" s="41" t="s">
        <v>75</v>
      </c>
      <c r="F28" s="41" t="s">
        <v>75</v>
      </c>
      <c r="G28" s="41" t="s">
        <v>75</v>
      </c>
      <c r="H28" s="41" t="s">
        <v>75</v>
      </c>
      <c r="I28" s="41" t="s">
        <v>75</v>
      </c>
      <c r="J28" s="42" t="s">
        <v>76</v>
      </c>
      <c r="K28" s="42" t="s">
        <v>76</v>
      </c>
      <c r="L28" s="42" t="s">
        <v>76</v>
      </c>
      <c r="M28" s="42" t="s">
        <v>76</v>
      </c>
      <c r="N28" s="42" t="s">
        <v>76</v>
      </c>
      <c r="O28" s="42" t="s">
        <v>76</v>
      </c>
      <c r="P28" s="42" t="s">
        <v>76</v>
      </c>
      <c r="Q28" s="42" t="s">
        <v>76</v>
      </c>
    </row>
    <row r="29" spans="1:17" x14ac:dyDescent="0.25">
      <c r="B29" s="43" t="s">
        <v>79</v>
      </c>
      <c r="C29" s="43" t="s">
        <v>79</v>
      </c>
      <c r="D29" s="43" t="s">
        <v>79</v>
      </c>
      <c r="E29" s="43" t="s">
        <v>79</v>
      </c>
      <c r="F29" s="44" t="s">
        <v>80</v>
      </c>
      <c r="G29" s="44" t="s">
        <v>80</v>
      </c>
      <c r="H29" s="44" t="s">
        <v>80</v>
      </c>
      <c r="I29" s="44" t="s">
        <v>80</v>
      </c>
      <c r="J29" s="43" t="s">
        <v>79</v>
      </c>
      <c r="K29" s="43" t="s">
        <v>79</v>
      </c>
      <c r="L29" s="43" t="s">
        <v>79</v>
      </c>
      <c r="M29" s="43" t="s">
        <v>79</v>
      </c>
      <c r="N29" s="58" t="s">
        <v>80</v>
      </c>
      <c r="O29" s="44" t="s">
        <v>80</v>
      </c>
      <c r="P29" s="44" t="s">
        <v>80</v>
      </c>
      <c r="Q29" s="44" t="s">
        <v>80</v>
      </c>
    </row>
    <row r="30" spans="1:17" x14ac:dyDescent="0.25">
      <c r="B30" s="45" t="s">
        <v>83</v>
      </c>
      <c r="C30" s="46" t="s">
        <v>84</v>
      </c>
      <c r="D30" s="55" t="s">
        <v>177</v>
      </c>
      <c r="E30" s="56" t="s">
        <v>178</v>
      </c>
      <c r="F30" s="45" t="s">
        <v>83</v>
      </c>
      <c r="G30" s="46" t="s">
        <v>84</v>
      </c>
      <c r="H30" s="55" t="s">
        <v>177</v>
      </c>
      <c r="I30" s="56" t="s">
        <v>178</v>
      </c>
      <c r="J30" s="45" t="s">
        <v>83</v>
      </c>
      <c r="K30" s="46" t="s">
        <v>84</v>
      </c>
      <c r="L30" s="55" t="s">
        <v>177</v>
      </c>
      <c r="M30" s="56" t="s">
        <v>178</v>
      </c>
      <c r="N30" s="45" t="s">
        <v>83</v>
      </c>
      <c r="O30" s="46" t="s">
        <v>84</v>
      </c>
      <c r="P30" s="55" t="s">
        <v>177</v>
      </c>
      <c r="Q30" s="56" t="s">
        <v>178</v>
      </c>
    </row>
    <row r="31" spans="1:17" x14ac:dyDescent="0.25">
      <c r="A31" s="40" t="s">
        <v>86</v>
      </c>
      <c r="B31" s="40">
        <v>29.3</v>
      </c>
      <c r="C31" s="40">
        <v>119.1</v>
      </c>
      <c r="D31" s="40">
        <v>29.3</v>
      </c>
      <c r="E31" s="40">
        <v>29.3</v>
      </c>
      <c r="F31" s="40">
        <v>29.3</v>
      </c>
      <c r="G31" s="40">
        <v>114.3</v>
      </c>
      <c r="H31" s="40">
        <v>29.3</v>
      </c>
      <c r="I31" s="40">
        <v>29.3</v>
      </c>
      <c r="J31" s="40">
        <v>29.3</v>
      </c>
      <c r="K31" s="40">
        <v>115.5</v>
      </c>
      <c r="L31" s="40">
        <v>29.3</v>
      </c>
      <c r="M31" s="40">
        <v>29.3</v>
      </c>
      <c r="N31" s="40">
        <v>29.3</v>
      </c>
      <c r="O31" s="40">
        <v>107</v>
      </c>
      <c r="P31" s="40">
        <v>29.3</v>
      </c>
      <c r="Q31" s="40">
        <v>29.3</v>
      </c>
    </row>
    <row r="32" spans="1:17" x14ac:dyDescent="0.25">
      <c r="A32" s="60" t="s">
        <v>179</v>
      </c>
      <c r="B32" s="40">
        <v>173.9</v>
      </c>
      <c r="C32" s="40">
        <v>31.7</v>
      </c>
      <c r="D32" s="40">
        <v>153.6</v>
      </c>
      <c r="E32" s="40">
        <v>153.6</v>
      </c>
      <c r="F32" s="40">
        <v>166.2</v>
      </c>
      <c r="G32" s="40">
        <v>31.7</v>
      </c>
      <c r="H32" s="40">
        <v>147</v>
      </c>
      <c r="I32" s="40">
        <v>147</v>
      </c>
      <c r="J32" s="40">
        <v>168.1</v>
      </c>
      <c r="K32" s="40">
        <v>31.7</v>
      </c>
      <c r="L32" s="40">
        <v>148.6</v>
      </c>
      <c r="M32" s="40">
        <v>168.1</v>
      </c>
      <c r="N32" s="40">
        <v>154.6</v>
      </c>
      <c r="O32" s="40">
        <v>31.7</v>
      </c>
      <c r="P32" s="40">
        <v>137.1</v>
      </c>
      <c r="Q32" s="40">
        <v>137.1</v>
      </c>
    </row>
    <row r="33" spans="1:17" x14ac:dyDescent="0.25">
      <c r="A33" s="40" t="s">
        <v>88</v>
      </c>
      <c r="B33" s="40">
        <v>46.1</v>
      </c>
      <c r="C33" s="40">
        <v>57.7</v>
      </c>
      <c r="D33" s="40">
        <v>22.8</v>
      </c>
      <c r="E33" s="40">
        <v>52.1</v>
      </c>
      <c r="F33" s="40">
        <v>44.6</v>
      </c>
      <c r="G33" s="40">
        <v>55.6</v>
      </c>
      <c r="H33" s="40">
        <v>22.7</v>
      </c>
      <c r="I33" s="40">
        <v>50.3</v>
      </c>
      <c r="J33" s="40">
        <v>45</v>
      </c>
      <c r="K33" s="40">
        <v>54.4</v>
      </c>
      <c r="L33" s="40">
        <v>22.7</v>
      </c>
      <c r="M33" s="40">
        <v>55.9</v>
      </c>
      <c r="N33" s="40">
        <v>42.4</v>
      </c>
      <c r="O33" s="40">
        <v>52.6</v>
      </c>
      <c r="P33" s="40">
        <v>22.4</v>
      </c>
      <c r="Q33" s="40">
        <v>47.7</v>
      </c>
    </row>
  </sheetData>
  <mergeCells count="6">
    <mergeCell ref="B27:O27"/>
    <mergeCell ref="T1:U1"/>
    <mergeCell ref="B1:P1"/>
    <mergeCell ref="Q1:R1"/>
    <mergeCell ref="B10:O10"/>
    <mergeCell ref="B19:O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C25"/>
  <sheetViews>
    <sheetView view="pageLayout" topLeftCell="A16" zoomScale="125" zoomScalePageLayoutView="125" workbookViewId="0">
      <selection activeCell="B2" sqref="B2"/>
    </sheetView>
  </sheetViews>
  <sheetFormatPr defaultColWidth="11" defaultRowHeight="12.75" x14ac:dyDescent="0.2"/>
  <cols>
    <col min="1" max="1" width="26.75" customWidth="1"/>
    <col min="2" max="2" width="17" bestFit="1" customWidth="1"/>
    <col min="3" max="3" width="13" bestFit="1" customWidth="1"/>
  </cols>
  <sheetData>
    <row r="1" spans="1:3" ht="13.5" thickBot="1" x14ac:dyDescent="0.25">
      <c r="A1" s="5" t="s">
        <v>2</v>
      </c>
      <c r="B1" s="9" t="s">
        <v>17</v>
      </c>
      <c r="C1" s="9" t="s">
        <v>18</v>
      </c>
    </row>
    <row r="2" spans="1:3" x14ac:dyDescent="0.2">
      <c r="A2" s="10" t="s">
        <v>29</v>
      </c>
      <c r="B2" s="4"/>
      <c r="C2" s="4"/>
    </row>
    <row r="3" spans="1:3" x14ac:dyDescent="0.2">
      <c r="A3" s="110"/>
      <c r="B3" s="110"/>
      <c r="C3" s="110"/>
    </row>
    <row r="4" spans="1:3" ht="13.5" thickBot="1" x14ac:dyDescent="0.25">
      <c r="A4" s="5" t="s">
        <v>14</v>
      </c>
      <c r="B4" s="6"/>
      <c r="C4" s="5" t="s">
        <v>3</v>
      </c>
    </row>
    <row r="5" spans="1:3" x14ac:dyDescent="0.2">
      <c r="A5" s="2" t="s">
        <v>15</v>
      </c>
      <c r="B5" s="2" t="s">
        <v>27</v>
      </c>
      <c r="C5" s="2"/>
    </row>
    <row r="6" spans="1:3" x14ac:dyDescent="0.2">
      <c r="A6" s="2" t="s">
        <v>16</v>
      </c>
      <c r="B6" s="16" t="s">
        <v>28</v>
      </c>
      <c r="C6" s="2"/>
    </row>
    <row r="7" spans="1:3" x14ac:dyDescent="0.2">
      <c r="A7" s="7" t="s">
        <v>5</v>
      </c>
      <c r="B7" s="10"/>
      <c r="C7" s="4"/>
    </row>
    <row r="8" spans="1:3" x14ac:dyDescent="0.2">
      <c r="A8" s="110"/>
      <c r="B8" s="110"/>
      <c r="C8" s="110"/>
    </row>
    <row r="9" spans="1:3" ht="13.5" thickBot="1" x14ac:dyDescent="0.25">
      <c r="A9" s="107" t="s">
        <v>4</v>
      </c>
      <c r="B9" s="108"/>
      <c r="C9" s="109"/>
    </row>
    <row r="10" spans="1:3" x14ac:dyDescent="0.2">
      <c r="A10" s="4" t="s">
        <v>19</v>
      </c>
      <c r="B10" s="15" t="s">
        <v>0</v>
      </c>
      <c r="C10" s="4"/>
    </row>
    <row r="11" spans="1:3" x14ac:dyDescent="0.2">
      <c r="A11" s="2" t="s">
        <v>6</v>
      </c>
      <c r="B11" s="3" t="s">
        <v>0</v>
      </c>
      <c r="C11" s="2"/>
    </row>
    <row r="12" spans="1:3" x14ac:dyDescent="0.2">
      <c r="A12" s="2" t="s">
        <v>7</v>
      </c>
      <c r="B12" s="3" t="s">
        <v>0</v>
      </c>
      <c r="C12" s="2"/>
    </row>
    <row r="13" spans="1:3" x14ac:dyDescent="0.2">
      <c r="A13" s="1" t="s">
        <v>20</v>
      </c>
      <c r="B13" s="11"/>
      <c r="C13" s="2"/>
    </row>
    <row r="14" spans="1:3" x14ac:dyDescent="0.2">
      <c r="A14" s="111"/>
      <c r="B14" s="111"/>
      <c r="C14" s="111"/>
    </row>
    <row r="15" spans="1:3" ht="13.5" thickBot="1" x14ac:dyDescent="0.25">
      <c r="A15" s="5" t="s">
        <v>8</v>
      </c>
      <c r="B15" s="6"/>
      <c r="C15" s="6"/>
    </row>
    <row r="16" spans="1:3" ht="38.25" x14ac:dyDescent="0.2">
      <c r="A16" s="4" t="s">
        <v>9</v>
      </c>
      <c r="B16" s="13" t="s">
        <v>12</v>
      </c>
      <c r="C16" s="12" t="s">
        <v>10</v>
      </c>
    </row>
    <row r="17" spans="1:3" ht="25.5" x14ac:dyDescent="0.2">
      <c r="A17" s="2" t="s">
        <v>1</v>
      </c>
      <c r="B17" s="14" t="s">
        <v>13</v>
      </c>
      <c r="C17" s="8" t="s">
        <v>11</v>
      </c>
    </row>
    <row r="20" spans="1:3" x14ac:dyDescent="0.2">
      <c r="A20" t="s">
        <v>21</v>
      </c>
    </row>
    <row r="21" spans="1:3" x14ac:dyDescent="0.2">
      <c r="A21" t="s">
        <v>22</v>
      </c>
    </row>
    <row r="22" spans="1:3" x14ac:dyDescent="0.2">
      <c r="A22" t="s">
        <v>23</v>
      </c>
    </row>
    <row r="23" spans="1:3" x14ac:dyDescent="0.2">
      <c r="A23" t="s">
        <v>24</v>
      </c>
    </row>
    <row r="24" spans="1:3" x14ac:dyDescent="0.2">
      <c r="A24" t="s">
        <v>25</v>
      </c>
    </row>
    <row r="25" spans="1:3" x14ac:dyDescent="0.2">
      <c r="A25" t="s">
        <v>26</v>
      </c>
    </row>
  </sheetData>
  <mergeCells count="4">
    <mergeCell ref="A9:C9"/>
    <mergeCell ref="A3:C3"/>
    <mergeCell ref="A8:C8"/>
    <mergeCell ref="A14:C14"/>
  </mergeCells>
  <phoneticPr fontId="6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X80"/>
  <sheetViews>
    <sheetView topLeftCell="M1" workbookViewId="0">
      <pane ySplit="13" topLeftCell="A14" activePane="bottomLeft" state="frozen"/>
      <selection activeCell="H1" sqref="H1"/>
      <selection pane="bottomLeft" activeCell="S18" sqref="S18"/>
    </sheetView>
  </sheetViews>
  <sheetFormatPr defaultColWidth="9" defaultRowHeight="12.75" x14ac:dyDescent="0.2"/>
  <cols>
    <col min="1" max="1" width="12.625" bestFit="1" customWidth="1"/>
    <col min="2" max="2" width="13" bestFit="1" customWidth="1"/>
    <col min="3" max="3" width="4.375" bestFit="1" customWidth="1"/>
    <col min="4" max="4" width="15.875" bestFit="1" customWidth="1"/>
    <col min="5" max="5" width="12" bestFit="1" customWidth="1"/>
    <col min="6" max="6" width="15.25" customWidth="1"/>
    <col min="7" max="7" width="12" customWidth="1"/>
    <col min="8" max="8" width="14.125" bestFit="1" customWidth="1"/>
    <col min="9" max="9" width="10.125" bestFit="1" customWidth="1"/>
    <col min="10" max="10" width="13.375" bestFit="1" customWidth="1"/>
    <col min="11" max="11" width="2.875" bestFit="1" customWidth="1"/>
    <col min="13" max="13" width="10" bestFit="1" customWidth="1"/>
    <col min="14" max="14" width="3.625" bestFit="1" customWidth="1"/>
    <col min="15" max="15" width="7.375" bestFit="1" customWidth="1"/>
    <col min="16" max="16" width="14.625" bestFit="1" customWidth="1"/>
    <col min="17" max="17" width="11.5" bestFit="1" customWidth="1"/>
    <col min="18" max="18" width="10.125" bestFit="1" customWidth="1"/>
    <col min="19" max="19" width="12.625" customWidth="1"/>
    <col min="20" max="20" width="23.5" bestFit="1" customWidth="1"/>
    <col min="21" max="21" width="21.75" bestFit="1" customWidth="1"/>
    <col min="22" max="22" width="6.625" bestFit="1" customWidth="1"/>
    <col min="23" max="23" width="17.625" customWidth="1"/>
    <col min="24" max="24" width="8.875" bestFit="1" customWidth="1"/>
    <col min="25" max="25" width="11.875" bestFit="1" customWidth="1"/>
  </cols>
  <sheetData>
    <row r="1" spans="1:24" x14ac:dyDescent="0.2">
      <c r="L1" s="33" t="s">
        <v>163</v>
      </c>
    </row>
    <row r="3" spans="1:24" x14ac:dyDescent="0.2">
      <c r="Q3" t="s">
        <v>158</v>
      </c>
      <c r="R3" t="s">
        <v>161</v>
      </c>
    </row>
    <row r="4" spans="1:24" ht="13.5" thickBot="1" x14ac:dyDescent="0.25">
      <c r="O4" s="49" t="s">
        <v>156</v>
      </c>
      <c r="P4" s="49">
        <v>-90</v>
      </c>
      <c r="Q4" s="49">
        <v>1.72</v>
      </c>
      <c r="R4" s="49">
        <f>Q4*365</f>
        <v>627.79999999999995</v>
      </c>
    </row>
    <row r="5" spans="1:24" ht="13.5" thickBot="1" x14ac:dyDescent="0.25">
      <c r="O5" s="49" t="s">
        <v>155</v>
      </c>
      <c r="P5" s="49">
        <v>0</v>
      </c>
      <c r="Q5" s="49">
        <v>2.13</v>
      </c>
      <c r="R5" s="49">
        <f>Q5*365</f>
        <v>777.44999999999993</v>
      </c>
    </row>
    <row r="6" spans="1:24" ht="13.5" thickBot="1" x14ac:dyDescent="0.25">
      <c r="A6">
        <v>720</v>
      </c>
      <c r="O6" s="49" t="s">
        <v>157</v>
      </c>
      <c r="P6" s="49">
        <v>90</v>
      </c>
      <c r="Q6" s="49">
        <v>1.72</v>
      </c>
      <c r="R6" s="49">
        <f>Q6*365</f>
        <v>627.79999999999995</v>
      </c>
    </row>
    <row r="9" spans="1:24" ht="13.5" thickBot="1" x14ac:dyDescent="0.25">
      <c r="P9" s="49" t="s">
        <v>164</v>
      </c>
      <c r="Q9" s="50">
        <f>Q65</f>
        <v>2189328.4</v>
      </c>
    </row>
    <row r="12" spans="1:24" x14ac:dyDescent="0.2">
      <c r="D12" s="61" t="s">
        <v>183</v>
      </c>
      <c r="E12" s="61"/>
      <c r="F12" s="62" t="s">
        <v>184</v>
      </c>
      <c r="G12" s="62"/>
    </row>
    <row r="13" spans="1:24" s="17" customFormat="1" ht="13.5" thickBot="1" x14ac:dyDescent="0.25">
      <c r="A13" s="49" t="s">
        <v>110</v>
      </c>
      <c r="B13" s="49" t="s">
        <v>111</v>
      </c>
      <c r="C13" s="49" t="s">
        <v>112</v>
      </c>
      <c r="D13" s="49" t="s">
        <v>113</v>
      </c>
      <c r="E13" s="49" t="s">
        <v>114</v>
      </c>
      <c r="F13" s="49" t="s">
        <v>113</v>
      </c>
      <c r="G13" s="49" t="s">
        <v>114</v>
      </c>
      <c r="H13" s="49" t="s">
        <v>115</v>
      </c>
      <c r="I13" s="49" t="s">
        <v>116</v>
      </c>
      <c r="J13" s="49" t="s">
        <v>117</v>
      </c>
      <c r="K13" s="49"/>
      <c r="L13" s="49"/>
      <c r="M13" s="49" t="s">
        <v>118</v>
      </c>
      <c r="N13" s="49"/>
      <c r="O13" s="49" t="s">
        <v>103</v>
      </c>
      <c r="P13" s="49" t="s">
        <v>162</v>
      </c>
      <c r="Q13" s="49" t="s">
        <v>161</v>
      </c>
      <c r="R13" s="49" t="s">
        <v>173</v>
      </c>
      <c r="S13" s="49"/>
      <c r="T13" s="49" t="s">
        <v>119</v>
      </c>
      <c r="U13" s="49" t="s">
        <v>120</v>
      </c>
      <c r="V13" s="49" t="s">
        <v>121</v>
      </c>
      <c r="W13" s="49" t="s">
        <v>185</v>
      </c>
      <c r="X13" s="49" t="s">
        <v>122</v>
      </c>
    </row>
    <row r="14" spans="1:24" x14ac:dyDescent="0.2">
      <c r="A14" s="48">
        <v>1</v>
      </c>
      <c r="B14" t="s">
        <v>123</v>
      </c>
      <c r="D14">
        <v>29.3</v>
      </c>
      <c r="E14">
        <v>2680.0709999999999</v>
      </c>
      <c r="F14">
        <v>353</v>
      </c>
      <c r="G14">
        <f>F14*H14</f>
        <v>32288.91</v>
      </c>
      <c r="H14">
        <v>91.47</v>
      </c>
      <c r="I14">
        <v>45.734999999999999</v>
      </c>
      <c r="J14">
        <v>5.7</v>
      </c>
      <c r="K14" s="65">
        <v>5</v>
      </c>
      <c r="L14">
        <f>IF(AND(E14&gt;2000,E14&lt;2500),K14,0)</f>
        <v>0</v>
      </c>
      <c r="M14">
        <v>100</v>
      </c>
      <c r="N14" t="s">
        <v>124</v>
      </c>
      <c r="O14">
        <f>IF(AND(M14&gt;=90,M14&lt;150),-90,IF(AND(M14&gt;=150,M14&lt;=210),0,IF(AND(M14&gt;210,M14&lt;=270),90," ")))</f>
        <v>-90</v>
      </c>
      <c r="P14">
        <f>IF(O14=$P$4,$R$4,IF(O14=$P$5,$R$5,IF(O14=$P$6,$R$6," ")))</f>
        <v>627.79999999999995</v>
      </c>
      <c r="Q14">
        <f>IF(P14&lt;&gt;" ",P14*(K14*8)," ")</f>
        <v>25112</v>
      </c>
      <c r="R14">
        <f>$G$76*K14</f>
        <v>14000</v>
      </c>
      <c r="T14">
        <v>280</v>
      </c>
      <c r="U14" t="s">
        <v>125</v>
      </c>
      <c r="W14">
        <v>720</v>
      </c>
      <c r="X14">
        <f>W14*K14</f>
        <v>3600</v>
      </c>
    </row>
    <row r="15" spans="1:24" x14ac:dyDescent="0.2">
      <c r="A15" s="48">
        <v>2</v>
      </c>
      <c r="B15" t="s">
        <v>126</v>
      </c>
      <c r="D15">
        <v>29.3</v>
      </c>
      <c r="E15">
        <v>5056.0079999999998</v>
      </c>
      <c r="F15">
        <v>320.3</v>
      </c>
      <c r="G15">
        <f>F15*H15*2</f>
        <v>110541.936</v>
      </c>
      <c r="H15">
        <v>172.56</v>
      </c>
      <c r="I15">
        <v>86.28</v>
      </c>
      <c r="J15">
        <v>10.8</v>
      </c>
      <c r="K15">
        <v>10</v>
      </c>
      <c r="L15">
        <f t="shared" ref="L15:L63" si="0">IF(AND(E15&gt;2000,E15&lt;2500),K15,0)</f>
        <v>0</v>
      </c>
      <c r="M15">
        <v>155</v>
      </c>
      <c r="N15" t="s">
        <v>124</v>
      </c>
      <c r="O15">
        <f t="shared" ref="O15:O63" si="1">IF(AND(M15&gt;=90,M15&lt;150),-90,IF(AND(M15&gt;=150,M15&lt;=210),0,IF(AND(M15&gt;210,M15&lt;=270),90," ")))</f>
        <v>0</v>
      </c>
      <c r="P15">
        <f t="shared" ref="P15:P63" si="2">IF(O15=$P$4,$R$4,IF(O15=$P$5,$R$5,IF(O15=$P$6,$R$6," ")))</f>
        <v>777.44999999999993</v>
      </c>
      <c r="Q15">
        <f t="shared" ref="Q15:Q63" si="3">IF(P15&lt;&gt;" ",P15*(K15*8)," ")</f>
        <v>62195.999999999993</v>
      </c>
      <c r="R15">
        <f t="shared" ref="R15:R63" si="4">$G$76*K15</f>
        <v>28000</v>
      </c>
      <c r="T15">
        <v>335</v>
      </c>
      <c r="W15">
        <v>720</v>
      </c>
      <c r="X15">
        <f t="shared" ref="X15:X63" si="5">W15*K15</f>
        <v>7200</v>
      </c>
    </row>
    <row r="16" spans="1:24" x14ac:dyDescent="0.2">
      <c r="A16" s="48">
        <v>3</v>
      </c>
      <c r="B16" t="s">
        <v>123</v>
      </c>
      <c r="D16">
        <v>29.3</v>
      </c>
      <c r="E16">
        <v>2808.6979999999999</v>
      </c>
      <c r="F16">
        <v>353</v>
      </c>
      <c r="G16">
        <f>F16*H16</f>
        <v>33838.58</v>
      </c>
      <c r="H16">
        <v>95.86</v>
      </c>
      <c r="I16">
        <v>47.93</v>
      </c>
      <c r="J16">
        <v>6</v>
      </c>
      <c r="K16">
        <v>6</v>
      </c>
      <c r="L16">
        <f t="shared" si="0"/>
        <v>0</v>
      </c>
      <c r="M16">
        <v>154</v>
      </c>
      <c r="N16" t="s">
        <v>127</v>
      </c>
      <c r="O16">
        <f t="shared" si="1"/>
        <v>0</v>
      </c>
      <c r="P16">
        <f t="shared" si="2"/>
        <v>777.44999999999993</v>
      </c>
      <c r="Q16">
        <f t="shared" si="3"/>
        <v>37317.599999999999</v>
      </c>
      <c r="R16">
        <f t="shared" si="4"/>
        <v>16800</v>
      </c>
      <c r="T16">
        <v>64</v>
      </c>
      <c r="W16">
        <v>720</v>
      </c>
      <c r="X16">
        <f t="shared" si="5"/>
        <v>4320</v>
      </c>
    </row>
    <row r="17" spans="1:24" x14ac:dyDescent="0.2">
      <c r="A17" s="48">
        <v>4</v>
      </c>
      <c r="B17" t="s">
        <v>126</v>
      </c>
      <c r="D17">
        <v>29.3</v>
      </c>
      <c r="E17">
        <v>4768.2820000000002</v>
      </c>
      <c r="F17">
        <v>320.3</v>
      </c>
      <c r="G17">
        <f t="shared" ref="G17:G62" si="6">F17*H17*2</f>
        <v>104251.24400000001</v>
      </c>
      <c r="H17">
        <v>162.74</v>
      </c>
      <c r="I17">
        <v>81.37</v>
      </c>
      <c r="J17">
        <v>10.199999999999999</v>
      </c>
      <c r="K17">
        <v>10</v>
      </c>
      <c r="L17">
        <f t="shared" si="0"/>
        <v>0</v>
      </c>
      <c r="M17">
        <v>119</v>
      </c>
      <c r="N17" t="s">
        <v>124</v>
      </c>
      <c r="O17">
        <f t="shared" si="1"/>
        <v>-90</v>
      </c>
      <c r="P17">
        <f t="shared" si="2"/>
        <v>627.79999999999995</v>
      </c>
      <c r="Q17">
        <f t="shared" si="3"/>
        <v>50224</v>
      </c>
      <c r="R17">
        <f t="shared" si="4"/>
        <v>28000</v>
      </c>
      <c r="T17">
        <v>299</v>
      </c>
      <c r="W17">
        <v>720</v>
      </c>
      <c r="X17">
        <f t="shared" si="5"/>
        <v>7200</v>
      </c>
    </row>
    <row r="18" spans="1:24" x14ac:dyDescent="0.2">
      <c r="A18" s="48">
        <v>5</v>
      </c>
      <c r="B18" t="s">
        <v>126</v>
      </c>
      <c r="D18">
        <v>29.3</v>
      </c>
      <c r="E18">
        <v>3595.6959999999999</v>
      </c>
      <c r="F18">
        <v>320.3</v>
      </c>
      <c r="G18">
        <f t="shared" si="6"/>
        <v>78614.432000000001</v>
      </c>
      <c r="H18">
        <v>122.72</v>
      </c>
      <c r="I18">
        <v>61.36</v>
      </c>
      <c r="J18">
        <v>7.7</v>
      </c>
      <c r="K18">
        <v>7</v>
      </c>
      <c r="L18">
        <f t="shared" si="0"/>
        <v>0</v>
      </c>
      <c r="M18">
        <v>119</v>
      </c>
      <c r="N18" t="s">
        <v>124</v>
      </c>
      <c r="O18">
        <f t="shared" si="1"/>
        <v>-90</v>
      </c>
      <c r="P18">
        <f t="shared" si="2"/>
        <v>627.79999999999995</v>
      </c>
      <c r="Q18">
        <f t="shared" si="3"/>
        <v>35156.799999999996</v>
      </c>
      <c r="R18">
        <f t="shared" si="4"/>
        <v>19600</v>
      </c>
      <c r="T18">
        <v>299</v>
      </c>
      <c r="W18">
        <v>720</v>
      </c>
      <c r="X18">
        <f t="shared" si="5"/>
        <v>5040</v>
      </c>
    </row>
    <row r="19" spans="1:24" x14ac:dyDescent="0.2">
      <c r="A19" s="48">
        <v>6</v>
      </c>
      <c r="B19" t="s">
        <v>123</v>
      </c>
      <c r="D19">
        <v>29.3</v>
      </c>
      <c r="E19">
        <v>2178.4549999999999</v>
      </c>
      <c r="F19">
        <v>353</v>
      </c>
      <c r="G19">
        <f>F19*H19</f>
        <v>26245.55</v>
      </c>
      <c r="H19">
        <v>74.349999999999994</v>
      </c>
      <c r="I19">
        <v>37.174999999999997</v>
      </c>
      <c r="J19">
        <v>4.5999999999999996</v>
      </c>
      <c r="K19">
        <v>4</v>
      </c>
      <c r="L19">
        <f t="shared" si="0"/>
        <v>4</v>
      </c>
      <c r="M19">
        <v>153</v>
      </c>
      <c r="N19" t="s">
        <v>127</v>
      </c>
      <c r="O19">
        <f t="shared" si="1"/>
        <v>0</v>
      </c>
      <c r="P19">
        <f t="shared" si="2"/>
        <v>777.44999999999993</v>
      </c>
      <c r="Q19">
        <f t="shared" si="3"/>
        <v>24878.399999999998</v>
      </c>
      <c r="R19">
        <f t="shared" si="4"/>
        <v>11200</v>
      </c>
      <c r="T19">
        <v>63</v>
      </c>
      <c r="W19">
        <v>720</v>
      </c>
      <c r="X19">
        <f t="shared" si="5"/>
        <v>2880</v>
      </c>
    </row>
    <row r="20" spans="1:24" x14ac:dyDescent="0.2">
      <c r="A20" s="48">
        <v>7</v>
      </c>
      <c r="B20" t="s">
        <v>123</v>
      </c>
      <c r="D20">
        <v>29.3</v>
      </c>
      <c r="E20">
        <v>2590.2665000000002</v>
      </c>
      <c r="F20">
        <v>353</v>
      </c>
      <c r="G20">
        <f>F20*H20</f>
        <v>31206.965</v>
      </c>
      <c r="H20">
        <v>88.405000000000001</v>
      </c>
      <c r="I20">
        <v>44.202500000000001</v>
      </c>
      <c r="J20">
        <v>5.5</v>
      </c>
      <c r="K20" s="65">
        <v>5</v>
      </c>
      <c r="L20">
        <f t="shared" si="0"/>
        <v>0</v>
      </c>
      <c r="M20">
        <v>152</v>
      </c>
      <c r="N20" t="s">
        <v>127</v>
      </c>
      <c r="O20">
        <f t="shared" si="1"/>
        <v>0</v>
      </c>
      <c r="P20">
        <f t="shared" si="2"/>
        <v>777.44999999999993</v>
      </c>
      <c r="Q20">
        <f t="shared" si="3"/>
        <v>31097.999999999996</v>
      </c>
      <c r="R20">
        <f t="shared" si="4"/>
        <v>14000</v>
      </c>
      <c r="T20">
        <v>62</v>
      </c>
      <c r="W20">
        <v>720</v>
      </c>
      <c r="X20">
        <f t="shared" si="5"/>
        <v>3600</v>
      </c>
    </row>
    <row r="21" spans="1:24" x14ac:dyDescent="0.2">
      <c r="A21" s="48">
        <v>8</v>
      </c>
      <c r="B21" t="s">
        <v>123</v>
      </c>
      <c r="D21">
        <v>29.3</v>
      </c>
      <c r="E21">
        <v>3074.1559999999999</v>
      </c>
      <c r="F21">
        <v>353</v>
      </c>
      <c r="G21">
        <f>F21*H21</f>
        <v>37036.76</v>
      </c>
      <c r="H21">
        <v>104.92</v>
      </c>
      <c r="I21">
        <v>52.46</v>
      </c>
      <c r="J21">
        <v>6.6</v>
      </c>
      <c r="K21">
        <v>6</v>
      </c>
      <c r="L21">
        <f t="shared" si="0"/>
        <v>0</v>
      </c>
      <c r="M21">
        <v>152</v>
      </c>
      <c r="N21" t="s">
        <v>127</v>
      </c>
      <c r="O21">
        <f t="shared" si="1"/>
        <v>0</v>
      </c>
      <c r="P21">
        <f t="shared" si="2"/>
        <v>777.44999999999993</v>
      </c>
      <c r="Q21">
        <f t="shared" si="3"/>
        <v>37317.599999999999</v>
      </c>
      <c r="R21">
        <f t="shared" si="4"/>
        <v>16800</v>
      </c>
      <c r="T21">
        <v>62</v>
      </c>
      <c r="W21">
        <v>720</v>
      </c>
      <c r="X21">
        <f t="shared" si="5"/>
        <v>4320</v>
      </c>
    </row>
    <row r="22" spans="1:24" x14ac:dyDescent="0.2">
      <c r="A22" s="48">
        <v>9</v>
      </c>
      <c r="B22" t="s">
        <v>123</v>
      </c>
      <c r="D22">
        <v>29.3</v>
      </c>
      <c r="E22">
        <v>2085.8670000000002</v>
      </c>
      <c r="F22">
        <v>353</v>
      </c>
      <c r="G22">
        <f>F22*H22</f>
        <v>25130.07</v>
      </c>
      <c r="H22">
        <v>71.19</v>
      </c>
      <c r="I22">
        <v>35.594999999999999</v>
      </c>
      <c r="J22">
        <v>4.4000000000000004</v>
      </c>
      <c r="K22">
        <v>4</v>
      </c>
      <c r="L22">
        <f t="shared" si="0"/>
        <v>4</v>
      </c>
      <c r="M22">
        <v>153</v>
      </c>
      <c r="N22" t="s">
        <v>127</v>
      </c>
      <c r="O22">
        <f t="shared" si="1"/>
        <v>0</v>
      </c>
      <c r="P22">
        <f t="shared" si="2"/>
        <v>777.44999999999993</v>
      </c>
      <c r="Q22">
        <f t="shared" si="3"/>
        <v>24878.399999999998</v>
      </c>
      <c r="R22">
        <f t="shared" si="4"/>
        <v>11200</v>
      </c>
      <c r="T22">
        <v>63</v>
      </c>
      <c r="W22">
        <v>720</v>
      </c>
      <c r="X22">
        <f t="shared" si="5"/>
        <v>2880</v>
      </c>
    </row>
    <row r="23" spans="1:24" x14ac:dyDescent="0.2">
      <c r="A23" s="48">
        <v>10</v>
      </c>
      <c r="B23" t="s">
        <v>126</v>
      </c>
      <c r="D23">
        <v>29.3</v>
      </c>
      <c r="E23">
        <v>4897.2020000000002</v>
      </c>
      <c r="F23">
        <v>320.3</v>
      </c>
      <c r="G23">
        <f t="shared" si="6"/>
        <v>107069.88399999999</v>
      </c>
      <c r="H23">
        <v>167.14</v>
      </c>
      <c r="I23">
        <v>83.57</v>
      </c>
      <c r="J23">
        <v>10.4</v>
      </c>
      <c r="K23">
        <v>10</v>
      </c>
      <c r="L23">
        <f t="shared" si="0"/>
        <v>0</v>
      </c>
      <c r="M23">
        <v>117</v>
      </c>
      <c r="N23" t="s">
        <v>124</v>
      </c>
      <c r="O23">
        <f t="shared" si="1"/>
        <v>-90</v>
      </c>
      <c r="P23">
        <f t="shared" si="2"/>
        <v>627.79999999999995</v>
      </c>
      <c r="Q23">
        <f t="shared" si="3"/>
        <v>50224</v>
      </c>
      <c r="R23">
        <f t="shared" si="4"/>
        <v>28000</v>
      </c>
      <c r="T23">
        <v>297</v>
      </c>
      <c r="W23">
        <v>720</v>
      </c>
      <c r="X23">
        <f t="shared" si="5"/>
        <v>7200</v>
      </c>
    </row>
    <row r="24" spans="1:24" x14ac:dyDescent="0.2">
      <c r="A24" s="48">
        <v>11</v>
      </c>
      <c r="B24" t="s">
        <v>126</v>
      </c>
      <c r="D24">
        <v>29.3</v>
      </c>
      <c r="E24">
        <v>5120.4679999999998</v>
      </c>
      <c r="F24">
        <v>320.3</v>
      </c>
      <c r="G24">
        <f t="shared" si="6"/>
        <v>111951.25599999999</v>
      </c>
      <c r="H24">
        <v>174.76</v>
      </c>
      <c r="I24">
        <v>87.38</v>
      </c>
      <c r="J24">
        <v>10.9</v>
      </c>
      <c r="K24">
        <v>10</v>
      </c>
      <c r="L24">
        <f t="shared" si="0"/>
        <v>0</v>
      </c>
      <c r="M24">
        <v>96</v>
      </c>
      <c r="N24" t="s">
        <v>124</v>
      </c>
      <c r="O24">
        <f t="shared" si="1"/>
        <v>-90</v>
      </c>
      <c r="P24">
        <f t="shared" si="2"/>
        <v>627.79999999999995</v>
      </c>
      <c r="Q24">
        <f t="shared" si="3"/>
        <v>50224</v>
      </c>
      <c r="R24">
        <f t="shared" si="4"/>
        <v>28000</v>
      </c>
      <c r="T24">
        <v>276</v>
      </c>
      <c r="W24">
        <v>720</v>
      </c>
      <c r="X24">
        <f t="shared" si="5"/>
        <v>7200</v>
      </c>
    </row>
    <row r="25" spans="1:24" x14ac:dyDescent="0.2">
      <c r="A25" s="48">
        <v>12</v>
      </c>
      <c r="B25" t="s">
        <v>123</v>
      </c>
      <c r="D25">
        <v>29.3</v>
      </c>
      <c r="E25">
        <v>2208.9270000000001</v>
      </c>
      <c r="F25">
        <v>353</v>
      </c>
      <c r="G25">
        <f>F25*H25</f>
        <v>26612.670000000002</v>
      </c>
      <c r="H25">
        <v>75.39</v>
      </c>
      <c r="I25">
        <v>37.695</v>
      </c>
      <c r="J25">
        <v>4.7</v>
      </c>
      <c r="K25">
        <v>4</v>
      </c>
      <c r="L25">
        <f t="shared" si="0"/>
        <v>4</v>
      </c>
      <c r="M25">
        <v>97</v>
      </c>
      <c r="N25" t="s">
        <v>124</v>
      </c>
      <c r="O25">
        <f t="shared" si="1"/>
        <v>-90</v>
      </c>
      <c r="P25">
        <f t="shared" si="2"/>
        <v>627.79999999999995</v>
      </c>
      <c r="Q25">
        <f t="shared" si="3"/>
        <v>20089.599999999999</v>
      </c>
      <c r="R25">
        <f t="shared" si="4"/>
        <v>11200</v>
      </c>
      <c r="T25">
        <v>277</v>
      </c>
      <c r="W25">
        <v>720</v>
      </c>
      <c r="X25">
        <f t="shared" si="5"/>
        <v>2880</v>
      </c>
    </row>
    <row r="26" spans="1:24" x14ac:dyDescent="0.2">
      <c r="A26" s="48">
        <v>13</v>
      </c>
      <c r="B26" t="s">
        <v>123</v>
      </c>
      <c r="D26">
        <v>29.3</v>
      </c>
      <c r="E26">
        <v>3080.895</v>
      </c>
      <c r="F26">
        <v>353</v>
      </c>
      <c r="G26">
        <f>F26*H26</f>
        <v>37117.950000000004</v>
      </c>
      <c r="H26">
        <v>105.15</v>
      </c>
      <c r="I26">
        <v>52.575000000000003</v>
      </c>
      <c r="J26">
        <v>6.6</v>
      </c>
      <c r="K26">
        <v>6</v>
      </c>
      <c r="L26">
        <f t="shared" si="0"/>
        <v>0</v>
      </c>
      <c r="M26">
        <v>96</v>
      </c>
      <c r="N26" t="s">
        <v>124</v>
      </c>
      <c r="O26">
        <f t="shared" si="1"/>
        <v>-90</v>
      </c>
      <c r="P26">
        <f t="shared" si="2"/>
        <v>627.79999999999995</v>
      </c>
      <c r="Q26">
        <f t="shared" si="3"/>
        <v>30134.399999999998</v>
      </c>
      <c r="R26">
        <f t="shared" si="4"/>
        <v>16800</v>
      </c>
      <c r="T26">
        <v>276</v>
      </c>
      <c r="W26">
        <v>720</v>
      </c>
      <c r="X26">
        <f t="shared" si="5"/>
        <v>4320</v>
      </c>
    </row>
    <row r="27" spans="1:24" x14ac:dyDescent="0.2">
      <c r="A27" s="48">
        <v>14</v>
      </c>
      <c r="B27" t="s">
        <v>126</v>
      </c>
      <c r="D27">
        <v>29.3</v>
      </c>
      <c r="E27">
        <v>4877.8639999999996</v>
      </c>
      <c r="F27">
        <v>320.3</v>
      </c>
      <c r="G27">
        <f t="shared" si="6"/>
        <v>106647.088</v>
      </c>
      <c r="H27">
        <v>166.48</v>
      </c>
      <c r="I27">
        <v>83.24</v>
      </c>
      <c r="J27">
        <v>10.4</v>
      </c>
      <c r="K27">
        <v>10</v>
      </c>
      <c r="L27">
        <f t="shared" si="0"/>
        <v>0</v>
      </c>
      <c r="M27">
        <v>172</v>
      </c>
      <c r="N27" t="s">
        <v>127</v>
      </c>
      <c r="O27">
        <f t="shared" si="1"/>
        <v>0</v>
      </c>
      <c r="P27">
        <f t="shared" si="2"/>
        <v>777.44999999999993</v>
      </c>
      <c r="Q27">
        <f t="shared" si="3"/>
        <v>62195.999999999993</v>
      </c>
      <c r="R27">
        <f t="shared" si="4"/>
        <v>28000</v>
      </c>
      <c r="T27">
        <v>82</v>
      </c>
      <c r="W27">
        <v>720</v>
      </c>
      <c r="X27">
        <f t="shared" si="5"/>
        <v>7200</v>
      </c>
    </row>
    <row r="28" spans="1:24" x14ac:dyDescent="0.2">
      <c r="A28" s="48">
        <v>15</v>
      </c>
      <c r="B28" t="s">
        <v>126</v>
      </c>
      <c r="D28">
        <v>29.3</v>
      </c>
      <c r="E28">
        <v>4387.9679999999998</v>
      </c>
      <c r="F28">
        <v>320.3</v>
      </c>
      <c r="G28">
        <f t="shared" si="6"/>
        <v>95936.255999999994</v>
      </c>
      <c r="H28">
        <v>149.76</v>
      </c>
      <c r="I28">
        <v>74.88</v>
      </c>
      <c r="J28">
        <v>9.4</v>
      </c>
      <c r="K28">
        <v>9</v>
      </c>
      <c r="L28">
        <f t="shared" si="0"/>
        <v>0</v>
      </c>
      <c r="M28">
        <v>171</v>
      </c>
      <c r="N28" t="s">
        <v>127</v>
      </c>
      <c r="O28">
        <f t="shared" si="1"/>
        <v>0</v>
      </c>
      <c r="P28">
        <f t="shared" si="2"/>
        <v>777.44999999999993</v>
      </c>
      <c r="Q28">
        <f t="shared" si="3"/>
        <v>55976.399999999994</v>
      </c>
      <c r="R28">
        <f t="shared" si="4"/>
        <v>25200</v>
      </c>
      <c r="T28">
        <v>81</v>
      </c>
      <c r="W28">
        <v>720</v>
      </c>
      <c r="X28">
        <f t="shared" si="5"/>
        <v>6480</v>
      </c>
    </row>
    <row r="29" spans="1:24" x14ac:dyDescent="0.2">
      <c r="A29" s="48">
        <v>16</v>
      </c>
      <c r="B29" t="s">
        <v>126</v>
      </c>
      <c r="D29">
        <v>29.3</v>
      </c>
      <c r="E29">
        <v>3767.98</v>
      </c>
      <c r="F29">
        <v>320.3</v>
      </c>
      <c r="G29">
        <f t="shared" si="6"/>
        <v>82381.16</v>
      </c>
      <c r="H29">
        <v>128.6</v>
      </c>
      <c r="I29">
        <v>64.3</v>
      </c>
      <c r="J29">
        <v>8</v>
      </c>
      <c r="K29">
        <v>8</v>
      </c>
      <c r="L29">
        <f t="shared" si="0"/>
        <v>0</v>
      </c>
      <c r="M29">
        <v>98</v>
      </c>
      <c r="N29" t="s">
        <v>124</v>
      </c>
      <c r="O29">
        <f t="shared" si="1"/>
        <v>-90</v>
      </c>
      <c r="P29">
        <f t="shared" si="2"/>
        <v>627.79999999999995</v>
      </c>
      <c r="Q29">
        <f t="shared" si="3"/>
        <v>40179.199999999997</v>
      </c>
      <c r="R29">
        <f t="shared" si="4"/>
        <v>22400</v>
      </c>
      <c r="T29">
        <v>278</v>
      </c>
      <c r="W29">
        <v>720</v>
      </c>
      <c r="X29">
        <f t="shared" si="5"/>
        <v>5760</v>
      </c>
    </row>
    <row r="30" spans="1:24" x14ac:dyDescent="0.2">
      <c r="A30" s="48">
        <v>17</v>
      </c>
      <c r="B30" t="s">
        <v>126</v>
      </c>
      <c r="D30">
        <v>29.3</v>
      </c>
      <c r="E30">
        <v>5316.7780000000002</v>
      </c>
      <c r="F30">
        <v>320.3</v>
      </c>
      <c r="G30">
        <f t="shared" si="6"/>
        <v>116243.27600000001</v>
      </c>
      <c r="H30">
        <v>181.46</v>
      </c>
      <c r="I30">
        <v>90.73</v>
      </c>
      <c r="J30">
        <v>11.3</v>
      </c>
      <c r="K30">
        <v>11</v>
      </c>
      <c r="L30">
        <f t="shared" si="0"/>
        <v>0</v>
      </c>
      <c r="M30">
        <v>97</v>
      </c>
      <c r="N30" t="s">
        <v>124</v>
      </c>
      <c r="O30">
        <f t="shared" si="1"/>
        <v>-90</v>
      </c>
      <c r="P30">
        <f t="shared" si="2"/>
        <v>627.79999999999995</v>
      </c>
      <c r="Q30">
        <f t="shared" si="3"/>
        <v>55246.399999999994</v>
      </c>
      <c r="R30">
        <f t="shared" si="4"/>
        <v>30800</v>
      </c>
      <c r="T30">
        <v>277</v>
      </c>
      <c r="W30">
        <v>720</v>
      </c>
      <c r="X30">
        <f t="shared" si="5"/>
        <v>7920</v>
      </c>
    </row>
    <row r="31" spans="1:24" x14ac:dyDescent="0.2">
      <c r="A31" s="48">
        <v>18</v>
      </c>
      <c r="B31" t="s">
        <v>123</v>
      </c>
      <c r="D31">
        <v>29.3</v>
      </c>
      <c r="E31">
        <v>2822.4690000000001</v>
      </c>
      <c r="F31">
        <v>353</v>
      </c>
      <c r="G31">
        <f>F31*H31</f>
        <v>34004.49</v>
      </c>
      <c r="H31">
        <v>96.33</v>
      </c>
      <c r="I31">
        <v>48.164999999999999</v>
      </c>
      <c r="J31">
        <v>6</v>
      </c>
      <c r="K31">
        <v>6</v>
      </c>
      <c r="L31">
        <f t="shared" si="0"/>
        <v>0</v>
      </c>
      <c r="M31">
        <v>96</v>
      </c>
      <c r="N31" t="s">
        <v>124</v>
      </c>
      <c r="O31">
        <f t="shared" si="1"/>
        <v>-90</v>
      </c>
      <c r="P31">
        <f t="shared" si="2"/>
        <v>627.79999999999995</v>
      </c>
      <c r="Q31">
        <f t="shared" si="3"/>
        <v>30134.399999999998</v>
      </c>
      <c r="R31">
        <f t="shared" si="4"/>
        <v>16800</v>
      </c>
      <c r="T31">
        <v>276</v>
      </c>
      <c r="W31">
        <v>720</v>
      </c>
      <c r="X31">
        <f t="shared" si="5"/>
        <v>4320</v>
      </c>
    </row>
    <row r="32" spans="1:24" x14ac:dyDescent="0.2">
      <c r="A32" s="48">
        <v>19</v>
      </c>
      <c r="B32" t="s">
        <v>123</v>
      </c>
      <c r="D32">
        <v>29.3</v>
      </c>
      <c r="E32">
        <v>4085.299</v>
      </c>
      <c r="F32">
        <v>353</v>
      </c>
      <c r="G32">
        <f>F32*H32</f>
        <v>49218.79</v>
      </c>
      <c r="H32">
        <v>139.43</v>
      </c>
      <c r="I32">
        <v>69.715000000000003</v>
      </c>
      <c r="J32">
        <v>8.6999999999999993</v>
      </c>
      <c r="K32">
        <v>8</v>
      </c>
      <c r="L32">
        <f t="shared" si="0"/>
        <v>0</v>
      </c>
      <c r="M32">
        <v>139</v>
      </c>
      <c r="N32" t="s">
        <v>124</v>
      </c>
      <c r="O32">
        <f t="shared" si="1"/>
        <v>-90</v>
      </c>
      <c r="P32">
        <f t="shared" si="2"/>
        <v>627.79999999999995</v>
      </c>
      <c r="Q32">
        <f t="shared" si="3"/>
        <v>40179.199999999997</v>
      </c>
      <c r="R32">
        <f t="shared" si="4"/>
        <v>22400</v>
      </c>
      <c r="T32">
        <v>319</v>
      </c>
      <c r="W32">
        <v>720</v>
      </c>
      <c r="X32">
        <f t="shared" si="5"/>
        <v>5760</v>
      </c>
    </row>
    <row r="33" spans="1:24" x14ac:dyDescent="0.2">
      <c r="A33" s="48">
        <v>20</v>
      </c>
      <c r="B33" t="s">
        <v>123</v>
      </c>
      <c r="D33">
        <v>29.3</v>
      </c>
      <c r="E33">
        <v>2286.5720000000001</v>
      </c>
      <c r="F33">
        <v>353</v>
      </c>
      <c r="G33">
        <f>F33*H33</f>
        <v>27548.120000000003</v>
      </c>
      <c r="H33">
        <v>78.040000000000006</v>
      </c>
      <c r="I33">
        <v>39.020000000000003</v>
      </c>
      <c r="J33">
        <v>4.9000000000000004</v>
      </c>
      <c r="K33">
        <v>4</v>
      </c>
      <c r="L33">
        <f t="shared" si="0"/>
        <v>4</v>
      </c>
      <c r="M33">
        <v>143</v>
      </c>
      <c r="N33" t="s">
        <v>127</v>
      </c>
      <c r="O33">
        <f t="shared" si="1"/>
        <v>-90</v>
      </c>
      <c r="P33">
        <f t="shared" si="2"/>
        <v>627.79999999999995</v>
      </c>
      <c r="Q33">
        <f t="shared" si="3"/>
        <v>20089.599999999999</v>
      </c>
      <c r="R33">
        <f t="shared" si="4"/>
        <v>11200</v>
      </c>
      <c r="T33">
        <v>53</v>
      </c>
      <c r="W33">
        <v>720</v>
      </c>
      <c r="X33">
        <f t="shared" si="5"/>
        <v>2880</v>
      </c>
    </row>
    <row r="34" spans="1:24" x14ac:dyDescent="0.2">
      <c r="A34" s="48">
        <v>21</v>
      </c>
      <c r="B34" t="s">
        <v>123</v>
      </c>
      <c r="D34">
        <v>29.3</v>
      </c>
      <c r="E34">
        <v>2709.3710000000001</v>
      </c>
      <c r="F34">
        <v>353</v>
      </c>
      <c r="G34">
        <f>F34*H34</f>
        <v>32641.91</v>
      </c>
      <c r="H34">
        <v>92.47</v>
      </c>
      <c r="I34">
        <v>46.234999999999999</v>
      </c>
      <c r="J34">
        <v>5.8</v>
      </c>
      <c r="K34">
        <v>5</v>
      </c>
      <c r="L34">
        <f t="shared" si="0"/>
        <v>0</v>
      </c>
      <c r="M34">
        <v>96</v>
      </c>
      <c r="N34" t="s">
        <v>124</v>
      </c>
      <c r="O34">
        <f t="shared" si="1"/>
        <v>-90</v>
      </c>
      <c r="P34">
        <f t="shared" si="2"/>
        <v>627.79999999999995</v>
      </c>
      <c r="Q34">
        <f t="shared" si="3"/>
        <v>25112</v>
      </c>
      <c r="R34">
        <f t="shared" si="4"/>
        <v>14000</v>
      </c>
      <c r="T34">
        <v>276</v>
      </c>
      <c r="W34">
        <v>720</v>
      </c>
      <c r="X34">
        <f t="shared" si="5"/>
        <v>3600</v>
      </c>
    </row>
    <row r="35" spans="1:24" x14ac:dyDescent="0.2">
      <c r="A35" s="48">
        <v>22</v>
      </c>
      <c r="B35" t="s">
        <v>126</v>
      </c>
      <c r="D35">
        <v>29.3</v>
      </c>
      <c r="E35">
        <v>5124.57</v>
      </c>
      <c r="F35">
        <v>320.3</v>
      </c>
      <c r="G35">
        <f t="shared" si="6"/>
        <v>112040.94</v>
      </c>
      <c r="H35">
        <v>174.9</v>
      </c>
      <c r="I35">
        <v>87.45</v>
      </c>
      <c r="J35">
        <v>10.9</v>
      </c>
      <c r="K35">
        <v>10</v>
      </c>
      <c r="L35">
        <f t="shared" si="0"/>
        <v>0</v>
      </c>
      <c r="M35">
        <v>95</v>
      </c>
      <c r="N35" t="s">
        <v>124</v>
      </c>
      <c r="O35">
        <f t="shared" si="1"/>
        <v>-90</v>
      </c>
      <c r="P35">
        <f t="shared" si="2"/>
        <v>627.79999999999995</v>
      </c>
      <c r="Q35">
        <f t="shared" si="3"/>
        <v>50224</v>
      </c>
      <c r="R35">
        <f t="shared" si="4"/>
        <v>28000</v>
      </c>
      <c r="T35">
        <v>275</v>
      </c>
      <c r="W35">
        <v>720</v>
      </c>
      <c r="X35">
        <f t="shared" si="5"/>
        <v>7200</v>
      </c>
    </row>
    <row r="36" spans="1:24" x14ac:dyDescent="0.2">
      <c r="A36" s="48">
        <v>23</v>
      </c>
      <c r="B36" t="s">
        <v>123</v>
      </c>
      <c r="D36">
        <v>29.3</v>
      </c>
      <c r="E36">
        <v>2730.4670000000001</v>
      </c>
      <c r="F36">
        <v>353</v>
      </c>
      <c r="G36">
        <f>F36*H36</f>
        <v>32896.07</v>
      </c>
      <c r="H36">
        <v>93.19</v>
      </c>
      <c r="I36">
        <v>46.594999999999999</v>
      </c>
      <c r="J36">
        <v>5.8</v>
      </c>
      <c r="K36">
        <v>5</v>
      </c>
      <c r="L36">
        <f t="shared" si="0"/>
        <v>0</v>
      </c>
      <c r="M36">
        <v>171</v>
      </c>
      <c r="N36" t="s">
        <v>127</v>
      </c>
      <c r="O36">
        <f t="shared" si="1"/>
        <v>0</v>
      </c>
      <c r="P36">
        <f t="shared" si="2"/>
        <v>777.44999999999993</v>
      </c>
      <c r="Q36">
        <f t="shared" si="3"/>
        <v>31097.999999999996</v>
      </c>
      <c r="R36">
        <f t="shared" si="4"/>
        <v>14000</v>
      </c>
      <c r="T36">
        <v>81</v>
      </c>
      <c r="W36">
        <v>720</v>
      </c>
      <c r="X36">
        <f t="shared" si="5"/>
        <v>3600</v>
      </c>
    </row>
    <row r="37" spans="1:24" x14ac:dyDescent="0.2">
      <c r="A37" s="48">
        <v>24</v>
      </c>
      <c r="B37" t="s">
        <v>126</v>
      </c>
      <c r="D37">
        <v>29.3</v>
      </c>
      <c r="E37">
        <v>4148.88</v>
      </c>
      <c r="F37">
        <v>320.3</v>
      </c>
      <c r="G37">
        <f t="shared" si="6"/>
        <v>90708.96</v>
      </c>
      <c r="H37">
        <v>141.6</v>
      </c>
      <c r="I37">
        <v>70.8</v>
      </c>
      <c r="J37">
        <v>8.9</v>
      </c>
      <c r="K37">
        <v>8</v>
      </c>
      <c r="L37">
        <f t="shared" si="0"/>
        <v>0</v>
      </c>
      <c r="M37">
        <v>98</v>
      </c>
      <c r="N37" t="s">
        <v>124</v>
      </c>
      <c r="O37">
        <f t="shared" si="1"/>
        <v>-90</v>
      </c>
      <c r="P37">
        <f t="shared" si="2"/>
        <v>627.79999999999995</v>
      </c>
      <c r="Q37">
        <f t="shared" si="3"/>
        <v>40179.199999999997</v>
      </c>
      <c r="R37">
        <f t="shared" si="4"/>
        <v>22400</v>
      </c>
      <c r="T37">
        <v>278</v>
      </c>
      <c r="W37">
        <v>720</v>
      </c>
      <c r="X37">
        <f t="shared" si="5"/>
        <v>5760</v>
      </c>
    </row>
    <row r="38" spans="1:24" x14ac:dyDescent="0.2">
      <c r="A38" s="48">
        <v>25</v>
      </c>
      <c r="B38" t="s">
        <v>126</v>
      </c>
      <c r="D38">
        <v>29.3</v>
      </c>
      <c r="E38">
        <v>5985.99</v>
      </c>
      <c r="F38">
        <v>320.3</v>
      </c>
      <c r="G38">
        <f t="shared" si="6"/>
        <v>130874.58000000002</v>
      </c>
      <c r="H38">
        <v>204.3</v>
      </c>
      <c r="I38">
        <v>102.15</v>
      </c>
      <c r="J38">
        <v>12.8</v>
      </c>
      <c r="K38">
        <v>12</v>
      </c>
      <c r="L38">
        <f t="shared" si="0"/>
        <v>0</v>
      </c>
      <c r="M38">
        <v>98</v>
      </c>
      <c r="N38" t="s">
        <v>124</v>
      </c>
      <c r="O38">
        <f t="shared" si="1"/>
        <v>-90</v>
      </c>
      <c r="P38">
        <f t="shared" si="2"/>
        <v>627.79999999999995</v>
      </c>
      <c r="Q38">
        <f t="shared" si="3"/>
        <v>60268.799999999996</v>
      </c>
      <c r="R38">
        <f t="shared" si="4"/>
        <v>33600</v>
      </c>
      <c r="T38">
        <v>278</v>
      </c>
      <c r="W38">
        <v>720</v>
      </c>
      <c r="X38">
        <f t="shared" si="5"/>
        <v>8640</v>
      </c>
    </row>
    <row r="39" spans="1:24" x14ac:dyDescent="0.2">
      <c r="A39" s="48">
        <v>26</v>
      </c>
      <c r="B39" t="s">
        <v>126</v>
      </c>
      <c r="D39">
        <v>29.3</v>
      </c>
      <c r="E39">
        <v>5225.9480000000003</v>
      </c>
      <c r="F39">
        <v>320.3</v>
      </c>
      <c r="G39">
        <f t="shared" si="6"/>
        <v>114257.41600000001</v>
      </c>
      <c r="H39">
        <v>178.36</v>
      </c>
      <c r="I39">
        <v>89.18</v>
      </c>
      <c r="J39">
        <v>11.1</v>
      </c>
      <c r="K39">
        <v>11</v>
      </c>
      <c r="L39">
        <f t="shared" si="0"/>
        <v>0</v>
      </c>
      <c r="M39">
        <v>152</v>
      </c>
      <c r="N39" t="s">
        <v>127</v>
      </c>
      <c r="O39">
        <f t="shared" si="1"/>
        <v>0</v>
      </c>
      <c r="P39">
        <f t="shared" si="2"/>
        <v>777.44999999999993</v>
      </c>
      <c r="Q39">
        <f t="shared" si="3"/>
        <v>68415.599999999991</v>
      </c>
      <c r="R39">
        <f t="shared" si="4"/>
        <v>30800</v>
      </c>
      <c r="T39">
        <v>62</v>
      </c>
      <c r="W39">
        <v>720</v>
      </c>
      <c r="X39">
        <f t="shared" si="5"/>
        <v>7920</v>
      </c>
    </row>
    <row r="40" spans="1:24" x14ac:dyDescent="0.2">
      <c r="A40" s="48">
        <v>27</v>
      </c>
      <c r="B40" t="s">
        <v>126</v>
      </c>
      <c r="D40">
        <v>29.3</v>
      </c>
      <c r="E40">
        <v>3712.31</v>
      </c>
      <c r="F40">
        <v>320.3</v>
      </c>
      <c r="G40">
        <f t="shared" si="6"/>
        <v>81164.02</v>
      </c>
      <c r="H40">
        <v>126.7</v>
      </c>
      <c r="I40">
        <v>63.35</v>
      </c>
      <c r="J40">
        <v>7.9</v>
      </c>
      <c r="K40">
        <v>7</v>
      </c>
      <c r="L40">
        <f t="shared" si="0"/>
        <v>0</v>
      </c>
      <c r="M40">
        <v>162</v>
      </c>
      <c r="N40" t="s">
        <v>127</v>
      </c>
      <c r="O40">
        <f t="shared" si="1"/>
        <v>0</v>
      </c>
      <c r="P40">
        <f t="shared" si="2"/>
        <v>777.44999999999993</v>
      </c>
      <c r="Q40">
        <f t="shared" si="3"/>
        <v>43537.2</v>
      </c>
      <c r="R40">
        <f t="shared" si="4"/>
        <v>19600</v>
      </c>
      <c r="T40">
        <v>72</v>
      </c>
      <c r="W40">
        <v>720</v>
      </c>
      <c r="X40">
        <f t="shared" si="5"/>
        <v>5040</v>
      </c>
    </row>
    <row r="41" spans="1:24" x14ac:dyDescent="0.2">
      <c r="A41" s="48">
        <v>28</v>
      </c>
      <c r="B41" t="s">
        <v>126</v>
      </c>
      <c r="D41">
        <v>29.3</v>
      </c>
      <c r="E41">
        <v>5465.6220000000003</v>
      </c>
      <c r="F41">
        <v>320.3</v>
      </c>
      <c r="G41">
        <f t="shared" si="6"/>
        <v>119497.524</v>
      </c>
      <c r="H41">
        <v>186.54</v>
      </c>
      <c r="I41">
        <v>93.27</v>
      </c>
      <c r="J41">
        <v>11.7</v>
      </c>
      <c r="K41">
        <v>11</v>
      </c>
      <c r="L41">
        <f t="shared" si="0"/>
        <v>0</v>
      </c>
      <c r="M41">
        <v>166</v>
      </c>
      <c r="N41" t="s">
        <v>127</v>
      </c>
      <c r="O41">
        <f t="shared" si="1"/>
        <v>0</v>
      </c>
      <c r="P41">
        <f t="shared" si="2"/>
        <v>777.44999999999993</v>
      </c>
      <c r="Q41">
        <f t="shared" si="3"/>
        <v>68415.599999999991</v>
      </c>
      <c r="R41">
        <f t="shared" si="4"/>
        <v>30800</v>
      </c>
      <c r="T41">
        <v>76</v>
      </c>
      <c r="W41">
        <v>720</v>
      </c>
      <c r="X41">
        <f t="shared" si="5"/>
        <v>7920</v>
      </c>
    </row>
    <row r="42" spans="1:24" x14ac:dyDescent="0.2">
      <c r="A42" s="48">
        <v>29</v>
      </c>
      <c r="B42" t="s">
        <v>126</v>
      </c>
      <c r="D42">
        <v>29.3</v>
      </c>
      <c r="E42">
        <v>5349.5940000000001</v>
      </c>
      <c r="F42">
        <v>320.3</v>
      </c>
      <c r="G42">
        <f t="shared" si="6"/>
        <v>116960.74800000001</v>
      </c>
      <c r="H42">
        <v>182.58</v>
      </c>
      <c r="I42">
        <v>91.29</v>
      </c>
      <c r="J42">
        <v>11.4</v>
      </c>
      <c r="K42">
        <v>11</v>
      </c>
      <c r="L42">
        <f t="shared" si="0"/>
        <v>0</v>
      </c>
      <c r="M42">
        <v>171</v>
      </c>
      <c r="N42" t="s">
        <v>127</v>
      </c>
      <c r="O42">
        <f t="shared" si="1"/>
        <v>0</v>
      </c>
      <c r="P42">
        <f t="shared" si="2"/>
        <v>777.44999999999993</v>
      </c>
      <c r="Q42">
        <f t="shared" si="3"/>
        <v>68415.599999999991</v>
      </c>
      <c r="R42">
        <f t="shared" si="4"/>
        <v>30800</v>
      </c>
      <c r="T42">
        <v>81</v>
      </c>
      <c r="W42">
        <v>720</v>
      </c>
      <c r="X42">
        <f t="shared" si="5"/>
        <v>7920</v>
      </c>
    </row>
    <row r="43" spans="1:24" x14ac:dyDescent="0.2">
      <c r="A43" s="48">
        <v>30</v>
      </c>
      <c r="B43" t="s">
        <v>126</v>
      </c>
      <c r="D43">
        <v>29.3</v>
      </c>
      <c r="E43">
        <v>5892.23</v>
      </c>
      <c r="F43">
        <v>320.3</v>
      </c>
      <c r="G43">
        <f t="shared" si="6"/>
        <v>128824.66</v>
      </c>
      <c r="H43">
        <v>201.1</v>
      </c>
      <c r="I43">
        <v>100.55</v>
      </c>
      <c r="J43">
        <v>12.6</v>
      </c>
      <c r="K43">
        <v>12</v>
      </c>
      <c r="L43">
        <f t="shared" si="0"/>
        <v>0</v>
      </c>
      <c r="M43">
        <v>171</v>
      </c>
      <c r="N43" t="s">
        <v>127</v>
      </c>
      <c r="O43">
        <f t="shared" si="1"/>
        <v>0</v>
      </c>
      <c r="P43">
        <f t="shared" si="2"/>
        <v>777.44999999999993</v>
      </c>
      <c r="Q43">
        <f t="shared" si="3"/>
        <v>74635.199999999997</v>
      </c>
      <c r="R43">
        <f t="shared" si="4"/>
        <v>33600</v>
      </c>
      <c r="T43">
        <v>81</v>
      </c>
      <c r="W43">
        <v>720</v>
      </c>
      <c r="X43">
        <f t="shared" si="5"/>
        <v>8640</v>
      </c>
    </row>
    <row r="44" spans="1:24" x14ac:dyDescent="0.2">
      <c r="A44" s="48">
        <v>31</v>
      </c>
      <c r="B44" t="s">
        <v>126</v>
      </c>
      <c r="D44">
        <v>29.3</v>
      </c>
      <c r="E44">
        <v>4471.18</v>
      </c>
      <c r="F44">
        <v>320.3</v>
      </c>
      <c r="G44">
        <f t="shared" si="6"/>
        <v>97755.56</v>
      </c>
      <c r="H44">
        <v>152.6</v>
      </c>
      <c r="I44">
        <v>76.3</v>
      </c>
      <c r="J44">
        <v>9.5</v>
      </c>
      <c r="K44">
        <v>9</v>
      </c>
      <c r="L44">
        <f t="shared" si="0"/>
        <v>0</v>
      </c>
      <c r="M44">
        <v>177</v>
      </c>
      <c r="N44" t="s">
        <v>127</v>
      </c>
      <c r="O44">
        <f t="shared" si="1"/>
        <v>0</v>
      </c>
      <c r="P44">
        <f t="shared" si="2"/>
        <v>777.44999999999993</v>
      </c>
      <c r="Q44">
        <f t="shared" si="3"/>
        <v>55976.399999999994</v>
      </c>
      <c r="R44">
        <f t="shared" si="4"/>
        <v>25200</v>
      </c>
      <c r="T44">
        <v>87</v>
      </c>
      <c r="W44">
        <v>720</v>
      </c>
      <c r="X44">
        <f t="shared" si="5"/>
        <v>6480</v>
      </c>
    </row>
    <row r="45" spans="1:24" x14ac:dyDescent="0.2">
      <c r="A45" s="48" t="s">
        <v>128</v>
      </c>
      <c r="B45" t="s">
        <v>129</v>
      </c>
      <c r="D45">
        <v>29.3</v>
      </c>
      <c r="E45">
        <v>2243.6475</v>
      </c>
      <c r="F45">
        <v>320.3</v>
      </c>
      <c r="G45">
        <f t="shared" si="6"/>
        <v>98107.890000000014</v>
      </c>
      <c r="H45">
        <v>153.15</v>
      </c>
      <c r="I45">
        <v>76.575000000000003</v>
      </c>
      <c r="J45">
        <v>9.6</v>
      </c>
      <c r="K45">
        <v>9</v>
      </c>
      <c r="L45">
        <f t="shared" si="0"/>
        <v>9</v>
      </c>
      <c r="M45">
        <v>163</v>
      </c>
      <c r="N45" t="s">
        <v>124</v>
      </c>
      <c r="O45">
        <f t="shared" si="1"/>
        <v>0</v>
      </c>
      <c r="P45">
        <f t="shared" si="2"/>
        <v>777.44999999999993</v>
      </c>
      <c r="Q45">
        <f t="shared" si="3"/>
        <v>55976.399999999994</v>
      </c>
      <c r="R45">
        <f t="shared" si="4"/>
        <v>25200</v>
      </c>
      <c r="T45">
        <v>343</v>
      </c>
      <c r="W45">
        <v>720</v>
      </c>
      <c r="X45">
        <f t="shared" si="5"/>
        <v>6480</v>
      </c>
    </row>
    <row r="46" spans="1:24" x14ac:dyDescent="0.2">
      <c r="A46" s="48" t="s">
        <v>130</v>
      </c>
      <c r="B46" t="s">
        <v>129</v>
      </c>
      <c r="D46">
        <v>29.3</v>
      </c>
      <c r="E46">
        <v>2243.6475</v>
      </c>
      <c r="F46">
        <v>320.3</v>
      </c>
      <c r="G46">
        <f t="shared" si="6"/>
        <v>98107.890000000014</v>
      </c>
      <c r="H46">
        <v>153.15</v>
      </c>
      <c r="I46">
        <v>76.575000000000003</v>
      </c>
      <c r="J46">
        <v>9.6</v>
      </c>
      <c r="K46">
        <v>9</v>
      </c>
      <c r="L46">
        <f t="shared" si="0"/>
        <v>9</v>
      </c>
      <c r="M46">
        <v>163</v>
      </c>
      <c r="N46" t="s">
        <v>124</v>
      </c>
      <c r="O46">
        <f t="shared" si="1"/>
        <v>0</v>
      </c>
      <c r="P46">
        <f t="shared" si="2"/>
        <v>777.44999999999993</v>
      </c>
      <c r="Q46">
        <f t="shared" si="3"/>
        <v>55976.399999999994</v>
      </c>
      <c r="R46">
        <f t="shared" si="4"/>
        <v>25200</v>
      </c>
      <c r="T46">
        <v>343</v>
      </c>
      <c r="W46">
        <v>720</v>
      </c>
      <c r="X46">
        <f t="shared" si="5"/>
        <v>6480</v>
      </c>
    </row>
    <row r="47" spans="1:24" x14ac:dyDescent="0.2">
      <c r="A47" s="48" t="s">
        <v>131</v>
      </c>
      <c r="B47" t="s">
        <v>129</v>
      </c>
      <c r="D47">
        <v>29.3</v>
      </c>
      <c r="E47">
        <v>2455.7795000000001</v>
      </c>
      <c r="F47">
        <v>320.3</v>
      </c>
      <c r="G47">
        <f t="shared" si="6"/>
        <v>107383.77800000001</v>
      </c>
      <c r="H47">
        <v>167.63</v>
      </c>
      <c r="I47">
        <v>83.814999999999998</v>
      </c>
      <c r="J47">
        <v>10.5</v>
      </c>
      <c r="K47">
        <v>10</v>
      </c>
      <c r="L47">
        <f t="shared" si="0"/>
        <v>10</v>
      </c>
      <c r="M47">
        <v>151</v>
      </c>
      <c r="N47" t="s">
        <v>127</v>
      </c>
      <c r="O47">
        <f t="shared" si="1"/>
        <v>0</v>
      </c>
      <c r="P47">
        <f t="shared" si="2"/>
        <v>777.44999999999993</v>
      </c>
      <c r="Q47">
        <f t="shared" si="3"/>
        <v>62195.999999999993</v>
      </c>
      <c r="R47">
        <f t="shared" si="4"/>
        <v>28000</v>
      </c>
      <c r="T47">
        <v>331</v>
      </c>
      <c r="W47">
        <v>720</v>
      </c>
      <c r="X47">
        <f t="shared" si="5"/>
        <v>7200</v>
      </c>
    </row>
    <row r="48" spans="1:24" x14ac:dyDescent="0.2">
      <c r="A48" s="48" t="s">
        <v>132</v>
      </c>
      <c r="B48" t="s">
        <v>129</v>
      </c>
      <c r="D48">
        <v>29.3</v>
      </c>
      <c r="E48">
        <v>2455.7795000000001</v>
      </c>
      <c r="F48">
        <v>320.3</v>
      </c>
      <c r="G48">
        <f t="shared" si="6"/>
        <v>107383.77800000001</v>
      </c>
      <c r="H48">
        <v>167.63</v>
      </c>
      <c r="I48">
        <v>83.814999999999998</v>
      </c>
      <c r="J48">
        <v>10.5</v>
      </c>
      <c r="K48">
        <v>10</v>
      </c>
      <c r="L48">
        <f t="shared" si="0"/>
        <v>10</v>
      </c>
      <c r="M48">
        <v>151</v>
      </c>
      <c r="N48" t="s">
        <v>127</v>
      </c>
      <c r="O48">
        <f t="shared" si="1"/>
        <v>0</v>
      </c>
      <c r="P48">
        <f t="shared" si="2"/>
        <v>777.44999999999993</v>
      </c>
      <c r="Q48">
        <f t="shared" si="3"/>
        <v>62195.999999999993</v>
      </c>
      <c r="R48">
        <f t="shared" si="4"/>
        <v>28000</v>
      </c>
      <c r="T48">
        <v>331</v>
      </c>
      <c r="W48">
        <v>720</v>
      </c>
      <c r="X48">
        <f t="shared" si="5"/>
        <v>7200</v>
      </c>
    </row>
    <row r="49" spans="1:24" x14ac:dyDescent="0.2">
      <c r="A49" s="48">
        <v>34</v>
      </c>
      <c r="B49" t="s">
        <v>126</v>
      </c>
      <c r="D49">
        <v>29.3</v>
      </c>
      <c r="E49">
        <v>4317.6480000000001</v>
      </c>
      <c r="F49">
        <v>320.3</v>
      </c>
      <c r="G49">
        <f t="shared" si="6"/>
        <v>94398.816000000006</v>
      </c>
      <c r="H49">
        <v>147.36000000000001</v>
      </c>
      <c r="I49">
        <v>73.680000000000007</v>
      </c>
      <c r="J49">
        <v>9.1999999999999993</v>
      </c>
      <c r="K49">
        <v>9</v>
      </c>
      <c r="L49">
        <f t="shared" si="0"/>
        <v>0</v>
      </c>
      <c r="M49">
        <v>161</v>
      </c>
      <c r="N49" t="s">
        <v>127</v>
      </c>
      <c r="O49">
        <f t="shared" si="1"/>
        <v>0</v>
      </c>
      <c r="P49">
        <f t="shared" si="2"/>
        <v>777.44999999999993</v>
      </c>
      <c r="Q49">
        <f t="shared" si="3"/>
        <v>55976.399999999994</v>
      </c>
      <c r="R49">
        <f t="shared" si="4"/>
        <v>25200</v>
      </c>
      <c r="T49">
        <v>341</v>
      </c>
      <c r="W49">
        <v>720</v>
      </c>
      <c r="X49">
        <f t="shared" si="5"/>
        <v>6480</v>
      </c>
    </row>
    <row r="50" spans="1:24" x14ac:dyDescent="0.2">
      <c r="A50" s="48">
        <v>35</v>
      </c>
      <c r="B50" t="s">
        <v>126</v>
      </c>
      <c r="D50">
        <v>29.3</v>
      </c>
      <c r="E50">
        <v>4054.5340000000001</v>
      </c>
      <c r="F50">
        <v>320.3</v>
      </c>
      <c r="G50">
        <f t="shared" si="6"/>
        <v>88646.228000000003</v>
      </c>
      <c r="H50">
        <v>138.38</v>
      </c>
      <c r="I50">
        <v>69.19</v>
      </c>
      <c r="J50">
        <v>8.6</v>
      </c>
      <c r="K50">
        <v>8</v>
      </c>
      <c r="L50">
        <f t="shared" si="0"/>
        <v>0</v>
      </c>
      <c r="M50">
        <v>178</v>
      </c>
      <c r="N50" t="s">
        <v>124</v>
      </c>
      <c r="O50">
        <f t="shared" si="1"/>
        <v>0</v>
      </c>
      <c r="P50">
        <f t="shared" si="2"/>
        <v>777.44999999999993</v>
      </c>
      <c r="Q50">
        <f t="shared" si="3"/>
        <v>49756.799999999996</v>
      </c>
      <c r="R50">
        <f t="shared" si="4"/>
        <v>22400</v>
      </c>
      <c r="T50">
        <v>358</v>
      </c>
      <c r="W50">
        <v>720</v>
      </c>
      <c r="X50">
        <f t="shared" si="5"/>
        <v>5760</v>
      </c>
    </row>
    <row r="51" spans="1:24" x14ac:dyDescent="0.2">
      <c r="A51" s="48">
        <v>36</v>
      </c>
      <c r="B51" t="s">
        <v>126</v>
      </c>
      <c r="D51">
        <v>29.3</v>
      </c>
      <c r="E51">
        <v>4171.7340000000004</v>
      </c>
      <c r="F51">
        <v>320.3</v>
      </c>
      <c r="G51">
        <f t="shared" si="6"/>
        <v>91208.627999999997</v>
      </c>
      <c r="H51">
        <v>142.38</v>
      </c>
      <c r="I51">
        <v>71.19</v>
      </c>
      <c r="J51">
        <v>8.9</v>
      </c>
      <c r="K51">
        <v>8</v>
      </c>
      <c r="L51">
        <f t="shared" si="0"/>
        <v>0</v>
      </c>
      <c r="M51">
        <v>178</v>
      </c>
      <c r="N51" t="s">
        <v>127</v>
      </c>
      <c r="O51">
        <f t="shared" si="1"/>
        <v>0</v>
      </c>
      <c r="P51">
        <f t="shared" si="2"/>
        <v>777.44999999999993</v>
      </c>
      <c r="Q51">
        <f t="shared" si="3"/>
        <v>49756.799999999996</v>
      </c>
      <c r="R51">
        <f t="shared" si="4"/>
        <v>22400</v>
      </c>
      <c r="T51">
        <v>88</v>
      </c>
      <c r="W51">
        <v>720</v>
      </c>
      <c r="X51">
        <f t="shared" si="5"/>
        <v>5760</v>
      </c>
    </row>
    <row r="52" spans="1:24" x14ac:dyDescent="0.2">
      <c r="A52" s="48">
        <v>37</v>
      </c>
      <c r="B52" t="s">
        <v>126</v>
      </c>
      <c r="D52">
        <v>29.3</v>
      </c>
      <c r="E52">
        <v>4277.2139999999999</v>
      </c>
      <c r="F52">
        <v>320.3</v>
      </c>
      <c r="G52">
        <f t="shared" si="6"/>
        <v>93514.788</v>
      </c>
      <c r="H52">
        <v>145.97999999999999</v>
      </c>
      <c r="I52">
        <v>72.989999999999995</v>
      </c>
      <c r="J52">
        <v>9.1</v>
      </c>
      <c r="K52">
        <v>9</v>
      </c>
      <c r="L52">
        <f t="shared" si="0"/>
        <v>0</v>
      </c>
      <c r="M52">
        <v>170</v>
      </c>
      <c r="N52" t="s">
        <v>127</v>
      </c>
      <c r="O52">
        <f t="shared" si="1"/>
        <v>0</v>
      </c>
      <c r="P52">
        <f t="shared" si="2"/>
        <v>777.44999999999993</v>
      </c>
      <c r="Q52">
        <f t="shared" si="3"/>
        <v>55976.399999999994</v>
      </c>
      <c r="R52">
        <f t="shared" si="4"/>
        <v>25200</v>
      </c>
      <c r="T52">
        <v>80</v>
      </c>
      <c r="W52">
        <v>720</v>
      </c>
      <c r="X52">
        <f t="shared" si="5"/>
        <v>6480</v>
      </c>
    </row>
    <row r="53" spans="1:24" x14ac:dyDescent="0.2">
      <c r="A53" s="48">
        <v>38</v>
      </c>
      <c r="B53" t="s">
        <v>126</v>
      </c>
      <c r="D53">
        <v>29.3</v>
      </c>
      <c r="E53">
        <v>4526.2640000000001</v>
      </c>
      <c r="F53">
        <v>320.3</v>
      </c>
      <c r="G53">
        <f t="shared" si="6"/>
        <v>98959.887999999992</v>
      </c>
      <c r="H53">
        <v>154.47999999999999</v>
      </c>
      <c r="I53">
        <v>77.239999999999995</v>
      </c>
      <c r="J53">
        <v>9.6999999999999993</v>
      </c>
      <c r="K53">
        <v>9</v>
      </c>
      <c r="L53">
        <f t="shared" si="0"/>
        <v>0</v>
      </c>
      <c r="M53">
        <v>143</v>
      </c>
      <c r="N53" t="s">
        <v>127</v>
      </c>
      <c r="O53">
        <f t="shared" si="1"/>
        <v>-90</v>
      </c>
      <c r="P53">
        <f t="shared" si="2"/>
        <v>627.79999999999995</v>
      </c>
      <c r="Q53">
        <f t="shared" si="3"/>
        <v>45201.599999999999</v>
      </c>
      <c r="R53">
        <f t="shared" si="4"/>
        <v>25200</v>
      </c>
      <c r="T53">
        <v>53</v>
      </c>
      <c r="W53">
        <v>720</v>
      </c>
      <c r="X53">
        <f t="shared" si="5"/>
        <v>6480</v>
      </c>
    </row>
    <row r="54" spans="1:24" x14ac:dyDescent="0.2">
      <c r="A54" s="48">
        <v>39</v>
      </c>
      <c r="B54" t="s">
        <v>123</v>
      </c>
      <c r="D54">
        <v>29.3</v>
      </c>
      <c r="E54">
        <v>2711.422</v>
      </c>
      <c r="F54">
        <v>353</v>
      </c>
      <c r="G54">
        <f>F54*H54</f>
        <v>32666.620000000003</v>
      </c>
      <c r="H54">
        <v>92.54</v>
      </c>
      <c r="I54">
        <v>46.27</v>
      </c>
      <c r="J54">
        <v>5.8</v>
      </c>
      <c r="K54">
        <v>5</v>
      </c>
      <c r="L54">
        <f t="shared" si="0"/>
        <v>0</v>
      </c>
      <c r="M54">
        <v>120</v>
      </c>
      <c r="N54" t="s">
        <v>127</v>
      </c>
      <c r="O54">
        <f t="shared" si="1"/>
        <v>-90</v>
      </c>
      <c r="P54">
        <f t="shared" si="2"/>
        <v>627.79999999999995</v>
      </c>
      <c r="Q54">
        <f t="shared" si="3"/>
        <v>25112</v>
      </c>
      <c r="R54">
        <f t="shared" si="4"/>
        <v>14000</v>
      </c>
      <c r="T54">
        <v>30</v>
      </c>
      <c r="W54">
        <v>720</v>
      </c>
      <c r="X54">
        <f t="shared" si="5"/>
        <v>3600</v>
      </c>
    </row>
    <row r="55" spans="1:24" x14ac:dyDescent="0.2">
      <c r="A55" s="48">
        <v>40</v>
      </c>
      <c r="B55" t="s">
        <v>123</v>
      </c>
      <c r="D55">
        <v>29.3</v>
      </c>
      <c r="E55">
        <v>2179.92</v>
      </c>
      <c r="F55">
        <v>353</v>
      </c>
      <c r="G55">
        <f>F55*H55</f>
        <v>26263.200000000001</v>
      </c>
      <c r="H55">
        <v>74.400000000000006</v>
      </c>
      <c r="I55">
        <v>37.200000000000003</v>
      </c>
      <c r="J55">
        <v>4.7</v>
      </c>
      <c r="K55">
        <v>4</v>
      </c>
      <c r="L55">
        <f t="shared" si="0"/>
        <v>4</v>
      </c>
      <c r="M55">
        <v>86</v>
      </c>
      <c r="N55" t="s">
        <v>127</v>
      </c>
      <c r="O55" t="str">
        <f t="shared" si="1"/>
        <v xml:space="preserve"> </v>
      </c>
      <c r="P55" t="str">
        <f t="shared" si="2"/>
        <v xml:space="preserve"> </v>
      </c>
      <c r="Q55" t="str">
        <f t="shared" si="3"/>
        <v xml:space="preserve"> </v>
      </c>
      <c r="R55">
        <f t="shared" si="4"/>
        <v>11200</v>
      </c>
      <c r="T55">
        <v>4</v>
      </c>
      <c r="W55">
        <v>720</v>
      </c>
      <c r="X55">
        <f t="shared" si="5"/>
        <v>2880</v>
      </c>
    </row>
    <row r="56" spans="1:24" x14ac:dyDescent="0.2">
      <c r="A56" s="48">
        <v>41</v>
      </c>
      <c r="B56" t="s">
        <v>126</v>
      </c>
      <c r="D56">
        <v>29.3</v>
      </c>
      <c r="E56">
        <v>5194.3040000000001</v>
      </c>
      <c r="F56">
        <v>320.3</v>
      </c>
      <c r="G56">
        <f>F56*H56*2</f>
        <v>113565.568</v>
      </c>
      <c r="H56">
        <v>177.28</v>
      </c>
      <c r="I56">
        <v>88.64</v>
      </c>
      <c r="J56">
        <v>11.1</v>
      </c>
      <c r="K56">
        <v>11</v>
      </c>
      <c r="L56">
        <f t="shared" si="0"/>
        <v>0</v>
      </c>
      <c r="M56">
        <v>86</v>
      </c>
      <c r="N56" t="s">
        <v>127</v>
      </c>
      <c r="O56" t="str">
        <f t="shared" si="1"/>
        <v xml:space="preserve"> </v>
      </c>
      <c r="P56" t="str">
        <f t="shared" si="2"/>
        <v xml:space="preserve"> </v>
      </c>
      <c r="Q56" t="str">
        <f t="shared" si="3"/>
        <v xml:space="preserve"> </v>
      </c>
      <c r="R56">
        <f t="shared" si="4"/>
        <v>30800</v>
      </c>
      <c r="T56">
        <v>4</v>
      </c>
      <c r="W56">
        <v>720</v>
      </c>
      <c r="X56">
        <f t="shared" si="5"/>
        <v>7920</v>
      </c>
    </row>
    <row r="57" spans="1:24" x14ac:dyDescent="0.2">
      <c r="A57" s="48">
        <v>42</v>
      </c>
      <c r="B57" t="s">
        <v>126</v>
      </c>
      <c r="D57">
        <v>29.3</v>
      </c>
      <c r="E57">
        <v>4842.1180000000004</v>
      </c>
      <c r="F57">
        <v>320.3</v>
      </c>
      <c r="G57">
        <f t="shared" si="6"/>
        <v>105865.556</v>
      </c>
      <c r="H57">
        <v>165.26</v>
      </c>
      <c r="I57">
        <v>82.63</v>
      </c>
      <c r="J57">
        <v>10.3</v>
      </c>
      <c r="K57">
        <v>10</v>
      </c>
      <c r="L57">
        <f t="shared" si="0"/>
        <v>0</v>
      </c>
      <c r="M57">
        <v>90</v>
      </c>
      <c r="N57" t="s">
        <v>127</v>
      </c>
      <c r="O57">
        <f t="shared" si="1"/>
        <v>-90</v>
      </c>
      <c r="P57">
        <f t="shared" si="2"/>
        <v>627.79999999999995</v>
      </c>
      <c r="Q57">
        <f t="shared" si="3"/>
        <v>50224</v>
      </c>
      <c r="R57">
        <f t="shared" si="4"/>
        <v>28000</v>
      </c>
      <c r="T57">
        <v>0</v>
      </c>
      <c r="W57">
        <v>720</v>
      </c>
      <c r="X57">
        <f t="shared" si="5"/>
        <v>7200</v>
      </c>
    </row>
    <row r="58" spans="1:24" x14ac:dyDescent="0.2">
      <c r="A58" s="48">
        <v>43</v>
      </c>
      <c r="B58" t="s">
        <v>126</v>
      </c>
      <c r="D58">
        <v>29.3</v>
      </c>
      <c r="E58">
        <v>3524.79</v>
      </c>
      <c r="F58">
        <v>320.3</v>
      </c>
      <c r="G58">
        <f t="shared" si="6"/>
        <v>77064.180000000008</v>
      </c>
      <c r="H58">
        <v>120.3</v>
      </c>
      <c r="I58">
        <v>60.15</v>
      </c>
      <c r="J58">
        <v>7.5</v>
      </c>
      <c r="K58">
        <v>7</v>
      </c>
      <c r="L58">
        <f t="shared" si="0"/>
        <v>0</v>
      </c>
      <c r="M58">
        <v>111</v>
      </c>
      <c r="N58" t="s">
        <v>127</v>
      </c>
      <c r="O58">
        <f t="shared" si="1"/>
        <v>-90</v>
      </c>
      <c r="P58">
        <f t="shared" si="2"/>
        <v>627.79999999999995</v>
      </c>
      <c r="Q58">
        <f t="shared" si="3"/>
        <v>35156.799999999996</v>
      </c>
      <c r="R58">
        <f t="shared" si="4"/>
        <v>19600</v>
      </c>
      <c r="T58">
        <v>21</v>
      </c>
      <c r="W58">
        <v>720</v>
      </c>
      <c r="X58">
        <f t="shared" si="5"/>
        <v>5040</v>
      </c>
    </row>
    <row r="59" spans="1:24" x14ac:dyDescent="0.2">
      <c r="A59" s="48">
        <v>44</v>
      </c>
      <c r="B59" t="s">
        <v>126</v>
      </c>
      <c r="D59">
        <v>29.3</v>
      </c>
      <c r="E59">
        <v>3564.6379999999999</v>
      </c>
      <c r="F59">
        <v>320.3</v>
      </c>
      <c r="G59">
        <f t="shared" si="6"/>
        <v>77935.395999999993</v>
      </c>
      <c r="H59">
        <v>121.66</v>
      </c>
      <c r="I59">
        <v>60.83</v>
      </c>
      <c r="J59">
        <v>7.6</v>
      </c>
      <c r="K59">
        <v>7</v>
      </c>
      <c r="L59">
        <f t="shared" si="0"/>
        <v>0</v>
      </c>
      <c r="M59">
        <v>110</v>
      </c>
      <c r="N59" t="s">
        <v>127</v>
      </c>
      <c r="O59">
        <f t="shared" si="1"/>
        <v>-90</v>
      </c>
      <c r="P59">
        <f t="shared" si="2"/>
        <v>627.79999999999995</v>
      </c>
      <c r="Q59">
        <f t="shared" si="3"/>
        <v>35156.799999999996</v>
      </c>
      <c r="R59">
        <f t="shared" si="4"/>
        <v>19600</v>
      </c>
      <c r="T59">
        <v>20</v>
      </c>
      <c r="W59">
        <v>720</v>
      </c>
      <c r="X59">
        <f t="shared" si="5"/>
        <v>5040</v>
      </c>
    </row>
    <row r="60" spans="1:24" x14ac:dyDescent="0.2">
      <c r="A60" s="48">
        <v>45</v>
      </c>
      <c r="B60" t="s">
        <v>126</v>
      </c>
      <c r="D60">
        <v>29.3</v>
      </c>
      <c r="E60">
        <v>4798.1679999999997</v>
      </c>
      <c r="F60">
        <v>320.3</v>
      </c>
      <c r="G60">
        <f t="shared" si="6"/>
        <v>104904.656</v>
      </c>
      <c r="H60">
        <v>163.76</v>
      </c>
      <c r="I60">
        <v>81.88</v>
      </c>
      <c r="J60">
        <v>10.199999999999999</v>
      </c>
      <c r="K60">
        <v>10</v>
      </c>
      <c r="L60">
        <f t="shared" si="0"/>
        <v>0</v>
      </c>
      <c r="M60">
        <v>107</v>
      </c>
      <c r="N60" t="s">
        <v>127</v>
      </c>
      <c r="O60">
        <f t="shared" si="1"/>
        <v>-90</v>
      </c>
      <c r="P60">
        <f t="shared" si="2"/>
        <v>627.79999999999995</v>
      </c>
      <c r="Q60">
        <f t="shared" si="3"/>
        <v>50224</v>
      </c>
      <c r="R60">
        <f t="shared" si="4"/>
        <v>28000</v>
      </c>
      <c r="T60">
        <v>17</v>
      </c>
      <c r="W60">
        <v>720</v>
      </c>
      <c r="X60">
        <f t="shared" si="5"/>
        <v>7200</v>
      </c>
    </row>
    <row r="61" spans="1:24" x14ac:dyDescent="0.2">
      <c r="A61" s="48">
        <v>46</v>
      </c>
      <c r="B61" t="s">
        <v>126</v>
      </c>
      <c r="D61">
        <v>29.3</v>
      </c>
      <c r="E61">
        <v>3652.538</v>
      </c>
      <c r="F61">
        <v>320.3</v>
      </c>
      <c r="G61">
        <f t="shared" si="6"/>
        <v>79857.195999999996</v>
      </c>
      <c r="H61">
        <v>124.66</v>
      </c>
      <c r="I61">
        <v>62.33</v>
      </c>
      <c r="J61">
        <v>7.8</v>
      </c>
      <c r="K61">
        <v>7</v>
      </c>
      <c r="L61">
        <f t="shared" si="0"/>
        <v>0</v>
      </c>
      <c r="M61">
        <v>110</v>
      </c>
      <c r="N61" t="s">
        <v>124</v>
      </c>
      <c r="O61">
        <f t="shared" si="1"/>
        <v>-90</v>
      </c>
      <c r="P61">
        <f t="shared" si="2"/>
        <v>627.79999999999995</v>
      </c>
      <c r="Q61">
        <f t="shared" si="3"/>
        <v>35156.799999999996</v>
      </c>
      <c r="R61">
        <f t="shared" si="4"/>
        <v>19600</v>
      </c>
      <c r="T61">
        <v>290</v>
      </c>
      <c r="W61">
        <v>720</v>
      </c>
      <c r="X61">
        <f t="shared" si="5"/>
        <v>5040</v>
      </c>
    </row>
    <row r="62" spans="1:24" x14ac:dyDescent="0.2">
      <c r="A62" s="48">
        <v>47</v>
      </c>
      <c r="B62" t="s">
        <v>126</v>
      </c>
      <c r="D62">
        <v>29.3</v>
      </c>
      <c r="E62">
        <v>3775.0120000000002</v>
      </c>
      <c r="F62">
        <v>320.3</v>
      </c>
      <c r="G62">
        <f t="shared" si="6"/>
        <v>82534.90400000001</v>
      </c>
      <c r="H62">
        <v>128.84</v>
      </c>
      <c r="I62">
        <v>64.42</v>
      </c>
      <c r="J62">
        <v>8.1</v>
      </c>
      <c r="K62">
        <v>8</v>
      </c>
      <c r="L62">
        <f t="shared" si="0"/>
        <v>0</v>
      </c>
      <c r="M62">
        <v>113</v>
      </c>
      <c r="N62" t="s">
        <v>124</v>
      </c>
      <c r="O62">
        <f t="shared" si="1"/>
        <v>-90</v>
      </c>
      <c r="P62">
        <f t="shared" si="2"/>
        <v>627.79999999999995</v>
      </c>
      <c r="Q62">
        <f t="shared" si="3"/>
        <v>40179.199999999997</v>
      </c>
      <c r="R62">
        <f t="shared" si="4"/>
        <v>22400</v>
      </c>
      <c r="T62">
        <v>293</v>
      </c>
      <c r="W62">
        <v>720</v>
      </c>
      <c r="X62">
        <f t="shared" si="5"/>
        <v>5760</v>
      </c>
    </row>
    <row r="63" spans="1:24" x14ac:dyDescent="0.2">
      <c r="A63" s="48">
        <v>48</v>
      </c>
      <c r="B63" t="s">
        <v>123</v>
      </c>
      <c r="D63">
        <v>29.3</v>
      </c>
      <c r="E63">
        <v>4222.4229999999998</v>
      </c>
      <c r="F63">
        <v>353</v>
      </c>
      <c r="G63">
        <f>F63*H63</f>
        <v>50870.83</v>
      </c>
      <c r="H63">
        <v>144.11000000000001</v>
      </c>
      <c r="I63">
        <v>72.055000000000007</v>
      </c>
      <c r="J63">
        <v>9</v>
      </c>
      <c r="K63">
        <v>9</v>
      </c>
      <c r="L63">
        <f t="shared" si="0"/>
        <v>0</v>
      </c>
      <c r="M63">
        <v>161</v>
      </c>
      <c r="N63" t="s">
        <v>127</v>
      </c>
      <c r="O63">
        <f t="shared" si="1"/>
        <v>0</v>
      </c>
      <c r="P63">
        <f t="shared" si="2"/>
        <v>777.44999999999993</v>
      </c>
      <c r="Q63">
        <f t="shared" si="3"/>
        <v>55976.399999999994</v>
      </c>
      <c r="R63">
        <f t="shared" si="4"/>
        <v>25200</v>
      </c>
      <c r="T63">
        <v>71</v>
      </c>
      <c r="W63">
        <v>720</v>
      </c>
      <c r="X63">
        <f t="shared" si="5"/>
        <v>6480</v>
      </c>
    </row>
    <row r="64" spans="1:24" x14ac:dyDescent="0.2">
      <c r="E64">
        <v>191717.66450000001</v>
      </c>
      <c r="G64">
        <f>SUM(G6:G14)</f>
        <v>32288.91</v>
      </c>
      <c r="L64">
        <f>SUM(L14:L63)</f>
        <v>58</v>
      </c>
      <c r="X64">
        <f>SUM(X14:X63)</f>
        <v>290160</v>
      </c>
    </row>
    <row r="65" spans="2:19" x14ac:dyDescent="0.2">
      <c r="E65">
        <f>MIN(E14:E63)</f>
        <v>2085.8670000000002</v>
      </c>
      <c r="Q65" s="23">
        <f>SUM(Q14:Q63)</f>
        <v>2189328.4</v>
      </c>
      <c r="R65" s="64">
        <f>SUM(R14:R63)</f>
        <v>1128400</v>
      </c>
    </row>
    <row r="66" spans="2:19" x14ac:dyDescent="0.2">
      <c r="E66">
        <f>MAX(E14:E63)</f>
        <v>5985.99</v>
      </c>
    </row>
    <row r="67" spans="2:19" x14ac:dyDescent="0.2">
      <c r="B67" s="33" t="s">
        <v>163</v>
      </c>
      <c r="Q67" s="17" t="s">
        <v>193</v>
      </c>
      <c r="R67">
        <f>R65*I80*((1+I80)^(G79*I79))/(((1+I80)^(G79*I79))-1)</f>
        <v>8084.2080638677398</v>
      </c>
      <c r="S67">
        <f>R67*12</f>
        <v>97010.496766412878</v>
      </c>
    </row>
    <row r="69" spans="2:19" x14ac:dyDescent="0.2">
      <c r="G69" t="s">
        <v>158</v>
      </c>
      <c r="H69" t="s">
        <v>161</v>
      </c>
      <c r="P69" s="17"/>
      <c r="Q69" s="17" t="s">
        <v>194</v>
      </c>
      <c r="R69">
        <f>R67*12</f>
        <v>97010.496766412878</v>
      </c>
    </row>
    <row r="70" spans="2:19" ht="13.5" thickBot="1" x14ac:dyDescent="0.25">
      <c r="E70" s="49" t="s">
        <v>156</v>
      </c>
      <c r="F70" s="49">
        <v>-90</v>
      </c>
      <c r="G70" s="49">
        <v>1.72</v>
      </c>
      <c r="H70" s="49">
        <f>G70*365</f>
        <v>627.79999999999995</v>
      </c>
      <c r="I70" s="63"/>
    </row>
    <row r="71" spans="2:19" ht="13.5" thickBot="1" x14ac:dyDescent="0.25">
      <c r="E71" s="49" t="s">
        <v>155</v>
      </c>
      <c r="F71" s="49">
        <v>0</v>
      </c>
      <c r="G71" s="49">
        <v>2.13</v>
      </c>
      <c r="H71" s="49">
        <f>G71*365</f>
        <v>777.44999999999993</v>
      </c>
      <c r="I71" s="63"/>
      <c r="Q71" s="17" t="s">
        <v>195</v>
      </c>
      <c r="S71">
        <f>X64*0.21+X64*0.5*0.03+X64*0.5*0.12</f>
        <v>82695.600000000006</v>
      </c>
    </row>
    <row r="72" spans="2:19" ht="13.5" thickBot="1" x14ac:dyDescent="0.25">
      <c r="E72" s="49" t="s">
        <v>157</v>
      </c>
      <c r="F72" s="49">
        <v>90</v>
      </c>
      <c r="G72" s="49">
        <v>1.72</v>
      </c>
      <c r="H72" s="49">
        <f>G72*365</f>
        <v>627.79999999999995</v>
      </c>
      <c r="I72" s="63"/>
    </row>
    <row r="73" spans="2:19" x14ac:dyDescent="0.2">
      <c r="Q73" s="17" t="s">
        <v>196</v>
      </c>
      <c r="S73">
        <f>X64*0.4*0.12</f>
        <v>13927.68</v>
      </c>
    </row>
    <row r="74" spans="2:19" x14ac:dyDescent="0.2">
      <c r="Q74" s="17" t="s">
        <v>197</v>
      </c>
      <c r="S74">
        <f>X64*0.21+X64*0.6*0.03</f>
        <v>66156.479999999996</v>
      </c>
    </row>
    <row r="75" spans="2:19" ht="13.5" thickBot="1" x14ac:dyDescent="0.25">
      <c r="F75" s="49" t="s">
        <v>164</v>
      </c>
      <c r="G75" s="50">
        <f>G134</f>
        <v>0</v>
      </c>
    </row>
    <row r="76" spans="2:19" x14ac:dyDescent="0.2">
      <c r="F76" s="17" t="s">
        <v>186</v>
      </c>
      <c r="G76" s="17">
        <v>2800</v>
      </c>
    </row>
    <row r="77" spans="2:19" x14ac:dyDescent="0.2">
      <c r="F77" s="17" t="s">
        <v>187</v>
      </c>
      <c r="G77">
        <v>2</v>
      </c>
    </row>
    <row r="78" spans="2:19" x14ac:dyDescent="0.2">
      <c r="F78" s="17" t="s">
        <v>188</v>
      </c>
      <c r="G78">
        <v>50</v>
      </c>
      <c r="H78" s="17"/>
      <c r="J78" s="17"/>
    </row>
    <row r="79" spans="2:19" x14ac:dyDescent="0.2">
      <c r="F79" s="29" t="s">
        <v>170</v>
      </c>
      <c r="G79" s="38">
        <v>20</v>
      </c>
      <c r="H79" s="17" t="s">
        <v>189</v>
      </c>
      <c r="I79">
        <v>12</v>
      </c>
      <c r="J79" s="17" t="s">
        <v>190</v>
      </c>
    </row>
    <row r="80" spans="2:19" x14ac:dyDescent="0.2">
      <c r="F80" s="29" t="s">
        <v>171</v>
      </c>
      <c r="G80" s="54">
        <v>0.06</v>
      </c>
      <c r="H80" s="17" t="s">
        <v>191</v>
      </c>
      <c r="I80">
        <f>G80/I79</f>
        <v>5.0000000000000001E-3</v>
      </c>
      <c r="J80" s="17" t="s">
        <v>192</v>
      </c>
    </row>
  </sheetData>
  <hyperlinks>
    <hyperlink ref="L1" r:id="rId1"/>
    <hyperlink ref="B67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AL72"/>
  <sheetViews>
    <sheetView tabSelected="1" topLeftCell="J10" zoomScale="85" zoomScaleNormal="85" workbookViewId="0">
      <selection activeCell="P23" sqref="P23"/>
    </sheetView>
  </sheetViews>
  <sheetFormatPr defaultColWidth="18.625" defaultRowHeight="12.75" x14ac:dyDescent="0.2"/>
  <cols>
    <col min="1" max="1" width="19.25" style="66" bestFit="1" customWidth="1"/>
    <col min="2" max="5" width="18.625" style="66"/>
    <col min="6" max="7" width="18.625" style="66" customWidth="1"/>
    <col min="8" max="9" width="18.625" style="83" customWidth="1"/>
    <col min="10" max="10" width="14.25" style="83" bestFit="1" customWidth="1"/>
    <col min="11" max="12" width="18.625" style="83" customWidth="1"/>
    <col min="13" max="15" width="18.625" style="73" customWidth="1"/>
    <col min="16" max="16" width="18.625" style="73"/>
    <col min="17" max="18" width="0" style="73" hidden="1" customWidth="1"/>
    <col min="19" max="22" width="18.625" style="69"/>
    <col min="23" max="23" width="12.875" style="78" bestFit="1" customWidth="1"/>
    <col min="24" max="24" width="12" style="78" customWidth="1"/>
    <col min="25" max="25" width="5.75" style="78" bestFit="1" customWidth="1"/>
    <col min="26" max="26" width="12.875" style="78" bestFit="1" customWidth="1"/>
    <col min="27" max="27" width="11.5" style="78" bestFit="1" customWidth="1"/>
    <col min="28" max="28" width="9.375" style="78" bestFit="1" customWidth="1"/>
    <col min="29" max="29" width="9.375" style="78" customWidth="1"/>
    <col min="30" max="34" width="18.625" style="78"/>
    <col min="35" max="36" width="21.375" style="78" customWidth="1"/>
    <col min="37" max="16384" width="18.625" style="66"/>
  </cols>
  <sheetData>
    <row r="1" spans="1:5" s="71" customFormat="1" x14ac:dyDescent="0.2"/>
    <row r="2" spans="1:5" s="71" customFormat="1" x14ac:dyDescent="0.2"/>
    <row r="3" spans="1:5" s="71" customFormat="1" x14ac:dyDescent="0.2"/>
    <row r="4" spans="1:5" s="71" customFormat="1" x14ac:dyDescent="0.2">
      <c r="E4" s="87"/>
    </row>
    <row r="5" spans="1:5" s="71" customFormat="1" x14ac:dyDescent="0.2"/>
    <row r="6" spans="1:5" s="71" customFormat="1" x14ac:dyDescent="0.2">
      <c r="A6" s="87" t="s">
        <v>250</v>
      </c>
      <c r="B6" s="87" t="s">
        <v>251</v>
      </c>
      <c r="C6" s="87" t="s">
        <v>253</v>
      </c>
      <c r="D6" s="87" t="s">
        <v>252</v>
      </c>
    </row>
    <row r="7" spans="1:5" s="71" customFormat="1" x14ac:dyDescent="0.2">
      <c r="A7" s="87" t="s">
        <v>254</v>
      </c>
      <c r="B7" s="71">
        <v>0.21</v>
      </c>
      <c r="C7" s="71">
        <v>0.12</v>
      </c>
      <c r="D7" s="71">
        <v>3.2000000000000001E-2</v>
      </c>
    </row>
    <row r="8" spans="1:5" s="71" customFormat="1" x14ac:dyDescent="0.2">
      <c r="A8" s="87" t="s">
        <v>255</v>
      </c>
      <c r="B8" s="71">
        <v>0.16800000000000001</v>
      </c>
      <c r="C8" s="71">
        <v>0.12</v>
      </c>
      <c r="D8" s="71">
        <v>3.2000000000000001E-2</v>
      </c>
    </row>
    <row r="9" spans="1:5" s="71" customFormat="1" x14ac:dyDescent="0.2">
      <c r="A9" s="87" t="s">
        <v>256</v>
      </c>
      <c r="B9" s="71">
        <v>0.152</v>
      </c>
      <c r="C9" s="71">
        <v>0.12</v>
      </c>
      <c r="D9" s="71">
        <v>3.2000000000000001E-2</v>
      </c>
    </row>
    <row r="10" spans="1:5" s="71" customFormat="1" x14ac:dyDescent="0.2"/>
    <row r="11" spans="1:5" s="71" customFormat="1" ht="25.5" x14ac:dyDescent="0.2">
      <c r="A11" s="71" t="s">
        <v>263</v>
      </c>
      <c r="B11" s="71">
        <v>5500</v>
      </c>
    </row>
    <row r="12" spans="1:5" s="71" customFormat="1" ht="25.5" x14ac:dyDescent="0.2">
      <c r="A12" s="71" t="s">
        <v>258</v>
      </c>
    </row>
    <row r="13" spans="1:5" s="71" customFormat="1" ht="25.5" x14ac:dyDescent="0.2">
      <c r="A13" s="71" t="s">
        <v>259</v>
      </c>
    </row>
    <row r="14" spans="1:5" s="71" customFormat="1" x14ac:dyDescent="0.2">
      <c r="A14" s="71" t="s">
        <v>260</v>
      </c>
      <c r="B14" s="71">
        <v>2E-3</v>
      </c>
    </row>
    <row r="15" spans="1:5" s="71" customFormat="1" x14ac:dyDescent="0.2">
      <c r="A15" s="71" t="s">
        <v>261</v>
      </c>
      <c r="B15" s="71">
        <v>2E-3</v>
      </c>
    </row>
    <row r="16" spans="1:5" s="71" customFormat="1" x14ac:dyDescent="0.2">
      <c r="A16" s="71" t="s">
        <v>262</v>
      </c>
    </row>
    <row r="17" spans="5:38" s="71" customFormat="1" x14ac:dyDescent="0.2"/>
    <row r="18" spans="5:38" s="71" customFormat="1" x14ac:dyDescent="0.2"/>
    <row r="19" spans="5:38" x14ac:dyDescent="0.2">
      <c r="H19" s="82" t="s">
        <v>209</v>
      </c>
      <c r="M19" s="76" t="s">
        <v>210</v>
      </c>
      <c r="N19" s="72"/>
      <c r="O19" s="72"/>
      <c r="S19" s="86" t="s">
        <v>217</v>
      </c>
      <c r="W19" s="81" t="s">
        <v>220</v>
      </c>
      <c r="X19" s="81"/>
      <c r="Y19" s="81"/>
      <c r="Z19" s="81"/>
      <c r="AA19" s="79"/>
      <c r="AB19" s="79"/>
      <c r="AC19" s="79"/>
      <c r="AD19" s="79"/>
      <c r="AF19" s="79"/>
      <c r="AG19" s="79"/>
      <c r="AH19" s="79"/>
      <c r="AK19" s="67"/>
    </row>
    <row r="20" spans="5:38" ht="25.5" x14ac:dyDescent="0.2">
      <c r="H20" s="83" t="s">
        <v>183</v>
      </c>
      <c r="I20" s="84" t="s">
        <v>214</v>
      </c>
      <c r="J20" s="84" t="s">
        <v>232</v>
      </c>
      <c r="K20" s="84" t="s">
        <v>208</v>
      </c>
      <c r="L20" s="84" t="s">
        <v>215</v>
      </c>
      <c r="W20" s="79"/>
      <c r="X20" s="79"/>
      <c r="Y20" s="79"/>
      <c r="Z20" s="79"/>
      <c r="AA20" s="79"/>
      <c r="AB20" s="79"/>
      <c r="AC20" s="79"/>
      <c r="AD20" s="79" t="s">
        <v>221</v>
      </c>
      <c r="AE20" s="79"/>
      <c r="AF20" s="79"/>
      <c r="AG20" s="79"/>
      <c r="AH20" s="79"/>
      <c r="AI20" s="79"/>
      <c r="AJ20" s="79"/>
    </row>
    <row r="21" spans="5:38" ht="77.25" thickBot="1" x14ac:dyDescent="0.25">
      <c r="E21" s="68" t="s">
        <v>110</v>
      </c>
      <c r="F21" s="68" t="s">
        <v>111</v>
      </c>
      <c r="G21" s="68" t="s">
        <v>115</v>
      </c>
      <c r="H21" s="85" t="s">
        <v>113</v>
      </c>
      <c r="I21" s="85" t="s">
        <v>213</v>
      </c>
      <c r="J21" s="85"/>
      <c r="K21" s="85" t="s">
        <v>216</v>
      </c>
      <c r="L21" s="85" t="s">
        <v>213</v>
      </c>
      <c r="M21" s="74" t="s">
        <v>212</v>
      </c>
      <c r="N21" s="74" t="s">
        <v>218</v>
      </c>
      <c r="O21" s="74" t="s">
        <v>211</v>
      </c>
      <c r="P21" s="74" t="s">
        <v>222</v>
      </c>
      <c r="Q21" s="74" t="s">
        <v>230</v>
      </c>
      <c r="R21" s="74" t="s">
        <v>231</v>
      </c>
      <c r="S21" s="70" t="s">
        <v>219</v>
      </c>
      <c r="T21" s="70" t="s">
        <v>228</v>
      </c>
      <c r="U21" s="70" t="s">
        <v>227</v>
      </c>
      <c r="V21" s="70" t="s">
        <v>226</v>
      </c>
      <c r="W21" s="80" t="s">
        <v>229</v>
      </c>
      <c r="X21" s="80" t="s">
        <v>257</v>
      </c>
      <c r="Y21" s="80" t="s">
        <v>264</v>
      </c>
      <c r="Z21" s="80" t="s">
        <v>267</v>
      </c>
      <c r="AA21" s="80" t="s">
        <v>265</v>
      </c>
      <c r="AB21" s="80" t="s">
        <v>266</v>
      </c>
      <c r="AC21" s="80" t="s">
        <v>268</v>
      </c>
      <c r="AD21" s="80" t="s">
        <v>223</v>
      </c>
      <c r="AE21" s="80" t="s">
        <v>225</v>
      </c>
      <c r="AF21" s="80" t="s">
        <v>224</v>
      </c>
      <c r="AG21" s="80" t="s">
        <v>269</v>
      </c>
      <c r="AH21" s="80" t="s">
        <v>270</v>
      </c>
      <c r="AI21" s="80" t="s">
        <v>271</v>
      </c>
      <c r="AJ21" s="80" t="s">
        <v>272</v>
      </c>
      <c r="AK21" s="75"/>
      <c r="AL21" s="75"/>
    </row>
    <row r="22" spans="5:38" x14ac:dyDescent="0.2">
      <c r="E22" s="66">
        <v>1</v>
      </c>
      <c r="F22" s="66" t="s">
        <v>123</v>
      </c>
      <c r="G22" s="66">
        <v>91.47</v>
      </c>
      <c r="H22" s="83">
        <v>29.3</v>
      </c>
      <c r="I22" s="83">
        <f>H22*G22</f>
        <v>2680.0709999999999</v>
      </c>
      <c r="J22" s="101">
        <f>IF(AND(I22&gt;=2000,I22&lt;=2500),2250,IF(AND(I22&gt;=2500,I22&lt;3000),2750,IF(AND(I22&gt;=3000,I22&lt;3500),3250,IF(AND(I22&gt;=3500,I22&lt;4000),3750,IF(AND(I22&gt;=4000,I22&lt;4500),4250,IF(AND(I22&gt;=4500,I22&lt;5000),4750,IF(AND(I22&gt;=5000,I22&lt;5500),5250,IF(AND(I22&gt;=5500,I22&lt;6000),5750,IF(AND(I22&gt;=6000,I22&lt;=6500),6250,"range not identified")))))))))</f>
        <v>2750</v>
      </c>
      <c r="K22" s="83">
        <v>353</v>
      </c>
      <c r="L22" s="83">
        <f>K22*G22</f>
        <v>32288.91</v>
      </c>
      <c r="M22" s="73">
        <v>45.734999999999999</v>
      </c>
      <c r="N22" s="77">
        <v>280</v>
      </c>
      <c r="O22" s="73">
        <v>40</v>
      </c>
      <c r="P22" s="102">
        <f>INT(M22/8)</f>
        <v>5</v>
      </c>
      <c r="Q22" s="73">
        <v>720</v>
      </c>
      <c r="R22" s="73">
        <f>P22*Q22</f>
        <v>3600</v>
      </c>
      <c r="S22" s="69">
        <v>3640</v>
      </c>
      <c r="T22" s="69">
        <v>1610</v>
      </c>
      <c r="U22" s="69">
        <v>1980</v>
      </c>
      <c r="V22" s="69">
        <v>2720</v>
      </c>
      <c r="W22" s="78">
        <f>P22*$B$11</f>
        <v>27500</v>
      </c>
      <c r="X22" s="78">
        <v>1000</v>
      </c>
      <c r="Y22" s="78">
        <v>500</v>
      </c>
      <c r="Z22" s="78">
        <f>W22-X22-Y22</f>
        <v>26000</v>
      </c>
      <c r="AA22" s="78">
        <f>$B$15*W22</f>
        <v>55</v>
      </c>
      <c r="AB22" s="78">
        <f>W22*$B$14</f>
        <v>55</v>
      </c>
      <c r="AC22" s="78">
        <f>AA22+AB22</f>
        <v>110</v>
      </c>
      <c r="AD22" s="78">
        <f>IF(P22&lt;=4,$B$7*S22,IF(AND(P22&gt;4,P22&lt;=10),$B$8*S22,IF(AND(P22&gt;10,P22&lt;=50),$B$9*S22)))</f>
        <v>611.52</v>
      </c>
      <c r="AE22" s="79">
        <f>$C$7*T22</f>
        <v>193.2</v>
      </c>
      <c r="AF22" s="78">
        <f t="shared" ref="AF22:AF53" si="0">U22*$D$7</f>
        <v>63.36</v>
      </c>
      <c r="AG22" s="78">
        <f>AD22+AF22-AC22</f>
        <v>564.88</v>
      </c>
      <c r="AH22" s="78">
        <f>AD22+AE22+AF22-AC22</f>
        <v>758.08</v>
      </c>
      <c r="AI22" s="78">
        <f>25+(Z22-(AG22*25))/(AE22+AF22)</f>
        <v>71.29716245712504</v>
      </c>
      <c r="AJ22" s="78">
        <f>25+(Z22-(AH22*25))/(AE22+AF22)</f>
        <v>52.47115684440287</v>
      </c>
    </row>
    <row r="23" spans="5:38" x14ac:dyDescent="0.2">
      <c r="E23" s="66">
        <v>2</v>
      </c>
      <c r="F23" s="66" t="s">
        <v>126</v>
      </c>
      <c r="G23" s="66">
        <v>172.56</v>
      </c>
      <c r="H23" s="83">
        <v>29.3</v>
      </c>
      <c r="I23" s="83">
        <f>H23*G23</f>
        <v>5056.0079999999998</v>
      </c>
      <c r="J23" s="83">
        <f>IF(AND(I23&gt;=2000,I23&lt;=2500),2250,IF(AND(I23&gt;=2500,I23&lt;3000),2750,IF(AND(I23&gt;=3000,I23&lt;3500),3250,IF(AND(I23&gt;=3500,I23&lt;4000),3750,IF(AND(I23&gt;=4000,I23&lt;4500),4250,IF(AND(I23&gt;=4500,I23&lt;5000),4750,IF(AND(I23&gt;=5000,I23&lt;5500),5250,IF(AND(I23&gt;=5500,I23&lt;6000),5750,IF(AND(I23&gt;=6000,I23&lt;=6500),6250,"range not identified")))))))))</f>
        <v>5250</v>
      </c>
      <c r="K23" s="83">
        <v>320.3</v>
      </c>
      <c r="L23" s="83">
        <f>K23*G23</f>
        <v>55270.968000000001</v>
      </c>
      <c r="M23" s="73">
        <v>86.28</v>
      </c>
      <c r="N23" s="73">
        <v>335</v>
      </c>
      <c r="O23" s="73">
        <v>40</v>
      </c>
      <c r="P23" s="73">
        <f>INT(M23/8)</f>
        <v>10</v>
      </c>
      <c r="Q23" s="73">
        <v>720</v>
      </c>
      <c r="R23" s="73">
        <f>P23*Q23</f>
        <v>7200</v>
      </c>
      <c r="S23" s="69">
        <v>7280</v>
      </c>
      <c r="T23" s="69">
        <v>2820</v>
      </c>
      <c r="U23" s="69">
        <v>4350</v>
      </c>
      <c r="V23" s="69">
        <v>4470</v>
      </c>
      <c r="W23" s="78">
        <f>P23*$B$11</f>
        <v>55000</v>
      </c>
      <c r="X23" s="78">
        <v>1000</v>
      </c>
      <c r="Y23" s="78">
        <v>500</v>
      </c>
      <c r="Z23" s="78">
        <f t="shared" ref="Z23:Z71" si="1">W23-X23-Y23</f>
        <v>53500</v>
      </c>
      <c r="AA23" s="78">
        <f>$B$15*W23</f>
        <v>110</v>
      </c>
      <c r="AB23" s="78">
        <f>W23*$B$14</f>
        <v>110</v>
      </c>
      <c r="AC23" s="78">
        <f t="shared" ref="AC23:AC72" si="2">AA23+AB23</f>
        <v>220</v>
      </c>
      <c r="AD23" s="78">
        <f t="shared" ref="AD23:AD53" si="3">IF(P23&lt;=4,$B$7*S23,IF(AND(P23&gt;4,P23&lt;=10),$B$8*S23,IF(AND(P23&gt;10,P23&lt;=50),$B$9*S23)))</f>
        <v>1223.04</v>
      </c>
      <c r="AE23" s="78">
        <f t="shared" ref="AE23:AE53" si="4">$C$7*T23</f>
        <v>338.4</v>
      </c>
      <c r="AF23" s="78">
        <f t="shared" si="0"/>
        <v>139.20000000000002</v>
      </c>
      <c r="AG23" s="78">
        <f t="shared" ref="AG23:AG71" si="5">AD23+AF23-AC23</f>
        <v>1142.24</v>
      </c>
      <c r="AH23" s="78">
        <f t="shared" ref="AH23:AH71" si="6">AD23+AE23+AF23-AC23</f>
        <v>1480.64</v>
      </c>
      <c r="AI23" s="78">
        <f t="shared" ref="AI23:AI71" si="7">25+(Z23-(AG23*25))/(AE23+AF23)</f>
        <v>77.227805695142379</v>
      </c>
      <c r="AJ23" s="78">
        <f t="shared" ref="AJ23:AJ71" si="8">25+(Z23-(AH23*25))/(AE23+AF23)</f>
        <v>59.514237855946398</v>
      </c>
    </row>
    <row r="24" spans="5:38" x14ac:dyDescent="0.2">
      <c r="E24" s="66">
        <v>3</v>
      </c>
      <c r="F24" s="66" t="s">
        <v>123</v>
      </c>
      <c r="G24" s="66">
        <v>95.86</v>
      </c>
      <c r="H24" s="83">
        <v>29.3</v>
      </c>
      <c r="I24" s="83">
        <f t="shared" ref="I24:I71" si="9">H24*G24</f>
        <v>2808.6979999999999</v>
      </c>
      <c r="J24" s="83">
        <f t="shared" ref="J24:J71" si="10">IF(AND(I24&gt;=2000,I24&lt;=2500),2250,IF(AND(I24&gt;=2500,I24&lt;3000),2750,IF(AND(I24&gt;=3000,I24&lt;3500),3250,IF(AND(I24&gt;=3500,I24&lt;4000),3750,IF(AND(I24&gt;=4000,I24&lt;4500),4250,IF(AND(I24&gt;=4500,I24&lt;5000),4750,IF(AND(I24&gt;=5000,I24&lt;5500),5250,IF(AND(I24&gt;=5500,I24&lt;6000),5750,IF(AND(I24&gt;=6000,I24&lt;=6500),6250,"range not identified")))))))))</f>
        <v>2750</v>
      </c>
      <c r="K24" s="83">
        <v>353</v>
      </c>
      <c r="L24" s="83">
        <f t="shared" ref="L24:L71" si="11">K24*G24</f>
        <v>33838.58</v>
      </c>
      <c r="M24" s="73">
        <v>47.93</v>
      </c>
      <c r="N24" s="73">
        <v>64</v>
      </c>
      <c r="O24" s="73">
        <v>40</v>
      </c>
      <c r="P24" s="73">
        <f t="shared" ref="P24:P71" si="12">INT(M24/8)</f>
        <v>5</v>
      </c>
      <c r="Q24" s="73">
        <v>720</v>
      </c>
      <c r="R24" s="73">
        <f t="shared" ref="R24:R71" si="13">P24*Q24</f>
        <v>3600</v>
      </c>
      <c r="S24" s="69">
        <v>3640</v>
      </c>
      <c r="T24" s="69">
        <v>1610</v>
      </c>
      <c r="U24" s="69">
        <v>1980</v>
      </c>
      <c r="V24" s="69">
        <v>2720</v>
      </c>
      <c r="W24" s="78">
        <f t="shared" ref="W24:W72" si="14">P24*$B$11</f>
        <v>27500</v>
      </c>
      <c r="X24" s="78">
        <v>1000</v>
      </c>
      <c r="Y24" s="78">
        <v>500</v>
      </c>
      <c r="Z24" s="78">
        <f t="shared" si="1"/>
        <v>26000</v>
      </c>
      <c r="AA24" s="78">
        <f t="shared" ref="AA24:AA72" si="15">$B$15*W24</f>
        <v>55</v>
      </c>
      <c r="AB24" s="78">
        <f t="shared" ref="AB24:AB72" si="16">W24*$B$14</f>
        <v>55</v>
      </c>
      <c r="AC24" s="78">
        <f t="shared" si="2"/>
        <v>110</v>
      </c>
      <c r="AD24" s="78">
        <f t="shared" si="3"/>
        <v>611.52</v>
      </c>
      <c r="AE24" s="78">
        <f t="shared" si="4"/>
        <v>193.2</v>
      </c>
      <c r="AF24" s="78">
        <f t="shared" si="0"/>
        <v>63.36</v>
      </c>
      <c r="AG24" s="78">
        <f t="shared" si="5"/>
        <v>564.88</v>
      </c>
      <c r="AH24" s="78">
        <f t="shared" si="6"/>
        <v>758.08</v>
      </c>
      <c r="AI24" s="78">
        <f t="shared" si="7"/>
        <v>71.29716245712504</v>
      </c>
      <c r="AJ24" s="78">
        <f t="shared" si="8"/>
        <v>52.47115684440287</v>
      </c>
    </row>
    <row r="25" spans="5:38" x14ac:dyDescent="0.2">
      <c r="E25" s="66">
        <v>4</v>
      </c>
      <c r="F25" s="66" t="s">
        <v>126</v>
      </c>
      <c r="G25" s="66">
        <v>162.74</v>
      </c>
      <c r="H25" s="83">
        <v>29.3</v>
      </c>
      <c r="I25" s="83">
        <f t="shared" si="9"/>
        <v>4768.2820000000002</v>
      </c>
      <c r="J25" s="83">
        <f t="shared" si="10"/>
        <v>4750</v>
      </c>
      <c r="K25" s="83">
        <v>320.3</v>
      </c>
      <c r="L25" s="83">
        <f t="shared" si="11"/>
        <v>52125.622000000003</v>
      </c>
      <c r="M25" s="73">
        <v>81.37</v>
      </c>
      <c r="N25" s="73">
        <v>299</v>
      </c>
      <c r="O25" s="73">
        <v>40</v>
      </c>
      <c r="P25" s="73">
        <f t="shared" si="12"/>
        <v>10</v>
      </c>
      <c r="Q25" s="73">
        <v>720</v>
      </c>
      <c r="R25" s="73">
        <f t="shared" si="13"/>
        <v>7200</v>
      </c>
      <c r="S25" s="69">
        <v>7280</v>
      </c>
      <c r="T25" s="69">
        <v>2670</v>
      </c>
      <c r="U25" s="69">
        <v>4500</v>
      </c>
      <c r="V25" s="69">
        <v>4120</v>
      </c>
      <c r="W25" s="78">
        <f t="shared" si="14"/>
        <v>55000</v>
      </c>
      <c r="X25" s="78">
        <v>1000</v>
      </c>
      <c r="Y25" s="78">
        <v>500</v>
      </c>
      <c r="Z25" s="78">
        <f t="shared" si="1"/>
        <v>53500</v>
      </c>
      <c r="AA25" s="78">
        <f t="shared" si="15"/>
        <v>110</v>
      </c>
      <c r="AB25" s="78">
        <f t="shared" si="16"/>
        <v>110</v>
      </c>
      <c r="AC25" s="78">
        <f t="shared" si="2"/>
        <v>220</v>
      </c>
      <c r="AD25" s="78">
        <f t="shared" si="3"/>
        <v>1223.04</v>
      </c>
      <c r="AE25" s="78">
        <f t="shared" si="4"/>
        <v>320.39999999999998</v>
      </c>
      <c r="AF25" s="78">
        <f t="shared" si="0"/>
        <v>144</v>
      </c>
      <c r="AG25" s="78">
        <f t="shared" si="5"/>
        <v>1147.04</v>
      </c>
      <c r="AH25" s="78">
        <f t="shared" si="6"/>
        <v>1467.44</v>
      </c>
      <c r="AI25" s="78">
        <f t="shared" si="7"/>
        <v>78.453919035314385</v>
      </c>
      <c r="AJ25" s="78">
        <f t="shared" si="8"/>
        <v>61.205857019810509</v>
      </c>
    </row>
    <row r="26" spans="5:38" x14ac:dyDescent="0.2">
      <c r="E26" s="66">
        <v>5</v>
      </c>
      <c r="F26" s="66" t="s">
        <v>126</v>
      </c>
      <c r="G26" s="66">
        <v>122.72</v>
      </c>
      <c r="H26" s="83">
        <v>29.3</v>
      </c>
      <c r="I26" s="83">
        <f t="shared" si="9"/>
        <v>3595.6959999999999</v>
      </c>
      <c r="J26" s="83">
        <f t="shared" si="10"/>
        <v>3750</v>
      </c>
      <c r="K26" s="83">
        <v>320.3</v>
      </c>
      <c r="L26" s="83">
        <f t="shared" si="11"/>
        <v>39307.216</v>
      </c>
      <c r="M26" s="73">
        <v>61.36</v>
      </c>
      <c r="N26" s="73">
        <v>299</v>
      </c>
      <c r="O26" s="73">
        <v>40</v>
      </c>
      <c r="P26" s="73">
        <f t="shared" si="12"/>
        <v>7</v>
      </c>
      <c r="Q26" s="73">
        <v>720</v>
      </c>
      <c r="R26" s="73">
        <f t="shared" si="13"/>
        <v>5040</v>
      </c>
      <c r="S26" s="69">
        <v>5100</v>
      </c>
      <c r="T26" s="69">
        <v>2180</v>
      </c>
      <c r="U26" s="69">
        <v>2840</v>
      </c>
      <c r="V26" s="69">
        <v>3630</v>
      </c>
      <c r="W26" s="78">
        <f t="shared" si="14"/>
        <v>38500</v>
      </c>
      <c r="X26" s="78">
        <v>1000</v>
      </c>
      <c r="Y26" s="78">
        <v>500</v>
      </c>
      <c r="Z26" s="78">
        <f t="shared" si="1"/>
        <v>37000</v>
      </c>
      <c r="AA26" s="78">
        <f t="shared" si="15"/>
        <v>77</v>
      </c>
      <c r="AB26" s="78">
        <f t="shared" si="16"/>
        <v>77</v>
      </c>
      <c r="AC26" s="78">
        <f t="shared" si="2"/>
        <v>154</v>
      </c>
      <c r="AD26" s="78">
        <f t="shared" si="3"/>
        <v>856.80000000000007</v>
      </c>
      <c r="AE26" s="78">
        <f t="shared" si="4"/>
        <v>261.59999999999997</v>
      </c>
      <c r="AF26" s="78">
        <f t="shared" si="0"/>
        <v>90.88</v>
      </c>
      <c r="AG26" s="78">
        <f t="shared" si="5"/>
        <v>793.68000000000006</v>
      </c>
      <c r="AH26" s="78">
        <f t="shared" si="6"/>
        <v>1055.2800000000002</v>
      </c>
      <c r="AI26" s="78">
        <f t="shared" si="7"/>
        <v>73.677939173853844</v>
      </c>
      <c r="AJ26" s="78">
        <f t="shared" si="8"/>
        <v>55.123694961416248</v>
      </c>
    </row>
    <row r="27" spans="5:38" x14ac:dyDescent="0.2">
      <c r="E27" s="66">
        <v>6</v>
      </c>
      <c r="F27" s="66" t="s">
        <v>123</v>
      </c>
      <c r="G27" s="66">
        <v>74.349999999999994</v>
      </c>
      <c r="H27" s="83">
        <v>29.3</v>
      </c>
      <c r="I27" s="83">
        <f t="shared" si="9"/>
        <v>2178.4549999999999</v>
      </c>
      <c r="J27" s="83">
        <f t="shared" si="10"/>
        <v>2250</v>
      </c>
      <c r="K27" s="83">
        <v>353</v>
      </c>
      <c r="L27" s="83">
        <f t="shared" si="11"/>
        <v>26245.55</v>
      </c>
      <c r="M27" s="73">
        <v>37.174999999999997</v>
      </c>
      <c r="N27" s="73">
        <v>63</v>
      </c>
      <c r="O27" s="73">
        <v>40</v>
      </c>
      <c r="P27" s="73">
        <f t="shared" si="12"/>
        <v>4</v>
      </c>
      <c r="Q27" s="73">
        <v>720</v>
      </c>
      <c r="R27" s="73">
        <f t="shared" si="13"/>
        <v>2880</v>
      </c>
      <c r="S27" s="69">
        <v>2910</v>
      </c>
      <c r="T27" s="69">
        <v>1510</v>
      </c>
      <c r="U27" s="69">
        <v>1360</v>
      </c>
      <c r="V27" s="69">
        <v>2820</v>
      </c>
      <c r="W27" s="78">
        <f t="shared" si="14"/>
        <v>22000</v>
      </c>
      <c r="X27" s="78">
        <v>1000</v>
      </c>
      <c r="Y27" s="78">
        <v>500</v>
      </c>
      <c r="Z27" s="78">
        <f t="shared" si="1"/>
        <v>20500</v>
      </c>
      <c r="AA27" s="78">
        <f t="shared" si="15"/>
        <v>44</v>
      </c>
      <c r="AB27" s="78">
        <f t="shared" si="16"/>
        <v>44</v>
      </c>
      <c r="AC27" s="78">
        <f t="shared" si="2"/>
        <v>88</v>
      </c>
      <c r="AD27" s="78">
        <f t="shared" si="3"/>
        <v>611.1</v>
      </c>
      <c r="AE27" s="78">
        <f t="shared" si="4"/>
        <v>181.2</v>
      </c>
      <c r="AF27" s="78">
        <f t="shared" si="0"/>
        <v>43.52</v>
      </c>
      <c r="AG27" s="78">
        <f t="shared" si="5"/>
        <v>566.62</v>
      </c>
      <c r="AH27" s="78">
        <f t="shared" si="6"/>
        <v>747.81999999999994</v>
      </c>
      <c r="AI27" s="78">
        <f t="shared" si="7"/>
        <v>53.188412246351014</v>
      </c>
      <c r="AJ27" s="78">
        <f t="shared" si="8"/>
        <v>33.02999288002848</v>
      </c>
    </row>
    <row r="28" spans="5:38" x14ac:dyDescent="0.2">
      <c r="E28" s="66">
        <v>7</v>
      </c>
      <c r="F28" s="66" t="s">
        <v>123</v>
      </c>
      <c r="G28" s="66">
        <v>88.405000000000001</v>
      </c>
      <c r="H28" s="83">
        <v>29.3</v>
      </c>
      <c r="I28" s="83">
        <f t="shared" si="9"/>
        <v>2590.2665000000002</v>
      </c>
      <c r="J28" s="83">
        <f t="shared" si="10"/>
        <v>2750</v>
      </c>
      <c r="K28" s="83">
        <v>353</v>
      </c>
      <c r="L28" s="83">
        <f t="shared" si="11"/>
        <v>31206.965</v>
      </c>
      <c r="M28" s="73">
        <v>44.202500000000001</v>
      </c>
      <c r="N28" s="73">
        <v>62</v>
      </c>
      <c r="O28" s="73">
        <v>40</v>
      </c>
      <c r="P28" s="73">
        <f t="shared" si="12"/>
        <v>5</v>
      </c>
      <c r="Q28" s="73">
        <v>720</v>
      </c>
      <c r="R28" s="73">
        <f t="shared" si="13"/>
        <v>3600</v>
      </c>
      <c r="S28" s="69">
        <v>3640</v>
      </c>
      <c r="T28" s="69">
        <v>1610</v>
      </c>
      <c r="U28" s="69">
        <v>1980</v>
      </c>
      <c r="V28" s="69">
        <v>2720</v>
      </c>
      <c r="W28" s="78">
        <f t="shared" si="14"/>
        <v>27500</v>
      </c>
      <c r="X28" s="78">
        <v>1000</v>
      </c>
      <c r="Y28" s="78">
        <v>500</v>
      </c>
      <c r="Z28" s="78">
        <f t="shared" si="1"/>
        <v>26000</v>
      </c>
      <c r="AA28" s="78">
        <f t="shared" si="15"/>
        <v>55</v>
      </c>
      <c r="AB28" s="78">
        <f t="shared" si="16"/>
        <v>55</v>
      </c>
      <c r="AC28" s="78">
        <f t="shared" si="2"/>
        <v>110</v>
      </c>
      <c r="AD28" s="78">
        <f t="shared" si="3"/>
        <v>611.52</v>
      </c>
      <c r="AE28" s="78">
        <f t="shared" si="4"/>
        <v>193.2</v>
      </c>
      <c r="AF28" s="78">
        <f t="shared" si="0"/>
        <v>63.36</v>
      </c>
      <c r="AG28" s="78">
        <f t="shared" si="5"/>
        <v>564.88</v>
      </c>
      <c r="AH28" s="78">
        <f t="shared" si="6"/>
        <v>758.08</v>
      </c>
      <c r="AI28" s="78">
        <f t="shared" si="7"/>
        <v>71.29716245712504</v>
      </c>
      <c r="AJ28" s="78">
        <f t="shared" si="8"/>
        <v>52.47115684440287</v>
      </c>
    </row>
    <row r="29" spans="5:38" x14ac:dyDescent="0.2">
      <c r="E29" s="66">
        <v>8</v>
      </c>
      <c r="F29" s="66" t="s">
        <v>123</v>
      </c>
      <c r="G29" s="66">
        <v>104.92</v>
      </c>
      <c r="H29" s="83">
        <v>29.3</v>
      </c>
      <c r="I29" s="83">
        <f t="shared" si="9"/>
        <v>3074.1559999999999</v>
      </c>
      <c r="J29" s="83">
        <f t="shared" si="10"/>
        <v>3250</v>
      </c>
      <c r="K29" s="83">
        <v>353</v>
      </c>
      <c r="L29" s="83">
        <f t="shared" si="11"/>
        <v>37036.76</v>
      </c>
      <c r="M29" s="73">
        <v>52.46</v>
      </c>
      <c r="N29" s="73">
        <v>62</v>
      </c>
      <c r="O29" s="73">
        <v>40</v>
      </c>
      <c r="P29" s="73">
        <f t="shared" si="12"/>
        <v>6</v>
      </c>
      <c r="Q29" s="73">
        <v>720</v>
      </c>
      <c r="R29" s="73">
        <f t="shared" si="13"/>
        <v>4320</v>
      </c>
      <c r="S29" s="69">
        <v>4370</v>
      </c>
      <c r="T29" s="69">
        <v>1960</v>
      </c>
      <c r="U29" s="69">
        <v>2340</v>
      </c>
      <c r="V29" s="69">
        <v>3350</v>
      </c>
      <c r="W29" s="78">
        <f t="shared" si="14"/>
        <v>33000</v>
      </c>
      <c r="X29" s="78">
        <v>1000</v>
      </c>
      <c r="Y29" s="78">
        <v>500</v>
      </c>
      <c r="Z29" s="78">
        <f t="shared" si="1"/>
        <v>31500</v>
      </c>
      <c r="AA29" s="78">
        <f t="shared" si="15"/>
        <v>66</v>
      </c>
      <c r="AB29" s="78">
        <f t="shared" si="16"/>
        <v>66</v>
      </c>
      <c r="AC29" s="78">
        <f t="shared" si="2"/>
        <v>132</v>
      </c>
      <c r="AD29" s="78">
        <f t="shared" si="3"/>
        <v>734.16000000000008</v>
      </c>
      <c r="AE29" s="78">
        <f t="shared" si="4"/>
        <v>235.2</v>
      </c>
      <c r="AF29" s="78">
        <f t="shared" si="0"/>
        <v>74.88</v>
      </c>
      <c r="AG29" s="78">
        <f t="shared" si="5"/>
        <v>677.04000000000008</v>
      </c>
      <c r="AH29" s="78">
        <f t="shared" si="6"/>
        <v>912.24000000000024</v>
      </c>
      <c r="AI29" s="78">
        <f t="shared" si="7"/>
        <v>72.000773993808039</v>
      </c>
      <c r="AJ29" s="78">
        <f t="shared" si="8"/>
        <v>53.037925696594407</v>
      </c>
    </row>
    <row r="30" spans="5:38" x14ac:dyDescent="0.2">
      <c r="E30" s="66">
        <v>9</v>
      </c>
      <c r="F30" s="66" t="s">
        <v>123</v>
      </c>
      <c r="G30" s="66">
        <v>71.19</v>
      </c>
      <c r="H30" s="83">
        <v>29.3</v>
      </c>
      <c r="I30" s="83">
        <f t="shared" si="9"/>
        <v>2085.8670000000002</v>
      </c>
      <c r="J30" s="83">
        <f t="shared" si="10"/>
        <v>2250</v>
      </c>
      <c r="K30" s="83">
        <v>353</v>
      </c>
      <c r="L30" s="83">
        <f t="shared" si="11"/>
        <v>25130.07</v>
      </c>
      <c r="M30" s="73">
        <v>35.594999999999999</v>
      </c>
      <c r="N30" s="73">
        <v>63</v>
      </c>
      <c r="O30" s="73">
        <v>40</v>
      </c>
      <c r="P30" s="73">
        <f t="shared" si="12"/>
        <v>4</v>
      </c>
      <c r="Q30" s="73">
        <v>720</v>
      </c>
      <c r="R30" s="73">
        <f t="shared" si="13"/>
        <v>2880</v>
      </c>
      <c r="S30" s="69">
        <v>2910</v>
      </c>
      <c r="T30" s="69">
        <v>1510</v>
      </c>
      <c r="U30" s="69">
        <v>1360</v>
      </c>
      <c r="V30" s="69">
        <v>2820</v>
      </c>
      <c r="W30" s="78">
        <f t="shared" si="14"/>
        <v>22000</v>
      </c>
      <c r="X30" s="78">
        <v>1000</v>
      </c>
      <c r="Y30" s="78">
        <v>500</v>
      </c>
      <c r="Z30" s="78">
        <f t="shared" si="1"/>
        <v>20500</v>
      </c>
      <c r="AA30" s="78">
        <f t="shared" si="15"/>
        <v>44</v>
      </c>
      <c r="AB30" s="78">
        <f t="shared" si="16"/>
        <v>44</v>
      </c>
      <c r="AC30" s="78">
        <f t="shared" si="2"/>
        <v>88</v>
      </c>
      <c r="AD30" s="78">
        <f t="shared" si="3"/>
        <v>611.1</v>
      </c>
      <c r="AE30" s="78">
        <f t="shared" si="4"/>
        <v>181.2</v>
      </c>
      <c r="AF30" s="78">
        <f t="shared" si="0"/>
        <v>43.52</v>
      </c>
      <c r="AG30" s="78">
        <f t="shared" si="5"/>
        <v>566.62</v>
      </c>
      <c r="AH30" s="78">
        <f t="shared" si="6"/>
        <v>747.81999999999994</v>
      </c>
      <c r="AI30" s="78">
        <f t="shared" si="7"/>
        <v>53.188412246351014</v>
      </c>
      <c r="AJ30" s="78">
        <f t="shared" si="8"/>
        <v>33.02999288002848</v>
      </c>
    </row>
    <row r="31" spans="5:38" x14ac:dyDescent="0.2">
      <c r="E31" s="66">
        <v>10</v>
      </c>
      <c r="F31" s="66" t="s">
        <v>126</v>
      </c>
      <c r="G31" s="66">
        <v>167.14</v>
      </c>
      <c r="H31" s="83">
        <v>29.3</v>
      </c>
      <c r="I31" s="83">
        <f t="shared" si="9"/>
        <v>4897.2019999999993</v>
      </c>
      <c r="J31" s="83">
        <f t="shared" si="10"/>
        <v>4750</v>
      </c>
      <c r="K31" s="83">
        <v>320.3</v>
      </c>
      <c r="L31" s="83">
        <f t="shared" si="11"/>
        <v>53534.941999999995</v>
      </c>
      <c r="M31" s="73">
        <v>83.57</v>
      </c>
      <c r="N31" s="73">
        <v>297</v>
      </c>
      <c r="O31" s="73">
        <v>40</v>
      </c>
      <c r="P31" s="73">
        <f t="shared" si="12"/>
        <v>10</v>
      </c>
      <c r="Q31" s="73">
        <v>720</v>
      </c>
      <c r="R31" s="73">
        <f t="shared" si="13"/>
        <v>7200</v>
      </c>
      <c r="S31" s="69">
        <v>7280</v>
      </c>
      <c r="T31" s="69">
        <v>2670</v>
      </c>
      <c r="U31" s="69">
        <v>4500</v>
      </c>
      <c r="V31" s="69">
        <v>4120</v>
      </c>
      <c r="W31" s="78">
        <f t="shared" si="14"/>
        <v>55000</v>
      </c>
      <c r="X31" s="78">
        <v>1000</v>
      </c>
      <c r="Y31" s="78">
        <v>500</v>
      </c>
      <c r="Z31" s="78">
        <f t="shared" si="1"/>
        <v>53500</v>
      </c>
      <c r="AA31" s="78">
        <f t="shared" si="15"/>
        <v>110</v>
      </c>
      <c r="AB31" s="78">
        <f t="shared" si="16"/>
        <v>110</v>
      </c>
      <c r="AC31" s="78">
        <f t="shared" si="2"/>
        <v>220</v>
      </c>
      <c r="AD31" s="78">
        <f t="shared" si="3"/>
        <v>1223.04</v>
      </c>
      <c r="AE31" s="78">
        <f t="shared" si="4"/>
        <v>320.39999999999998</v>
      </c>
      <c r="AF31" s="78">
        <f t="shared" si="0"/>
        <v>144</v>
      </c>
      <c r="AG31" s="78">
        <f t="shared" si="5"/>
        <v>1147.04</v>
      </c>
      <c r="AH31" s="78">
        <f t="shared" si="6"/>
        <v>1467.44</v>
      </c>
      <c r="AI31" s="78">
        <f t="shared" si="7"/>
        <v>78.453919035314385</v>
      </c>
      <c r="AJ31" s="78">
        <f t="shared" si="8"/>
        <v>61.205857019810509</v>
      </c>
    </row>
    <row r="32" spans="5:38" x14ac:dyDescent="0.2">
      <c r="E32" s="66">
        <v>11</v>
      </c>
      <c r="F32" s="66" t="s">
        <v>126</v>
      </c>
      <c r="G32" s="66">
        <v>174.76</v>
      </c>
      <c r="H32" s="83">
        <v>29.3</v>
      </c>
      <c r="I32" s="83">
        <f t="shared" si="9"/>
        <v>5120.4679999999998</v>
      </c>
      <c r="J32" s="83">
        <f t="shared" si="10"/>
        <v>5250</v>
      </c>
      <c r="K32" s="83">
        <v>320.3</v>
      </c>
      <c r="L32" s="83">
        <f t="shared" si="11"/>
        <v>55975.627999999997</v>
      </c>
      <c r="M32" s="73">
        <v>87.38</v>
      </c>
      <c r="N32" s="73">
        <v>276</v>
      </c>
      <c r="O32" s="73">
        <v>40</v>
      </c>
      <c r="P32" s="73">
        <f t="shared" si="12"/>
        <v>10</v>
      </c>
      <c r="Q32" s="73">
        <v>720</v>
      </c>
      <c r="R32" s="73">
        <f t="shared" si="13"/>
        <v>7200</v>
      </c>
      <c r="S32" s="69">
        <v>7280</v>
      </c>
      <c r="T32" s="69">
        <v>1610</v>
      </c>
      <c r="U32" s="69">
        <v>1980</v>
      </c>
      <c r="V32" s="69">
        <v>2720</v>
      </c>
      <c r="W32" s="78">
        <f t="shared" si="14"/>
        <v>55000</v>
      </c>
      <c r="X32" s="78">
        <v>1000</v>
      </c>
      <c r="Y32" s="78">
        <v>500</v>
      </c>
      <c r="Z32" s="78">
        <f t="shared" si="1"/>
        <v>53500</v>
      </c>
      <c r="AA32" s="78">
        <f t="shared" si="15"/>
        <v>110</v>
      </c>
      <c r="AB32" s="78">
        <f t="shared" si="16"/>
        <v>110</v>
      </c>
      <c r="AC32" s="78">
        <f t="shared" si="2"/>
        <v>220</v>
      </c>
      <c r="AD32" s="78">
        <f t="shared" si="3"/>
        <v>1223.04</v>
      </c>
      <c r="AE32" s="78">
        <f t="shared" si="4"/>
        <v>193.2</v>
      </c>
      <c r="AF32" s="78">
        <f t="shared" si="0"/>
        <v>63.36</v>
      </c>
      <c r="AG32" s="78">
        <f t="shared" si="5"/>
        <v>1066.3999999999999</v>
      </c>
      <c r="AH32" s="78">
        <f t="shared" si="6"/>
        <v>1259.5999999999999</v>
      </c>
      <c r="AI32" s="78">
        <f t="shared" si="7"/>
        <v>129.61490489554103</v>
      </c>
      <c r="AJ32" s="78">
        <f t="shared" si="8"/>
        <v>110.78889928281885</v>
      </c>
    </row>
    <row r="33" spans="5:36" x14ac:dyDescent="0.2">
      <c r="E33" s="66">
        <v>12</v>
      </c>
      <c r="F33" s="66" t="s">
        <v>123</v>
      </c>
      <c r="G33" s="66">
        <v>75.39</v>
      </c>
      <c r="H33" s="83">
        <v>29.3</v>
      </c>
      <c r="I33" s="83">
        <f t="shared" si="9"/>
        <v>2208.9270000000001</v>
      </c>
      <c r="J33" s="83">
        <f t="shared" si="10"/>
        <v>2250</v>
      </c>
      <c r="K33" s="83">
        <v>353</v>
      </c>
      <c r="L33" s="83">
        <f t="shared" si="11"/>
        <v>26612.670000000002</v>
      </c>
      <c r="M33" s="73">
        <v>37.695</v>
      </c>
      <c r="N33" s="73">
        <v>277</v>
      </c>
      <c r="O33" s="73">
        <v>40</v>
      </c>
      <c r="P33" s="73">
        <f t="shared" si="12"/>
        <v>4</v>
      </c>
      <c r="Q33" s="73">
        <v>720</v>
      </c>
      <c r="R33" s="73">
        <f t="shared" si="13"/>
        <v>2880</v>
      </c>
      <c r="S33" s="69">
        <v>2910</v>
      </c>
      <c r="T33" s="69">
        <v>1510</v>
      </c>
      <c r="U33" s="69">
        <v>1360</v>
      </c>
      <c r="V33" s="69">
        <v>2820</v>
      </c>
      <c r="W33" s="78">
        <f t="shared" si="14"/>
        <v>22000</v>
      </c>
      <c r="X33" s="78">
        <v>1000</v>
      </c>
      <c r="Y33" s="78">
        <v>500</v>
      </c>
      <c r="Z33" s="78">
        <f t="shared" si="1"/>
        <v>20500</v>
      </c>
      <c r="AA33" s="78">
        <f t="shared" si="15"/>
        <v>44</v>
      </c>
      <c r="AB33" s="78">
        <f t="shared" si="16"/>
        <v>44</v>
      </c>
      <c r="AC33" s="78">
        <f t="shared" si="2"/>
        <v>88</v>
      </c>
      <c r="AD33" s="78">
        <f t="shared" si="3"/>
        <v>611.1</v>
      </c>
      <c r="AE33" s="78">
        <f t="shared" si="4"/>
        <v>181.2</v>
      </c>
      <c r="AF33" s="78">
        <f t="shared" si="0"/>
        <v>43.52</v>
      </c>
      <c r="AG33" s="78">
        <f t="shared" si="5"/>
        <v>566.62</v>
      </c>
      <c r="AH33" s="78">
        <f t="shared" si="6"/>
        <v>747.81999999999994</v>
      </c>
      <c r="AI33" s="78">
        <f t="shared" si="7"/>
        <v>53.188412246351014</v>
      </c>
      <c r="AJ33" s="78">
        <f>25+(Z33-(AH33*25))/(AE33+AF33)</f>
        <v>33.02999288002848</v>
      </c>
    </row>
    <row r="34" spans="5:36" x14ac:dyDescent="0.2">
      <c r="E34" s="66">
        <v>13</v>
      </c>
      <c r="F34" s="66" t="s">
        <v>123</v>
      </c>
      <c r="G34" s="66">
        <v>105.15</v>
      </c>
      <c r="H34" s="83">
        <v>29.3</v>
      </c>
      <c r="I34" s="83">
        <f t="shared" si="9"/>
        <v>3080.8950000000004</v>
      </c>
      <c r="J34" s="83">
        <f t="shared" si="10"/>
        <v>3250</v>
      </c>
      <c r="K34" s="83">
        <v>353</v>
      </c>
      <c r="L34" s="83">
        <f t="shared" si="11"/>
        <v>37117.950000000004</v>
      </c>
      <c r="M34" s="73">
        <v>52.575000000000003</v>
      </c>
      <c r="N34" s="73">
        <v>276</v>
      </c>
      <c r="O34" s="73">
        <v>40</v>
      </c>
      <c r="P34" s="73">
        <f t="shared" si="12"/>
        <v>6</v>
      </c>
      <c r="Q34" s="73">
        <v>720</v>
      </c>
      <c r="R34" s="73">
        <f t="shared" si="13"/>
        <v>4320</v>
      </c>
      <c r="S34" s="69">
        <v>4370</v>
      </c>
      <c r="T34" s="69">
        <v>1960</v>
      </c>
      <c r="U34" s="69">
        <v>2340</v>
      </c>
      <c r="V34" s="69">
        <v>3350</v>
      </c>
      <c r="W34" s="78">
        <f t="shared" si="14"/>
        <v>33000</v>
      </c>
      <c r="X34" s="78">
        <v>1000</v>
      </c>
      <c r="Y34" s="78">
        <v>500</v>
      </c>
      <c r="Z34" s="78">
        <f t="shared" si="1"/>
        <v>31500</v>
      </c>
      <c r="AA34" s="78">
        <f t="shared" si="15"/>
        <v>66</v>
      </c>
      <c r="AB34" s="78">
        <f t="shared" si="16"/>
        <v>66</v>
      </c>
      <c r="AC34" s="78">
        <f t="shared" si="2"/>
        <v>132</v>
      </c>
      <c r="AD34" s="78">
        <f t="shared" si="3"/>
        <v>734.16000000000008</v>
      </c>
      <c r="AE34" s="78">
        <f t="shared" si="4"/>
        <v>235.2</v>
      </c>
      <c r="AF34" s="78">
        <f t="shared" si="0"/>
        <v>74.88</v>
      </c>
      <c r="AG34" s="78">
        <f t="shared" si="5"/>
        <v>677.04000000000008</v>
      </c>
      <c r="AH34" s="78">
        <f t="shared" si="6"/>
        <v>912.24000000000024</v>
      </c>
      <c r="AI34" s="78">
        <f t="shared" si="7"/>
        <v>72.000773993808039</v>
      </c>
      <c r="AJ34" s="78">
        <f t="shared" si="8"/>
        <v>53.037925696594407</v>
      </c>
    </row>
    <row r="35" spans="5:36" x14ac:dyDescent="0.2">
      <c r="E35" s="66">
        <v>14</v>
      </c>
      <c r="F35" s="66" t="s">
        <v>126</v>
      </c>
      <c r="G35" s="66">
        <v>166.48</v>
      </c>
      <c r="H35" s="83">
        <v>29.3</v>
      </c>
      <c r="I35" s="83">
        <f t="shared" si="9"/>
        <v>4877.8639999999996</v>
      </c>
      <c r="J35" s="83">
        <f t="shared" si="10"/>
        <v>4750</v>
      </c>
      <c r="K35" s="83">
        <v>320.3</v>
      </c>
      <c r="L35" s="83">
        <f t="shared" si="11"/>
        <v>53323.544000000002</v>
      </c>
      <c r="M35" s="73">
        <v>83.24</v>
      </c>
      <c r="N35" s="73">
        <v>82</v>
      </c>
      <c r="O35" s="73">
        <v>40</v>
      </c>
      <c r="P35" s="73">
        <f t="shared" si="12"/>
        <v>10</v>
      </c>
      <c r="Q35" s="73">
        <v>720</v>
      </c>
      <c r="R35" s="73">
        <f t="shared" si="13"/>
        <v>7200</v>
      </c>
      <c r="S35" s="69">
        <v>7280</v>
      </c>
      <c r="T35" s="69">
        <v>2670</v>
      </c>
      <c r="U35" s="69">
        <v>4500</v>
      </c>
      <c r="V35" s="69">
        <v>4120</v>
      </c>
      <c r="W35" s="78">
        <f t="shared" si="14"/>
        <v>55000</v>
      </c>
      <c r="X35" s="78">
        <v>1000</v>
      </c>
      <c r="Y35" s="78">
        <v>500</v>
      </c>
      <c r="Z35" s="78">
        <f t="shared" si="1"/>
        <v>53500</v>
      </c>
      <c r="AA35" s="78">
        <f t="shared" si="15"/>
        <v>110</v>
      </c>
      <c r="AB35" s="78">
        <f t="shared" si="16"/>
        <v>110</v>
      </c>
      <c r="AC35" s="78">
        <f t="shared" si="2"/>
        <v>220</v>
      </c>
      <c r="AD35" s="78">
        <f t="shared" si="3"/>
        <v>1223.04</v>
      </c>
      <c r="AE35" s="78">
        <f t="shared" si="4"/>
        <v>320.39999999999998</v>
      </c>
      <c r="AF35" s="78">
        <f t="shared" si="0"/>
        <v>144</v>
      </c>
      <c r="AG35" s="78">
        <f t="shared" si="5"/>
        <v>1147.04</v>
      </c>
      <c r="AH35" s="78">
        <f t="shared" si="6"/>
        <v>1467.44</v>
      </c>
      <c r="AI35" s="78">
        <f t="shared" si="7"/>
        <v>78.453919035314385</v>
      </c>
      <c r="AJ35" s="78">
        <f t="shared" si="8"/>
        <v>61.205857019810509</v>
      </c>
    </row>
    <row r="36" spans="5:36" x14ac:dyDescent="0.2">
      <c r="E36" s="66">
        <v>15</v>
      </c>
      <c r="F36" s="66" t="s">
        <v>126</v>
      </c>
      <c r="G36" s="66">
        <v>149.76</v>
      </c>
      <c r="H36" s="83">
        <v>29.3</v>
      </c>
      <c r="I36" s="83">
        <f t="shared" si="9"/>
        <v>4387.9679999999998</v>
      </c>
      <c r="J36" s="83">
        <f t="shared" si="10"/>
        <v>4250</v>
      </c>
      <c r="K36" s="83">
        <v>320.3</v>
      </c>
      <c r="L36" s="83">
        <f t="shared" si="11"/>
        <v>47968.127999999997</v>
      </c>
      <c r="M36" s="73">
        <v>74.88</v>
      </c>
      <c r="N36" s="73">
        <v>81</v>
      </c>
      <c r="O36" s="73">
        <v>40</v>
      </c>
      <c r="P36" s="73">
        <f t="shared" si="12"/>
        <v>9</v>
      </c>
      <c r="Q36" s="73">
        <v>720</v>
      </c>
      <c r="R36" s="73">
        <f t="shared" si="13"/>
        <v>6480</v>
      </c>
      <c r="S36" s="69">
        <v>6560</v>
      </c>
      <c r="T36" s="69">
        <v>2460</v>
      </c>
      <c r="U36" s="69">
        <v>4000</v>
      </c>
      <c r="V36" s="69">
        <v>3840</v>
      </c>
      <c r="W36" s="78">
        <f t="shared" si="14"/>
        <v>49500</v>
      </c>
      <c r="X36" s="78">
        <v>1000</v>
      </c>
      <c r="Y36" s="78">
        <v>500</v>
      </c>
      <c r="Z36" s="78">
        <f t="shared" si="1"/>
        <v>48000</v>
      </c>
      <c r="AA36" s="78">
        <f t="shared" si="15"/>
        <v>99</v>
      </c>
      <c r="AB36" s="78">
        <f t="shared" si="16"/>
        <v>99</v>
      </c>
      <c r="AC36" s="78">
        <f t="shared" si="2"/>
        <v>198</v>
      </c>
      <c r="AD36" s="78">
        <f t="shared" si="3"/>
        <v>1102.0800000000002</v>
      </c>
      <c r="AE36" s="78">
        <f t="shared" si="4"/>
        <v>295.2</v>
      </c>
      <c r="AF36" s="78">
        <f t="shared" si="0"/>
        <v>128</v>
      </c>
      <c r="AG36" s="78">
        <f t="shared" si="5"/>
        <v>1032.0800000000002</v>
      </c>
      <c r="AH36" s="78">
        <f t="shared" si="6"/>
        <v>1327.2800000000002</v>
      </c>
      <c r="AI36" s="78">
        <f t="shared" si="7"/>
        <v>77.452741020793951</v>
      </c>
      <c r="AJ36" s="78">
        <f t="shared" si="8"/>
        <v>60.014177693761802</v>
      </c>
    </row>
    <row r="37" spans="5:36" x14ac:dyDescent="0.2">
      <c r="E37" s="66">
        <v>16</v>
      </c>
      <c r="F37" s="66" t="s">
        <v>126</v>
      </c>
      <c r="G37" s="66">
        <v>128.6</v>
      </c>
      <c r="H37" s="83">
        <v>29.3</v>
      </c>
      <c r="I37" s="83">
        <f t="shared" si="9"/>
        <v>3767.98</v>
      </c>
      <c r="J37" s="83">
        <f t="shared" si="10"/>
        <v>3750</v>
      </c>
      <c r="K37" s="83">
        <v>320.3</v>
      </c>
      <c r="L37" s="83">
        <f t="shared" si="11"/>
        <v>41190.58</v>
      </c>
      <c r="M37" s="73">
        <v>64.3</v>
      </c>
      <c r="N37" s="73">
        <v>278</v>
      </c>
      <c r="O37" s="73">
        <v>40</v>
      </c>
      <c r="P37" s="73">
        <f t="shared" si="12"/>
        <v>8</v>
      </c>
      <c r="Q37" s="73">
        <v>720</v>
      </c>
      <c r="R37" s="73">
        <f t="shared" si="13"/>
        <v>5760</v>
      </c>
      <c r="S37" s="69">
        <v>5830</v>
      </c>
      <c r="T37" s="69">
        <v>2250</v>
      </c>
      <c r="U37" s="69">
        <v>3490</v>
      </c>
      <c r="V37" s="69">
        <v>3560</v>
      </c>
      <c r="W37" s="78">
        <f t="shared" si="14"/>
        <v>44000</v>
      </c>
      <c r="X37" s="78">
        <v>1000</v>
      </c>
      <c r="Y37" s="78">
        <v>500</v>
      </c>
      <c r="Z37" s="78">
        <f t="shared" si="1"/>
        <v>42500</v>
      </c>
      <c r="AA37" s="78">
        <f t="shared" si="15"/>
        <v>88</v>
      </c>
      <c r="AB37" s="78">
        <f t="shared" si="16"/>
        <v>88</v>
      </c>
      <c r="AC37" s="78">
        <f t="shared" si="2"/>
        <v>176</v>
      </c>
      <c r="AD37" s="78">
        <f t="shared" si="3"/>
        <v>979.44</v>
      </c>
      <c r="AE37" s="78">
        <f t="shared" si="4"/>
        <v>270</v>
      </c>
      <c r="AF37" s="78">
        <f t="shared" si="0"/>
        <v>111.68</v>
      </c>
      <c r="AG37" s="78">
        <f t="shared" si="5"/>
        <v>915.12000000000012</v>
      </c>
      <c r="AH37" s="78">
        <f t="shared" si="6"/>
        <v>1185.1200000000001</v>
      </c>
      <c r="AI37" s="78">
        <f t="shared" si="7"/>
        <v>76.409557744707598</v>
      </c>
      <c r="AJ37" s="78">
        <f t="shared" si="8"/>
        <v>58.724586040662324</v>
      </c>
    </row>
    <row r="38" spans="5:36" x14ac:dyDescent="0.2">
      <c r="E38" s="66">
        <v>17</v>
      </c>
      <c r="F38" s="66" t="s">
        <v>126</v>
      </c>
      <c r="G38" s="66">
        <v>181.46</v>
      </c>
      <c r="H38" s="83">
        <v>29.3</v>
      </c>
      <c r="I38" s="83">
        <f t="shared" si="9"/>
        <v>5316.7780000000002</v>
      </c>
      <c r="J38" s="83">
        <f t="shared" si="10"/>
        <v>5250</v>
      </c>
      <c r="K38" s="83">
        <v>320.3</v>
      </c>
      <c r="L38" s="83">
        <f t="shared" si="11"/>
        <v>58121.638000000006</v>
      </c>
      <c r="M38" s="73">
        <v>90.73</v>
      </c>
      <c r="N38" s="73">
        <v>277</v>
      </c>
      <c r="O38" s="73">
        <v>40</v>
      </c>
      <c r="P38" s="73">
        <f t="shared" si="12"/>
        <v>11</v>
      </c>
      <c r="Q38" s="73">
        <v>720</v>
      </c>
      <c r="R38" s="73">
        <f t="shared" si="13"/>
        <v>7920</v>
      </c>
      <c r="S38" s="69">
        <v>8010</v>
      </c>
      <c r="T38" s="69">
        <v>2890</v>
      </c>
      <c r="U38" s="69">
        <v>5010</v>
      </c>
      <c r="V38" s="69">
        <v>4410</v>
      </c>
      <c r="W38" s="78">
        <f t="shared" si="14"/>
        <v>60500</v>
      </c>
      <c r="X38" s="78">
        <v>1000</v>
      </c>
      <c r="Y38" s="78">
        <v>500</v>
      </c>
      <c r="Z38" s="78">
        <f t="shared" si="1"/>
        <v>59000</v>
      </c>
      <c r="AA38" s="78">
        <f t="shared" si="15"/>
        <v>121</v>
      </c>
      <c r="AB38" s="78">
        <f t="shared" si="16"/>
        <v>121</v>
      </c>
      <c r="AC38" s="78">
        <f t="shared" si="2"/>
        <v>242</v>
      </c>
      <c r="AD38" s="78">
        <f t="shared" si="3"/>
        <v>1217.52</v>
      </c>
      <c r="AE38" s="78">
        <f t="shared" si="4"/>
        <v>346.8</v>
      </c>
      <c r="AF38" s="78">
        <f t="shared" si="0"/>
        <v>160.32</v>
      </c>
      <c r="AG38" s="78">
        <f t="shared" si="5"/>
        <v>1135.8399999999999</v>
      </c>
      <c r="AH38" s="78">
        <f t="shared" si="6"/>
        <v>1482.6399999999999</v>
      </c>
      <c r="AI38" s="78">
        <f t="shared" si="7"/>
        <v>85.348635431456074</v>
      </c>
      <c r="AJ38" s="78">
        <f t="shared" si="8"/>
        <v>68.252090235052847</v>
      </c>
    </row>
    <row r="39" spans="5:36" x14ac:dyDescent="0.2">
      <c r="E39" s="66">
        <v>18</v>
      </c>
      <c r="F39" s="66" t="s">
        <v>123</v>
      </c>
      <c r="G39" s="66">
        <v>96.33</v>
      </c>
      <c r="H39" s="83">
        <v>29.3</v>
      </c>
      <c r="I39" s="83">
        <f t="shared" si="9"/>
        <v>2822.4690000000001</v>
      </c>
      <c r="J39" s="83">
        <f t="shared" si="10"/>
        <v>2750</v>
      </c>
      <c r="K39" s="83">
        <v>353</v>
      </c>
      <c r="L39" s="83">
        <f t="shared" si="11"/>
        <v>34004.49</v>
      </c>
      <c r="M39" s="73">
        <v>48.164999999999999</v>
      </c>
      <c r="N39" s="73">
        <v>276</v>
      </c>
      <c r="O39" s="73">
        <v>40</v>
      </c>
      <c r="P39" s="73">
        <f t="shared" si="12"/>
        <v>6</v>
      </c>
      <c r="Q39" s="73">
        <v>720</v>
      </c>
      <c r="R39" s="73">
        <f t="shared" si="13"/>
        <v>4320</v>
      </c>
      <c r="S39" s="69">
        <v>4370</v>
      </c>
      <c r="T39" s="69">
        <v>1680</v>
      </c>
      <c r="U39" s="69">
        <v>2630</v>
      </c>
      <c r="V39" s="69">
        <v>2640</v>
      </c>
      <c r="W39" s="78">
        <f t="shared" si="14"/>
        <v>33000</v>
      </c>
      <c r="X39" s="78">
        <v>1000</v>
      </c>
      <c r="Y39" s="78">
        <v>500</v>
      </c>
      <c r="Z39" s="78">
        <f t="shared" si="1"/>
        <v>31500</v>
      </c>
      <c r="AA39" s="78">
        <f t="shared" si="15"/>
        <v>66</v>
      </c>
      <c r="AB39" s="78">
        <f t="shared" si="16"/>
        <v>66</v>
      </c>
      <c r="AC39" s="78">
        <f t="shared" si="2"/>
        <v>132</v>
      </c>
      <c r="AD39" s="78">
        <f t="shared" si="3"/>
        <v>734.16000000000008</v>
      </c>
      <c r="AE39" s="78">
        <f t="shared" si="4"/>
        <v>201.6</v>
      </c>
      <c r="AF39" s="78">
        <f t="shared" si="0"/>
        <v>84.16</v>
      </c>
      <c r="AG39" s="78">
        <f t="shared" si="5"/>
        <v>686.32</v>
      </c>
      <c r="AH39" s="78">
        <f t="shared" si="6"/>
        <v>887.92000000000007</v>
      </c>
      <c r="AI39" s="78">
        <f t="shared" si="7"/>
        <v>75.188969764837623</v>
      </c>
      <c r="AJ39" s="78">
        <f t="shared" si="8"/>
        <v>57.551791713325869</v>
      </c>
    </row>
    <row r="40" spans="5:36" x14ac:dyDescent="0.2">
      <c r="E40" s="66">
        <v>19</v>
      </c>
      <c r="F40" s="66" t="s">
        <v>123</v>
      </c>
      <c r="G40" s="66">
        <v>139.43</v>
      </c>
      <c r="H40" s="83">
        <v>29.3</v>
      </c>
      <c r="I40" s="83">
        <f t="shared" si="9"/>
        <v>4085.2990000000004</v>
      </c>
      <c r="J40" s="83">
        <f t="shared" si="10"/>
        <v>4250</v>
      </c>
      <c r="K40" s="83">
        <v>353</v>
      </c>
      <c r="L40" s="83">
        <f t="shared" si="11"/>
        <v>49218.79</v>
      </c>
      <c r="M40" s="73">
        <v>69.715000000000003</v>
      </c>
      <c r="N40" s="73">
        <v>319</v>
      </c>
      <c r="O40" s="73">
        <v>40</v>
      </c>
      <c r="P40" s="73">
        <f t="shared" si="12"/>
        <v>8</v>
      </c>
      <c r="Q40" s="73">
        <v>720</v>
      </c>
      <c r="R40" s="73">
        <f t="shared" si="13"/>
        <v>5760</v>
      </c>
      <c r="S40" s="69">
        <v>5830</v>
      </c>
      <c r="T40" s="69">
        <v>2400</v>
      </c>
      <c r="U40" s="69">
        <v>3350</v>
      </c>
      <c r="V40" s="69">
        <v>3910</v>
      </c>
      <c r="W40" s="78">
        <f t="shared" si="14"/>
        <v>44000</v>
      </c>
      <c r="X40" s="78">
        <v>1000</v>
      </c>
      <c r="Y40" s="78">
        <v>500</v>
      </c>
      <c r="Z40" s="78">
        <f t="shared" si="1"/>
        <v>42500</v>
      </c>
      <c r="AA40" s="78">
        <f t="shared" si="15"/>
        <v>88</v>
      </c>
      <c r="AB40" s="78">
        <f t="shared" si="16"/>
        <v>88</v>
      </c>
      <c r="AC40" s="78">
        <f t="shared" si="2"/>
        <v>176</v>
      </c>
      <c r="AD40" s="78">
        <f t="shared" si="3"/>
        <v>979.44</v>
      </c>
      <c r="AE40" s="78">
        <f t="shared" si="4"/>
        <v>288</v>
      </c>
      <c r="AF40" s="78">
        <f t="shared" si="0"/>
        <v>107.2</v>
      </c>
      <c r="AG40" s="78">
        <f t="shared" si="5"/>
        <v>910.6400000000001</v>
      </c>
      <c r="AH40" s="78">
        <f t="shared" si="6"/>
        <v>1198.6400000000001</v>
      </c>
      <c r="AI40" s="78">
        <f t="shared" si="7"/>
        <v>74.93421052631578</v>
      </c>
      <c r="AJ40" s="78">
        <f t="shared" si="8"/>
        <v>56.715587044534402</v>
      </c>
    </row>
    <row r="41" spans="5:36" x14ac:dyDescent="0.2">
      <c r="E41" s="66">
        <v>20</v>
      </c>
      <c r="F41" s="66" t="s">
        <v>123</v>
      </c>
      <c r="G41" s="66">
        <v>78.040000000000006</v>
      </c>
      <c r="H41" s="83">
        <v>29.3</v>
      </c>
      <c r="I41" s="83">
        <f t="shared" si="9"/>
        <v>2286.5720000000001</v>
      </c>
      <c r="J41" s="83">
        <f t="shared" si="10"/>
        <v>2250</v>
      </c>
      <c r="K41" s="83">
        <v>353</v>
      </c>
      <c r="L41" s="83">
        <f t="shared" si="11"/>
        <v>27548.120000000003</v>
      </c>
      <c r="M41" s="73">
        <v>39.020000000000003</v>
      </c>
      <c r="N41" s="73">
        <v>53</v>
      </c>
      <c r="O41" s="73">
        <v>40</v>
      </c>
      <c r="P41" s="73">
        <f t="shared" si="12"/>
        <v>4</v>
      </c>
      <c r="Q41" s="73">
        <v>720</v>
      </c>
      <c r="R41" s="73">
        <f t="shared" si="13"/>
        <v>2880</v>
      </c>
      <c r="S41" s="69">
        <v>2910</v>
      </c>
      <c r="T41" s="69">
        <v>1510</v>
      </c>
      <c r="U41" s="69">
        <v>1360</v>
      </c>
      <c r="V41" s="69">
        <v>2820</v>
      </c>
      <c r="W41" s="78">
        <f t="shared" si="14"/>
        <v>22000</v>
      </c>
      <c r="X41" s="78">
        <v>1000</v>
      </c>
      <c r="Y41" s="78">
        <v>500</v>
      </c>
      <c r="Z41" s="78">
        <f t="shared" si="1"/>
        <v>20500</v>
      </c>
      <c r="AA41" s="78">
        <f t="shared" si="15"/>
        <v>44</v>
      </c>
      <c r="AB41" s="78">
        <f t="shared" si="16"/>
        <v>44</v>
      </c>
      <c r="AC41" s="78">
        <f t="shared" si="2"/>
        <v>88</v>
      </c>
      <c r="AD41" s="78">
        <f t="shared" si="3"/>
        <v>611.1</v>
      </c>
      <c r="AE41" s="78">
        <f t="shared" si="4"/>
        <v>181.2</v>
      </c>
      <c r="AF41" s="78">
        <f t="shared" si="0"/>
        <v>43.52</v>
      </c>
      <c r="AG41" s="78">
        <f t="shared" si="5"/>
        <v>566.62</v>
      </c>
      <c r="AH41" s="78">
        <f t="shared" si="6"/>
        <v>747.81999999999994</v>
      </c>
      <c r="AI41" s="78">
        <f t="shared" si="7"/>
        <v>53.188412246351014</v>
      </c>
      <c r="AJ41" s="78">
        <f t="shared" si="8"/>
        <v>33.02999288002848</v>
      </c>
    </row>
    <row r="42" spans="5:36" x14ac:dyDescent="0.2">
      <c r="E42" s="66">
        <v>21</v>
      </c>
      <c r="F42" s="66" t="s">
        <v>123</v>
      </c>
      <c r="G42" s="66">
        <v>92.47</v>
      </c>
      <c r="H42" s="83">
        <v>29.3</v>
      </c>
      <c r="I42" s="83">
        <f t="shared" si="9"/>
        <v>2709.3710000000001</v>
      </c>
      <c r="J42" s="83">
        <f t="shared" si="10"/>
        <v>2750</v>
      </c>
      <c r="K42" s="83">
        <v>353</v>
      </c>
      <c r="L42" s="83">
        <f t="shared" si="11"/>
        <v>32641.91</v>
      </c>
      <c r="M42" s="73">
        <v>46.234999999999999</v>
      </c>
      <c r="N42" s="73">
        <v>276</v>
      </c>
      <c r="O42" s="73">
        <v>40</v>
      </c>
      <c r="P42" s="73">
        <f t="shared" si="12"/>
        <v>5</v>
      </c>
      <c r="Q42" s="73">
        <v>720</v>
      </c>
      <c r="R42" s="73">
        <f t="shared" si="13"/>
        <v>3600</v>
      </c>
      <c r="S42" s="69">
        <v>3640</v>
      </c>
      <c r="T42" s="69">
        <v>1610</v>
      </c>
      <c r="U42" s="69">
        <v>1980</v>
      </c>
      <c r="V42" s="69">
        <v>2720</v>
      </c>
      <c r="W42" s="78">
        <f t="shared" si="14"/>
        <v>27500</v>
      </c>
      <c r="X42" s="78">
        <v>1000</v>
      </c>
      <c r="Y42" s="78">
        <v>500</v>
      </c>
      <c r="Z42" s="78">
        <f t="shared" si="1"/>
        <v>26000</v>
      </c>
      <c r="AA42" s="78">
        <f t="shared" si="15"/>
        <v>55</v>
      </c>
      <c r="AB42" s="78">
        <f t="shared" si="16"/>
        <v>55</v>
      </c>
      <c r="AC42" s="78">
        <f t="shared" si="2"/>
        <v>110</v>
      </c>
      <c r="AD42" s="78">
        <f t="shared" si="3"/>
        <v>611.52</v>
      </c>
      <c r="AE42" s="78">
        <f t="shared" si="4"/>
        <v>193.2</v>
      </c>
      <c r="AF42" s="78">
        <f t="shared" si="0"/>
        <v>63.36</v>
      </c>
      <c r="AG42" s="78">
        <f t="shared" si="5"/>
        <v>564.88</v>
      </c>
      <c r="AH42" s="78">
        <f t="shared" si="6"/>
        <v>758.08</v>
      </c>
      <c r="AI42" s="78">
        <f t="shared" si="7"/>
        <v>71.29716245712504</v>
      </c>
      <c r="AJ42" s="78">
        <f t="shared" si="8"/>
        <v>52.47115684440287</v>
      </c>
    </row>
    <row r="43" spans="5:36" x14ac:dyDescent="0.2">
      <c r="E43" s="66">
        <v>22</v>
      </c>
      <c r="F43" s="66" t="s">
        <v>126</v>
      </c>
      <c r="G43" s="66">
        <v>174.9</v>
      </c>
      <c r="H43" s="83">
        <v>29.3</v>
      </c>
      <c r="I43" s="83">
        <f t="shared" si="9"/>
        <v>5124.5700000000006</v>
      </c>
      <c r="J43" s="83">
        <f t="shared" si="10"/>
        <v>5250</v>
      </c>
      <c r="K43" s="83">
        <v>320.3</v>
      </c>
      <c r="L43" s="83">
        <f t="shared" si="11"/>
        <v>56020.47</v>
      </c>
      <c r="M43" s="73">
        <v>87.45</v>
      </c>
      <c r="N43" s="73">
        <v>275</v>
      </c>
      <c r="O43" s="73">
        <v>40</v>
      </c>
      <c r="P43" s="73">
        <f t="shared" si="12"/>
        <v>10</v>
      </c>
      <c r="Q43" s="73">
        <v>720</v>
      </c>
      <c r="R43" s="73">
        <f t="shared" si="13"/>
        <v>7200</v>
      </c>
      <c r="S43" s="69">
        <v>7280</v>
      </c>
      <c r="T43" s="69">
        <v>2820</v>
      </c>
      <c r="U43" s="69">
        <v>4350</v>
      </c>
      <c r="V43" s="69">
        <v>4470</v>
      </c>
      <c r="W43" s="78">
        <f t="shared" si="14"/>
        <v>55000</v>
      </c>
      <c r="X43" s="78">
        <v>1000</v>
      </c>
      <c r="Y43" s="78">
        <v>500</v>
      </c>
      <c r="Z43" s="78">
        <f t="shared" si="1"/>
        <v>53500</v>
      </c>
      <c r="AA43" s="78">
        <f t="shared" si="15"/>
        <v>110</v>
      </c>
      <c r="AB43" s="78">
        <f t="shared" si="16"/>
        <v>110</v>
      </c>
      <c r="AC43" s="78">
        <f t="shared" si="2"/>
        <v>220</v>
      </c>
      <c r="AD43" s="78">
        <f t="shared" si="3"/>
        <v>1223.04</v>
      </c>
      <c r="AE43" s="78">
        <f t="shared" si="4"/>
        <v>338.4</v>
      </c>
      <c r="AF43" s="78">
        <f t="shared" si="0"/>
        <v>139.20000000000002</v>
      </c>
      <c r="AG43" s="78">
        <f t="shared" si="5"/>
        <v>1142.24</v>
      </c>
      <c r="AH43" s="78">
        <f t="shared" si="6"/>
        <v>1480.64</v>
      </c>
      <c r="AI43" s="78">
        <f t="shared" si="7"/>
        <v>77.227805695142379</v>
      </c>
      <c r="AJ43" s="78">
        <f t="shared" si="8"/>
        <v>59.514237855946398</v>
      </c>
    </row>
    <row r="44" spans="5:36" x14ac:dyDescent="0.2">
      <c r="E44" s="66">
        <v>23</v>
      </c>
      <c r="F44" s="66" t="s">
        <v>123</v>
      </c>
      <c r="G44" s="66">
        <v>93.19</v>
      </c>
      <c r="H44" s="83">
        <v>29.3</v>
      </c>
      <c r="I44" s="83">
        <f t="shared" si="9"/>
        <v>2730.4670000000001</v>
      </c>
      <c r="J44" s="83">
        <f t="shared" si="10"/>
        <v>2750</v>
      </c>
      <c r="K44" s="83">
        <v>353</v>
      </c>
      <c r="L44" s="83">
        <f t="shared" si="11"/>
        <v>32896.07</v>
      </c>
      <c r="M44" s="73">
        <v>46.594999999999999</v>
      </c>
      <c r="N44" s="73">
        <v>81</v>
      </c>
      <c r="O44" s="73">
        <v>40</v>
      </c>
      <c r="P44" s="73">
        <f t="shared" si="12"/>
        <v>5</v>
      </c>
      <c r="Q44" s="73">
        <v>720</v>
      </c>
      <c r="R44" s="73">
        <f t="shared" si="13"/>
        <v>3600</v>
      </c>
      <c r="S44" s="69">
        <v>3640</v>
      </c>
      <c r="T44" s="69">
        <v>1510</v>
      </c>
      <c r="U44" s="69">
        <v>1360</v>
      </c>
      <c r="V44" s="69">
        <v>2820</v>
      </c>
      <c r="W44" s="78">
        <f t="shared" si="14"/>
        <v>27500</v>
      </c>
      <c r="X44" s="78">
        <v>1000</v>
      </c>
      <c r="Y44" s="78">
        <v>500</v>
      </c>
      <c r="Z44" s="78">
        <f t="shared" si="1"/>
        <v>26000</v>
      </c>
      <c r="AA44" s="78">
        <f t="shared" si="15"/>
        <v>55</v>
      </c>
      <c r="AB44" s="78">
        <f t="shared" si="16"/>
        <v>55</v>
      </c>
      <c r="AC44" s="78">
        <f t="shared" si="2"/>
        <v>110</v>
      </c>
      <c r="AD44" s="78">
        <f t="shared" si="3"/>
        <v>611.52</v>
      </c>
      <c r="AE44" s="78">
        <f t="shared" si="4"/>
        <v>181.2</v>
      </c>
      <c r="AF44" s="78">
        <f t="shared" si="0"/>
        <v>43.52</v>
      </c>
      <c r="AG44" s="78">
        <f t="shared" si="5"/>
        <v>545.04</v>
      </c>
      <c r="AH44" s="78">
        <f t="shared" si="6"/>
        <v>726.24</v>
      </c>
      <c r="AI44" s="78">
        <f t="shared" si="7"/>
        <v>80.06407974368102</v>
      </c>
      <c r="AJ44" s="78">
        <f t="shared" si="8"/>
        <v>59.905660377358494</v>
      </c>
    </row>
    <row r="45" spans="5:36" x14ac:dyDescent="0.2">
      <c r="E45" s="66">
        <v>24</v>
      </c>
      <c r="F45" s="66" t="s">
        <v>126</v>
      </c>
      <c r="G45" s="66">
        <v>141.6</v>
      </c>
      <c r="H45" s="83">
        <v>29.3</v>
      </c>
      <c r="I45" s="83">
        <f t="shared" si="9"/>
        <v>4148.88</v>
      </c>
      <c r="J45" s="83">
        <f t="shared" si="10"/>
        <v>4250</v>
      </c>
      <c r="K45" s="83">
        <v>320.3</v>
      </c>
      <c r="L45" s="83">
        <f t="shared" si="11"/>
        <v>45354.48</v>
      </c>
      <c r="M45" s="73">
        <v>70.8</v>
      </c>
      <c r="N45" s="73">
        <v>278</v>
      </c>
      <c r="O45" s="73">
        <v>40</v>
      </c>
      <c r="P45" s="73">
        <f t="shared" si="12"/>
        <v>8</v>
      </c>
      <c r="Q45" s="73">
        <v>720</v>
      </c>
      <c r="R45" s="73">
        <f t="shared" si="13"/>
        <v>5760</v>
      </c>
      <c r="S45" s="69">
        <v>5830</v>
      </c>
      <c r="T45" s="69">
        <v>2400</v>
      </c>
      <c r="U45" s="69">
        <v>3350</v>
      </c>
      <c r="V45" s="69">
        <v>3910</v>
      </c>
      <c r="W45" s="78">
        <f t="shared" si="14"/>
        <v>44000</v>
      </c>
      <c r="X45" s="78">
        <v>1000</v>
      </c>
      <c r="Y45" s="78">
        <v>500</v>
      </c>
      <c r="Z45" s="78">
        <f t="shared" si="1"/>
        <v>42500</v>
      </c>
      <c r="AA45" s="78">
        <f t="shared" si="15"/>
        <v>88</v>
      </c>
      <c r="AB45" s="78">
        <f t="shared" si="16"/>
        <v>88</v>
      </c>
      <c r="AC45" s="78">
        <f t="shared" si="2"/>
        <v>176</v>
      </c>
      <c r="AD45" s="78">
        <f t="shared" si="3"/>
        <v>979.44</v>
      </c>
      <c r="AE45" s="78">
        <f t="shared" si="4"/>
        <v>288</v>
      </c>
      <c r="AF45" s="78">
        <f t="shared" si="0"/>
        <v>107.2</v>
      </c>
      <c r="AG45" s="78">
        <f t="shared" si="5"/>
        <v>910.6400000000001</v>
      </c>
      <c r="AH45" s="78">
        <f t="shared" si="6"/>
        <v>1198.6400000000001</v>
      </c>
      <c r="AI45" s="78">
        <f t="shared" si="7"/>
        <v>74.93421052631578</v>
      </c>
      <c r="AJ45" s="78">
        <f t="shared" si="8"/>
        <v>56.715587044534402</v>
      </c>
    </row>
    <row r="46" spans="5:36" x14ac:dyDescent="0.2">
      <c r="E46" s="66">
        <v>25</v>
      </c>
      <c r="F46" s="66" t="s">
        <v>126</v>
      </c>
      <c r="G46" s="66">
        <v>204.3</v>
      </c>
      <c r="H46" s="83">
        <v>29.3</v>
      </c>
      <c r="I46" s="83">
        <f t="shared" si="9"/>
        <v>5985.9900000000007</v>
      </c>
      <c r="J46" s="83">
        <f t="shared" si="10"/>
        <v>5750</v>
      </c>
      <c r="K46" s="83">
        <v>320.3</v>
      </c>
      <c r="L46" s="83">
        <f t="shared" si="11"/>
        <v>65437.290000000008</v>
      </c>
      <c r="M46" s="73">
        <v>102.15</v>
      </c>
      <c r="N46" s="73">
        <v>278</v>
      </c>
      <c r="O46" s="73">
        <v>40</v>
      </c>
      <c r="P46" s="73">
        <f t="shared" si="12"/>
        <v>12</v>
      </c>
      <c r="Q46" s="73">
        <v>720</v>
      </c>
      <c r="R46" s="73">
        <f t="shared" si="13"/>
        <v>8640</v>
      </c>
      <c r="S46" s="69">
        <v>8740</v>
      </c>
      <c r="T46" s="69">
        <v>3100</v>
      </c>
      <c r="U46" s="69">
        <v>5520</v>
      </c>
      <c r="V46" s="69">
        <v>4690</v>
      </c>
      <c r="W46" s="78">
        <f t="shared" si="14"/>
        <v>66000</v>
      </c>
      <c r="X46" s="78">
        <v>1000</v>
      </c>
      <c r="Y46" s="78">
        <v>500</v>
      </c>
      <c r="Z46" s="78">
        <f t="shared" si="1"/>
        <v>64500</v>
      </c>
      <c r="AA46" s="78">
        <f t="shared" si="15"/>
        <v>132</v>
      </c>
      <c r="AB46" s="78">
        <f t="shared" si="16"/>
        <v>132</v>
      </c>
      <c r="AC46" s="78">
        <f t="shared" si="2"/>
        <v>264</v>
      </c>
      <c r="AD46" s="78">
        <f t="shared" si="3"/>
        <v>1328.48</v>
      </c>
      <c r="AE46" s="78">
        <f t="shared" si="4"/>
        <v>372</v>
      </c>
      <c r="AF46" s="78">
        <f t="shared" si="0"/>
        <v>176.64000000000001</v>
      </c>
      <c r="AG46" s="78">
        <f t="shared" si="5"/>
        <v>1241.1200000000001</v>
      </c>
      <c r="AH46" s="78">
        <f t="shared" si="6"/>
        <v>1613.1200000000001</v>
      </c>
      <c r="AI46" s="78">
        <f t="shared" si="7"/>
        <v>86.009040536599599</v>
      </c>
      <c r="AJ46" s="78">
        <f t="shared" si="8"/>
        <v>69.058034412365117</v>
      </c>
    </row>
    <row r="47" spans="5:36" x14ac:dyDescent="0.2">
      <c r="E47" s="66">
        <v>26</v>
      </c>
      <c r="F47" s="66" t="s">
        <v>126</v>
      </c>
      <c r="G47" s="66">
        <v>178.36</v>
      </c>
      <c r="H47" s="83">
        <v>29.3</v>
      </c>
      <c r="I47" s="83">
        <f t="shared" si="9"/>
        <v>5225.9480000000003</v>
      </c>
      <c r="J47" s="83">
        <f t="shared" si="10"/>
        <v>5250</v>
      </c>
      <c r="K47" s="83">
        <v>320.3</v>
      </c>
      <c r="L47" s="83">
        <f t="shared" si="11"/>
        <v>57128.708000000006</v>
      </c>
      <c r="M47" s="73">
        <v>89.18</v>
      </c>
      <c r="N47" s="73">
        <v>62</v>
      </c>
      <c r="O47" s="73">
        <v>40</v>
      </c>
      <c r="P47" s="73">
        <f t="shared" si="12"/>
        <v>11</v>
      </c>
      <c r="Q47" s="73">
        <v>720</v>
      </c>
      <c r="R47" s="73">
        <f t="shared" si="13"/>
        <v>7920</v>
      </c>
      <c r="S47" s="69">
        <v>8010</v>
      </c>
      <c r="T47" s="69">
        <v>2890</v>
      </c>
      <c r="U47" s="69">
        <v>5010</v>
      </c>
      <c r="V47" s="69">
        <v>4410</v>
      </c>
      <c r="W47" s="78">
        <f t="shared" si="14"/>
        <v>60500</v>
      </c>
      <c r="X47" s="78">
        <v>1000</v>
      </c>
      <c r="Y47" s="78">
        <v>500</v>
      </c>
      <c r="Z47" s="78">
        <f t="shared" si="1"/>
        <v>59000</v>
      </c>
      <c r="AA47" s="78">
        <f t="shared" si="15"/>
        <v>121</v>
      </c>
      <c r="AB47" s="78">
        <f t="shared" si="16"/>
        <v>121</v>
      </c>
      <c r="AC47" s="78">
        <f t="shared" si="2"/>
        <v>242</v>
      </c>
      <c r="AD47" s="78">
        <f t="shared" si="3"/>
        <v>1217.52</v>
      </c>
      <c r="AE47" s="78">
        <f t="shared" si="4"/>
        <v>346.8</v>
      </c>
      <c r="AF47" s="78">
        <f t="shared" si="0"/>
        <v>160.32</v>
      </c>
      <c r="AG47" s="78">
        <f t="shared" si="5"/>
        <v>1135.8399999999999</v>
      </c>
      <c r="AH47" s="78">
        <f t="shared" si="6"/>
        <v>1482.6399999999999</v>
      </c>
      <c r="AI47" s="78">
        <f t="shared" si="7"/>
        <v>85.348635431456074</v>
      </c>
      <c r="AJ47" s="78">
        <f t="shared" si="8"/>
        <v>68.252090235052847</v>
      </c>
    </row>
    <row r="48" spans="5:36" x14ac:dyDescent="0.2">
      <c r="E48" s="66">
        <v>27</v>
      </c>
      <c r="F48" s="66" t="s">
        <v>126</v>
      </c>
      <c r="G48" s="66">
        <v>126.7</v>
      </c>
      <c r="H48" s="83">
        <v>29.3</v>
      </c>
      <c r="I48" s="83">
        <f t="shared" si="9"/>
        <v>3712.3100000000004</v>
      </c>
      <c r="J48" s="83">
        <f t="shared" si="10"/>
        <v>3750</v>
      </c>
      <c r="K48" s="83">
        <v>320.3</v>
      </c>
      <c r="L48" s="83">
        <f t="shared" si="11"/>
        <v>40582.01</v>
      </c>
      <c r="M48" s="73">
        <v>63.35</v>
      </c>
      <c r="N48" s="73">
        <v>72</v>
      </c>
      <c r="O48" s="73">
        <v>40</v>
      </c>
      <c r="P48" s="73">
        <f t="shared" si="12"/>
        <v>7</v>
      </c>
      <c r="Q48" s="73">
        <v>720</v>
      </c>
      <c r="R48" s="73">
        <f t="shared" si="13"/>
        <v>5040</v>
      </c>
      <c r="S48" s="69">
        <v>5100</v>
      </c>
      <c r="T48" s="69">
        <v>2180</v>
      </c>
      <c r="U48" s="69">
        <v>2840</v>
      </c>
      <c r="V48" s="69">
        <v>3630</v>
      </c>
      <c r="W48" s="78">
        <f t="shared" si="14"/>
        <v>38500</v>
      </c>
      <c r="X48" s="78">
        <v>1000</v>
      </c>
      <c r="Y48" s="78">
        <v>500</v>
      </c>
      <c r="Z48" s="78">
        <f t="shared" si="1"/>
        <v>37000</v>
      </c>
      <c r="AA48" s="78">
        <f t="shared" si="15"/>
        <v>77</v>
      </c>
      <c r="AB48" s="78">
        <f t="shared" si="16"/>
        <v>77</v>
      </c>
      <c r="AC48" s="78">
        <f t="shared" si="2"/>
        <v>154</v>
      </c>
      <c r="AD48" s="78">
        <f t="shared" si="3"/>
        <v>856.80000000000007</v>
      </c>
      <c r="AE48" s="78">
        <f t="shared" si="4"/>
        <v>261.59999999999997</v>
      </c>
      <c r="AF48" s="78">
        <f t="shared" si="0"/>
        <v>90.88</v>
      </c>
      <c r="AG48" s="78">
        <f t="shared" si="5"/>
        <v>793.68000000000006</v>
      </c>
      <c r="AH48" s="78">
        <f t="shared" si="6"/>
        <v>1055.2800000000002</v>
      </c>
      <c r="AI48" s="78">
        <f t="shared" si="7"/>
        <v>73.677939173853844</v>
      </c>
      <c r="AJ48" s="78">
        <f t="shared" si="8"/>
        <v>55.123694961416248</v>
      </c>
    </row>
    <row r="49" spans="5:36" x14ac:dyDescent="0.2">
      <c r="E49" s="66">
        <v>28</v>
      </c>
      <c r="F49" s="66" t="s">
        <v>126</v>
      </c>
      <c r="G49" s="66">
        <v>186.54</v>
      </c>
      <c r="H49" s="83">
        <v>29.3</v>
      </c>
      <c r="I49" s="83">
        <f t="shared" si="9"/>
        <v>5465.6220000000003</v>
      </c>
      <c r="J49" s="83">
        <f t="shared" si="10"/>
        <v>5250</v>
      </c>
      <c r="K49" s="83">
        <v>320.3</v>
      </c>
      <c r="L49" s="83">
        <f t="shared" si="11"/>
        <v>59748.762000000002</v>
      </c>
      <c r="M49" s="73">
        <v>93.27</v>
      </c>
      <c r="N49" s="73">
        <v>76</v>
      </c>
      <c r="O49" s="73">
        <v>40</v>
      </c>
      <c r="P49" s="73">
        <f t="shared" si="12"/>
        <v>11</v>
      </c>
      <c r="Q49" s="73">
        <v>720</v>
      </c>
      <c r="R49" s="73">
        <f t="shared" si="13"/>
        <v>7920</v>
      </c>
      <c r="S49" s="69">
        <v>8010</v>
      </c>
      <c r="T49" s="69">
        <v>2890</v>
      </c>
      <c r="U49" s="69">
        <v>5010</v>
      </c>
      <c r="V49" s="69">
        <v>4410</v>
      </c>
      <c r="W49" s="78">
        <f t="shared" si="14"/>
        <v>60500</v>
      </c>
      <c r="X49" s="78">
        <v>1000</v>
      </c>
      <c r="Y49" s="78">
        <v>500</v>
      </c>
      <c r="Z49" s="78">
        <f t="shared" si="1"/>
        <v>59000</v>
      </c>
      <c r="AA49" s="78">
        <f t="shared" si="15"/>
        <v>121</v>
      </c>
      <c r="AB49" s="78">
        <f t="shared" si="16"/>
        <v>121</v>
      </c>
      <c r="AC49" s="78">
        <f t="shared" si="2"/>
        <v>242</v>
      </c>
      <c r="AD49" s="78">
        <f t="shared" si="3"/>
        <v>1217.52</v>
      </c>
      <c r="AE49" s="78">
        <f t="shared" si="4"/>
        <v>346.8</v>
      </c>
      <c r="AF49" s="78">
        <f t="shared" si="0"/>
        <v>160.32</v>
      </c>
      <c r="AG49" s="78">
        <f t="shared" si="5"/>
        <v>1135.8399999999999</v>
      </c>
      <c r="AH49" s="78">
        <f t="shared" si="6"/>
        <v>1482.6399999999999</v>
      </c>
      <c r="AI49" s="78">
        <f t="shared" si="7"/>
        <v>85.348635431456074</v>
      </c>
      <c r="AJ49" s="78">
        <f t="shared" si="8"/>
        <v>68.252090235052847</v>
      </c>
    </row>
    <row r="50" spans="5:36" x14ac:dyDescent="0.2">
      <c r="E50" s="66">
        <v>29</v>
      </c>
      <c r="F50" s="66" t="s">
        <v>126</v>
      </c>
      <c r="G50" s="66">
        <v>182.58</v>
      </c>
      <c r="H50" s="83">
        <v>29.3</v>
      </c>
      <c r="I50" s="83">
        <f t="shared" si="9"/>
        <v>5349.5940000000001</v>
      </c>
      <c r="J50" s="83">
        <f t="shared" si="10"/>
        <v>5250</v>
      </c>
      <c r="K50" s="83">
        <v>320.3</v>
      </c>
      <c r="L50" s="83">
        <f t="shared" si="11"/>
        <v>58480.374000000003</v>
      </c>
      <c r="M50" s="73">
        <v>91.29</v>
      </c>
      <c r="N50" s="73">
        <v>81</v>
      </c>
      <c r="O50" s="73">
        <v>40</v>
      </c>
      <c r="P50" s="73">
        <f t="shared" si="12"/>
        <v>11</v>
      </c>
      <c r="Q50" s="73">
        <v>720</v>
      </c>
      <c r="R50" s="73">
        <f t="shared" si="13"/>
        <v>7920</v>
      </c>
      <c r="S50" s="69">
        <v>8010</v>
      </c>
      <c r="T50" s="69">
        <v>2890</v>
      </c>
      <c r="U50" s="69">
        <v>5010</v>
      </c>
      <c r="V50" s="69">
        <v>4410</v>
      </c>
      <c r="W50" s="78">
        <f t="shared" si="14"/>
        <v>60500</v>
      </c>
      <c r="X50" s="78">
        <v>1000</v>
      </c>
      <c r="Y50" s="78">
        <v>500</v>
      </c>
      <c r="Z50" s="78">
        <f t="shared" si="1"/>
        <v>59000</v>
      </c>
      <c r="AA50" s="78">
        <f t="shared" si="15"/>
        <v>121</v>
      </c>
      <c r="AB50" s="78">
        <f t="shared" si="16"/>
        <v>121</v>
      </c>
      <c r="AC50" s="78">
        <f t="shared" si="2"/>
        <v>242</v>
      </c>
      <c r="AD50" s="78">
        <f t="shared" si="3"/>
        <v>1217.52</v>
      </c>
      <c r="AE50" s="78">
        <f t="shared" si="4"/>
        <v>346.8</v>
      </c>
      <c r="AF50" s="78">
        <f t="shared" si="0"/>
        <v>160.32</v>
      </c>
      <c r="AG50" s="78">
        <f t="shared" si="5"/>
        <v>1135.8399999999999</v>
      </c>
      <c r="AH50" s="78">
        <f t="shared" si="6"/>
        <v>1482.6399999999999</v>
      </c>
      <c r="AI50" s="78">
        <f t="shared" si="7"/>
        <v>85.348635431456074</v>
      </c>
      <c r="AJ50" s="78">
        <f t="shared" si="8"/>
        <v>68.252090235052847</v>
      </c>
    </row>
    <row r="51" spans="5:36" x14ac:dyDescent="0.2">
      <c r="E51" s="66">
        <v>30</v>
      </c>
      <c r="F51" s="66" t="s">
        <v>126</v>
      </c>
      <c r="G51" s="66">
        <v>201.1</v>
      </c>
      <c r="H51" s="83">
        <v>29.3</v>
      </c>
      <c r="I51" s="83">
        <f t="shared" si="9"/>
        <v>5892.23</v>
      </c>
      <c r="J51" s="83">
        <f t="shared" si="10"/>
        <v>5750</v>
      </c>
      <c r="K51" s="83">
        <v>320.3</v>
      </c>
      <c r="L51" s="83">
        <f t="shared" si="11"/>
        <v>64412.33</v>
      </c>
      <c r="M51" s="73">
        <v>100.55</v>
      </c>
      <c r="N51" s="73">
        <v>81</v>
      </c>
      <c r="O51" s="73">
        <v>40</v>
      </c>
      <c r="P51" s="73">
        <f t="shared" si="12"/>
        <v>12</v>
      </c>
      <c r="Q51" s="73">
        <v>720</v>
      </c>
      <c r="R51" s="73">
        <f t="shared" si="13"/>
        <v>8640</v>
      </c>
      <c r="S51" s="69">
        <v>8740</v>
      </c>
      <c r="T51" s="69">
        <v>3100</v>
      </c>
      <c r="U51" s="69">
        <v>5520</v>
      </c>
      <c r="V51" s="69">
        <v>4690</v>
      </c>
      <c r="W51" s="78">
        <f t="shared" si="14"/>
        <v>66000</v>
      </c>
      <c r="X51" s="78">
        <v>1000</v>
      </c>
      <c r="Y51" s="78">
        <v>500</v>
      </c>
      <c r="Z51" s="78">
        <f t="shared" si="1"/>
        <v>64500</v>
      </c>
      <c r="AA51" s="78">
        <f t="shared" si="15"/>
        <v>132</v>
      </c>
      <c r="AB51" s="78">
        <f t="shared" si="16"/>
        <v>132</v>
      </c>
      <c r="AC51" s="78">
        <f t="shared" si="2"/>
        <v>264</v>
      </c>
      <c r="AD51" s="78">
        <f t="shared" si="3"/>
        <v>1328.48</v>
      </c>
      <c r="AE51" s="78">
        <f t="shared" si="4"/>
        <v>372</v>
      </c>
      <c r="AF51" s="78">
        <f t="shared" si="0"/>
        <v>176.64000000000001</v>
      </c>
      <c r="AG51" s="78">
        <f t="shared" si="5"/>
        <v>1241.1200000000001</v>
      </c>
      <c r="AH51" s="78">
        <f t="shared" si="6"/>
        <v>1613.1200000000001</v>
      </c>
      <c r="AI51" s="78">
        <f t="shared" si="7"/>
        <v>86.009040536599599</v>
      </c>
      <c r="AJ51" s="78">
        <f t="shared" si="8"/>
        <v>69.058034412365117</v>
      </c>
    </row>
    <row r="52" spans="5:36" x14ac:dyDescent="0.2">
      <c r="E52" s="66">
        <v>31</v>
      </c>
      <c r="F52" s="66" t="s">
        <v>126</v>
      </c>
      <c r="G52" s="66">
        <v>152.6</v>
      </c>
      <c r="H52" s="83">
        <v>29.3</v>
      </c>
      <c r="I52" s="83">
        <f t="shared" si="9"/>
        <v>4471.18</v>
      </c>
      <c r="J52" s="83">
        <f t="shared" si="10"/>
        <v>4250</v>
      </c>
      <c r="K52" s="83">
        <v>320.3</v>
      </c>
      <c r="L52" s="83">
        <f t="shared" si="11"/>
        <v>48877.78</v>
      </c>
      <c r="M52" s="73">
        <v>76.3</v>
      </c>
      <c r="N52" s="73">
        <v>87</v>
      </c>
      <c r="O52" s="73">
        <v>40</v>
      </c>
      <c r="P52" s="73">
        <f t="shared" si="12"/>
        <v>9</v>
      </c>
      <c r="Q52" s="73">
        <v>720</v>
      </c>
      <c r="R52" s="73">
        <f t="shared" si="13"/>
        <v>6480</v>
      </c>
      <c r="S52" s="69">
        <v>6560</v>
      </c>
      <c r="T52" s="69">
        <v>2460</v>
      </c>
      <c r="U52" s="69">
        <v>4000</v>
      </c>
      <c r="V52" s="69">
        <v>3840</v>
      </c>
      <c r="W52" s="78">
        <f t="shared" si="14"/>
        <v>49500</v>
      </c>
      <c r="X52" s="78">
        <v>1000</v>
      </c>
      <c r="Y52" s="78">
        <v>500</v>
      </c>
      <c r="Z52" s="78">
        <f t="shared" si="1"/>
        <v>48000</v>
      </c>
      <c r="AA52" s="78">
        <f t="shared" si="15"/>
        <v>99</v>
      </c>
      <c r="AB52" s="78">
        <f t="shared" si="16"/>
        <v>99</v>
      </c>
      <c r="AC52" s="78">
        <f t="shared" si="2"/>
        <v>198</v>
      </c>
      <c r="AD52" s="78">
        <f t="shared" si="3"/>
        <v>1102.0800000000002</v>
      </c>
      <c r="AE52" s="78">
        <f t="shared" si="4"/>
        <v>295.2</v>
      </c>
      <c r="AF52" s="78">
        <f t="shared" si="0"/>
        <v>128</v>
      </c>
      <c r="AG52" s="78">
        <f t="shared" si="5"/>
        <v>1032.0800000000002</v>
      </c>
      <c r="AH52" s="78">
        <f t="shared" si="6"/>
        <v>1327.2800000000002</v>
      </c>
      <c r="AI52" s="78">
        <f t="shared" si="7"/>
        <v>77.452741020793951</v>
      </c>
      <c r="AJ52" s="78">
        <f t="shared" si="8"/>
        <v>60.014177693761802</v>
      </c>
    </row>
    <row r="53" spans="5:36" x14ac:dyDescent="0.2">
      <c r="E53" s="66" t="s">
        <v>128</v>
      </c>
      <c r="F53" s="66" t="s">
        <v>129</v>
      </c>
      <c r="G53" s="66">
        <v>153.15</v>
      </c>
      <c r="H53" s="83">
        <v>29.3</v>
      </c>
      <c r="I53" s="83">
        <f t="shared" si="9"/>
        <v>4487.2950000000001</v>
      </c>
      <c r="J53" s="83">
        <f t="shared" si="10"/>
        <v>4250</v>
      </c>
      <c r="K53" s="83">
        <v>320.3</v>
      </c>
      <c r="L53" s="83">
        <f t="shared" si="11"/>
        <v>49053.945000000007</v>
      </c>
      <c r="M53" s="73">
        <v>76.575000000000003</v>
      </c>
      <c r="N53" s="73">
        <v>343</v>
      </c>
      <c r="O53" s="73">
        <v>40</v>
      </c>
      <c r="P53" s="73">
        <f t="shared" si="12"/>
        <v>9</v>
      </c>
      <c r="Q53" s="73">
        <v>720</v>
      </c>
      <c r="R53" s="73">
        <f t="shared" si="13"/>
        <v>6480</v>
      </c>
      <c r="S53" s="69">
        <v>6560</v>
      </c>
      <c r="T53" s="69">
        <v>2460</v>
      </c>
      <c r="U53" s="69">
        <v>4000</v>
      </c>
      <c r="V53" s="69">
        <v>3840</v>
      </c>
      <c r="W53" s="78">
        <f t="shared" si="14"/>
        <v>49500</v>
      </c>
      <c r="X53" s="78">
        <v>1000</v>
      </c>
      <c r="Y53" s="78">
        <v>500</v>
      </c>
      <c r="Z53" s="78">
        <f t="shared" si="1"/>
        <v>48000</v>
      </c>
      <c r="AA53" s="78">
        <f t="shared" si="15"/>
        <v>99</v>
      </c>
      <c r="AB53" s="78">
        <f t="shared" si="16"/>
        <v>99</v>
      </c>
      <c r="AC53" s="78">
        <f t="shared" si="2"/>
        <v>198</v>
      </c>
      <c r="AD53" s="78">
        <f t="shared" si="3"/>
        <v>1102.0800000000002</v>
      </c>
      <c r="AE53" s="78">
        <f t="shared" si="4"/>
        <v>295.2</v>
      </c>
      <c r="AF53" s="78">
        <f t="shared" si="0"/>
        <v>128</v>
      </c>
      <c r="AG53" s="78">
        <f t="shared" si="5"/>
        <v>1032.0800000000002</v>
      </c>
      <c r="AH53" s="78">
        <f t="shared" si="6"/>
        <v>1327.2800000000002</v>
      </c>
      <c r="AI53" s="78">
        <f t="shared" si="7"/>
        <v>77.452741020793951</v>
      </c>
      <c r="AJ53" s="78">
        <f t="shared" si="8"/>
        <v>60.014177693761802</v>
      </c>
    </row>
    <row r="54" spans="5:36" x14ac:dyDescent="0.2">
      <c r="E54" s="66" t="s">
        <v>130</v>
      </c>
      <c r="F54" s="66" t="s">
        <v>129</v>
      </c>
      <c r="G54" s="66">
        <v>153.15</v>
      </c>
      <c r="H54" s="83">
        <v>29.3</v>
      </c>
      <c r="I54" s="83">
        <f t="shared" si="9"/>
        <v>4487.2950000000001</v>
      </c>
      <c r="J54" s="83">
        <f t="shared" si="10"/>
        <v>4250</v>
      </c>
      <c r="K54" s="83">
        <v>320.3</v>
      </c>
      <c r="L54" s="83">
        <f t="shared" si="11"/>
        <v>49053.945000000007</v>
      </c>
      <c r="M54" s="73">
        <v>76.575000000000003</v>
      </c>
      <c r="N54" s="73">
        <v>343</v>
      </c>
      <c r="O54" s="73">
        <v>40</v>
      </c>
      <c r="P54" s="73">
        <f t="shared" si="12"/>
        <v>9</v>
      </c>
      <c r="Q54" s="73">
        <v>720</v>
      </c>
      <c r="R54" s="73">
        <f t="shared" si="13"/>
        <v>6480</v>
      </c>
      <c r="S54" s="69">
        <v>6560</v>
      </c>
      <c r="T54" s="69">
        <v>2460</v>
      </c>
      <c r="U54" s="69">
        <v>4000</v>
      </c>
      <c r="V54" s="69">
        <v>3840</v>
      </c>
      <c r="W54" s="78">
        <f t="shared" si="14"/>
        <v>49500</v>
      </c>
      <c r="X54" s="78">
        <v>1000</v>
      </c>
      <c r="Y54" s="78">
        <v>500</v>
      </c>
      <c r="Z54" s="78">
        <f t="shared" si="1"/>
        <v>48000</v>
      </c>
      <c r="AA54" s="78">
        <f t="shared" si="15"/>
        <v>99</v>
      </c>
      <c r="AB54" s="78">
        <f t="shared" si="16"/>
        <v>99</v>
      </c>
      <c r="AC54" s="78">
        <f t="shared" si="2"/>
        <v>198</v>
      </c>
      <c r="AD54" s="78">
        <f t="shared" ref="AD54:AD71" si="17">IF(P54&lt;=4,$B$7*S54,IF(AND(P54&gt;4,P54&lt;=10),$B$8*S54,IF(AND(P54&gt;10,P54&lt;=50),$B$9*S54)))</f>
        <v>1102.0800000000002</v>
      </c>
      <c r="AE54" s="78">
        <f t="shared" ref="AE54:AE71" si="18">$C$7*T54</f>
        <v>295.2</v>
      </c>
      <c r="AF54" s="78">
        <f t="shared" ref="AF54:AF71" si="19">U54*$D$7</f>
        <v>128</v>
      </c>
      <c r="AG54" s="78">
        <f t="shared" si="5"/>
        <v>1032.0800000000002</v>
      </c>
      <c r="AH54" s="78">
        <f t="shared" si="6"/>
        <v>1327.2800000000002</v>
      </c>
      <c r="AI54" s="78">
        <f t="shared" si="7"/>
        <v>77.452741020793951</v>
      </c>
      <c r="AJ54" s="78">
        <f t="shared" si="8"/>
        <v>60.014177693761802</v>
      </c>
    </row>
    <row r="55" spans="5:36" x14ac:dyDescent="0.2">
      <c r="E55" s="66" t="s">
        <v>131</v>
      </c>
      <c r="F55" s="66" t="s">
        <v>129</v>
      </c>
      <c r="G55" s="66">
        <v>167.63</v>
      </c>
      <c r="H55" s="83">
        <v>29.3</v>
      </c>
      <c r="I55" s="83">
        <f t="shared" si="9"/>
        <v>4911.5590000000002</v>
      </c>
      <c r="J55" s="83">
        <f t="shared" si="10"/>
        <v>4750</v>
      </c>
      <c r="K55" s="83">
        <v>320.3</v>
      </c>
      <c r="L55" s="83">
        <f t="shared" si="11"/>
        <v>53691.889000000003</v>
      </c>
      <c r="M55" s="73">
        <v>83.814999999999998</v>
      </c>
      <c r="N55" s="73">
        <v>331</v>
      </c>
      <c r="O55" s="73">
        <v>40</v>
      </c>
      <c r="P55" s="73">
        <f t="shared" si="12"/>
        <v>10</v>
      </c>
      <c r="Q55" s="73">
        <v>720</v>
      </c>
      <c r="R55" s="73">
        <f t="shared" si="13"/>
        <v>7200</v>
      </c>
      <c r="S55" s="69">
        <v>7280</v>
      </c>
      <c r="T55" s="69">
        <v>2670</v>
      </c>
      <c r="U55" s="69">
        <v>4500</v>
      </c>
      <c r="V55" s="69">
        <v>4120</v>
      </c>
      <c r="W55" s="78">
        <f t="shared" si="14"/>
        <v>55000</v>
      </c>
      <c r="X55" s="78">
        <v>1000</v>
      </c>
      <c r="Y55" s="78">
        <v>500</v>
      </c>
      <c r="Z55" s="78">
        <f t="shared" si="1"/>
        <v>53500</v>
      </c>
      <c r="AA55" s="78">
        <f t="shared" si="15"/>
        <v>110</v>
      </c>
      <c r="AB55" s="78">
        <f t="shared" si="16"/>
        <v>110</v>
      </c>
      <c r="AC55" s="78">
        <f t="shared" si="2"/>
        <v>220</v>
      </c>
      <c r="AD55" s="78">
        <f t="shared" si="17"/>
        <v>1223.04</v>
      </c>
      <c r="AE55" s="78">
        <f t="shared" si="18"/>
        <v>320.39999999999998</v>
      </c>
      <c r="AF55" s="78">
        <f t="shared" si="19"/>
        <v>144</v>
      </c>
      <c r="AG55" s="78">
        <f t="shared" si="5"/>
        <v>1147.04</v>
      </c>
      <c r="AH55" s="78">
        <f t="shared" si="6"/>
        <v>1467.44</v>
      </c>
      <c r="AI55" s="78">
        <f t="shared" si="7"/>
        <v>78.453919035314385</v>
      </c>
      <c r="AJ55" s="78">
        <f t="shared" si="8"/>
        <v>61.205857019810509</v>
      </c>
    </row>
    <row r="56" spans="5:36" x14ac:dyDescent="0.2">
      <c r="E56" s="66" t="s">
        <v>132</v>
      </c>
      <c r="F56" s="66" t="s">
        <v>129</v>
      </c>
      <c r="G56" s="66">
        <v>167.63</v>
      </c>
      <c r="H56" s="83">
        <v>29.3</v>
      </c>
      <c r="I56" s="83">
        <f t="shared" si="9"/>
        <v>4911.5590000000002</v>
      </c>
      <c r="J56" s="83">
        <f t="shared" si="10"/>
        <v>4750</v>
      </c>
      <c r="K56" s="83">
        <v>320.3</v>
      </c>
      <c r="L56" s="83">
        <f t="shared" si="11"/>
        <v>53691.889000000003</v>
      </c>
      <c r="M56" s="73">
        <v>83.814999999999998</v>
      </c>
      <c r="N56" s="73">
        <v>331</v>
      </c>
      <c r="O56" s="73">
        <v>40</v>
      </c>
      <c r="P56" s="73">
        <f t="shared" si="12"/>
        <v>10</v>
      </c>
      <c r="Q56" s="73">
        <v>720</v>
      </c>
      <c r="R56" s="73">
        <f t="shared" si="13"/>
        <v>7200</v>
      </c>
      <c r="S56" s="69">
        <v>7280</v>
      </c>
      <c r="T56" s="69">
        <v>2670</v>
      </c>
      <c r="U56" s="69">
        <v>4500</v>
      </c>
      <c r="V56" s="69">
        <v>4120</v>
      </c>
      <c r="W56" s="78">
        <f t="shared" si="14"/>
        <v>55000</v>
      </c>
      <c r="X56" s="78">
        <v>1000</v>
      </c>
      <c r="Y56" s="78">
        <v>500</v>
      </c>
      <c r="Z56" s="78">
        <f t="shared" si="1"/>
        <v>53500</v>
      </c>
      <c r="AA56" s="78">
        <f t="shared" si="15"/>
        <v>110</v>
      </c>
      <c r="AB56" s="78">
        <f t="shared" si="16"/>
        <v>110</v>
      </c>
      <c r="AC56" s="78">
        <f t="shared" si="2"/>
        <v>220</v>
      </c>
      <c r="AD56" s="78">
        <f t="shared" si="17"/>
        <v>1223.04</v>
      </c>
      <c r="AE56" s="78">
        <f t="shared" si="18"/>
        <v>320.39999999999998</v>
      </c>
      <c r="AF56" s="78">
        <f t="shared" si="19"/>
        <v>144</v>
      </c>
      <c r="AG56" s="78">
        <f t="shared" si="5"/>
        <v>1147.04</v>
      </c>
      <c r="AH56" s="78">
        <f t="shared" si="6"/>
        <v>1467.44</v>
      </c>
      <c r="AI56" s="78">
        <f t="shared" si="7"/>
        <v>78.453919035314385</v>
      </c>
      <c r="AJ56" s="78">
        <f t="shared" si="8"/>
        <v>61.205857019810509</v>
      </c>
    </row>
    <row r="57" spans="5:36" x14ac:dyDescent="0.2">
      <c r="E57" s="66">
        <v>34</v>
      </c>
      <c r="F57" s="66" t="s">
        <v>126</v>
      </c>
      <c r="G57" s="66">
        <v>147.36000000000001</v>
      </c>
      <c r="H57" s="83">
        <v>29.3</v>
      </c>
      <c r="I57" s="83">
        <f t="shared" si="9"/>
        <v>4317.6480000000001</v>
      </c>
      <c r="J57" s="83">
        <f t="shared" si="10"/>
        <v>4250</v>
      </c>
      <c r="K57" s="83">
        <v>320.3</v>
      </c>
      <c r="L57" s="83">
        <f t="shared" si="11"/>
        <v>47199.408000000003</v>
      </c>
      <c r="M57" s="73">
        <v>73.680000000000007</v>
      </c>
      <c r="N57" s="73">
        <v>341</v>
      </c>
      <c r="O57" s="73">
        <v>40</v>
      </c>
      <c r="P57" s="73">
        <f t="shared" si="12"/>
        <v>9</v>
      </c>
      <c r="Q57" s="73">
        <v>720</v>
      </c>
      <c r="R57" s="73">
        <f t="shared" si="13"/>
        <v>6480</v>
      </c>
      <c r="S57" s="69">
        <v>6560</v>
      </c>
      <c r="T57" s="69">
        <v>2460</v>
      </c>
      <c r="U57" s="69">
        <v>4000</v>
      </c>
      <c r="V57" s="69">
        <v>3840</v>
      </c>
      <c r="W57" s="78">
        <f t="shared" si="14"/>
        <v>49500</v>
      </c>
      <c r="X57" s="78">
        <v>1000</v>
      </c>
      <c r="Y57" s="78">
        <v>500</v>
      </c>
      <c r="Z57" s="78">
        <f t="shared" si="1"/>
        <v>48000</v>
      </c>
      <c r="AA57" s="78">
        <f t="shared" si="15"/>
        <v>99</v>
      </c>
      <c r="AB57" s="78">
        <f t="shared" si="16"/>
        <v>99</v>
      </c>
      <c r="AC57" s="78">
        <f t="shared" si="2"/>
        <v>198</v>
      </c>
      <c r="AD57" s="78">
        <f t="shared" si="17"/>
        <v>1102.0800000000002</v>
      </c>
      <c r="AE57" s="78">
        <f t="shared" si="18"/>
        <v>295.2</v>
      </c>
      <c r="AF57" s="78">
        <f t="shared" si="19"/>
        <v>128</v>
      </c>
      <c r="AG57" s="78">
        <f t="shared" si="5"/>
        <v>1032.0800000000002</v>
      </c>
      <c r="AH57" s="78">
        <f t="shared" si="6"/>
        <v>1327.2800000000002</v>
      </c>
      <c r="AI57" s="78">
        <f t="shared" si="7"/>
        <v>77.452741020793951</v>
      </c>
      <c r="AJ57" s="78">
        <f t="shared" si="8"/>
        <v>60.014177693761802</v>
      </c>
    </row>
    <row r="58" spans="5:36" x14ac:dyDescent="0.2">
      <c r="E58" s="66">
        <v>35</v>
      </c>
      <c r="F58" s="66" t="s">
        <v>126</v>
      </c>
      <c r="G58" s="66">
        <v>138.38</v>
      </c>
      <c r="H58" s="83">
        <v>29.3</v>
      </c>
      <c r="I58" s="83">
        <f t="shared" si="9"/>
        <v>4054.5340000000001</v>
      </c>
      <c r="J58" s="83">
        <f t="shared" si="10"/>
        <v>4250</v>
      </c>
      <c r="K58" s="83">
        <v>320.3</v>
      </c>
      <c r="L58" s="83">
        <f t="shared" si="11"/>
        <v>44323.114000000001</v>
      </c>
      <c r="M58" s="73">
        <v>69.19</v>
      </c>
      <c r="N58" s="73">
        <v>358</v>
      </c>
      <c r="O58" s="73">
        <v>40</v>
      </c>
      <c r="P58" s="73">
        <f t="shared" si="12"/>
        <v>8</v>
      </c>
      <c r="Q58" s="73">
        <v>720</v>
      </c>
      <c r="R58" s="73">
        <f t="shared" si="13"/>
        <v>5760</v>
      </c>
      <c r="S58" s="69">
        <v>5830</v>
      </c>
      <c r="T58" s="69">
        <v>2400</v>
      </c>
      <c r="U58" s="69">
        <v>3350</v>
      </c>
      <c r="V58" s="69">
        <v>3910</v>
      </c>
      <c r="W58" s="78">
        <f t="shared" si="14"/>
        <v>44000</v>
      </c>
      <c r="X58" s="78">
        <v>1000</v>
      </c>
      <c r="Y58" s="78">
        <v>500</v>
      </c>
      <c r="Z58" s="78">
        <f t="shared" si="1"/>
        <v>42500</v>
      </c>
      <c r="AA58" s="78">
        <f t="shared" si="15"/>
        <v>88</v>
      </c>
      <c r="AB58" s="78">
        <f t="shared" si="16"/>
        <v>88</v>
      </c>
      <c r="AC58" s="78">
        <f t="shared" si="2"/>
        <v>176</v>
      </c>
      <c r="AD58" s="78">
        <f t="shared" si="17"/>
        <v>979.44</v>
      </c>
      <c r="AE58" s="78">
        <f t="shared" si="18"/>
        <v>288</v>
      </c>
      <c r="AF58" s="78">
        <f t="shared" si="19"/>
        <v>107.2</v>
      </c>
      <c r="AG58" s="78">
        <f t="shared" si="5"/>
        <v>910.6400000000001</v>
      </c>
      <c r="AH58" s="78">
        <f t="shared" si="6"/>
        <v>1198.6400000000001</v>
      </c>
      <c r="AI58" s="78">
        <f t="shared" si="7"/>
        <v>74.93421052631578</v>
      </c>
      <c r="AJ58" s="78">
        <f t="shared" si="8"/>
        <v>56.715587044534402</v>
      </c>
    </row>
    <row r="59" spans="5:36" x14ac:dyDescent="0.2">
      <c r="E59" s="66">
        <v>36</v>
      </c>
      <c r="F59" s="66" t="s">
        <v>126</v>
      </c>
      <c r="G59" s="66">
        <v>142.38</v>
      </c>
      <c r="H59" s="83">
        <v>29.3</v>
      </c>
      <c r="I59" s="83">
        <f t="shared" si="9"/>
        <v>4171.7340000000004</v>
      </c>
      <c r="J59" s="83">
        <f t="shared" si="10"/>
        <v>4250</v>
      </c>
      <c r="K59" s="83">
        <v>320.3</v>
      </c>
      <c r="L59" s="83">
        <f t="shared" si="11"/>
        <v>45604.313999999998</v>
      </c>
      <c r="M59" s="73">
        <v>71.19</v>
      </c>
      <c r="N59" s="73">
        <v>88</v>
      </c>
      <c r="O59" s="73">
        <v>40</v>
      </c>
      <c r="P59" s="73">
        <f t="shared" si="12"/>
        <v>8</v>
      </c>
      <c r="Q59" s="73">
        <v>720</v>
      </c>
      <c r="R59" s="73">
        <f t="shared" si="13"/>
        <v>5760</v>
      </c>
      <c r="S59" s="69">
        <v>5830</v>
      </c>
      <c r="T59" s="69">
        <v>2400</v>
      </c>
      <c r="U59" s="69">
        <v>3350</v>
      </c>
      <c r="V59" s="69">
        <v>3910</v>
      </c>
      <c r="W59" s="78">
        <f t="shared" si="14"/>
        <v>44000</v>
      </c>
      <c r="X59" s="78">
        <v>1000</v>
      </c>
      <c r="Y59" s="78">
        <v>500</v>
      </c>
      <c r="Z59" s="78">
        <f t="shared" si="1"/>
        <v>42500</v>
      </c>
      <c r="AA59" s="78">
        <f t="shared" si="15"/>
        <v>88</v>
      </c>
      <c r="AB59" s="78">
        <f t="shared" si="16"/>
        <v>88</v>
      </c>
      <c r="AC59" s="78">
        <f t="shared" si="2"/>
        <v>176</v>
      </c>
      <c r="AD59" s="78">
        <f t="shared" si="17"/>
        <v>979.44</v>
      </c>
      <c r="AE59" s="78">
        <f t="shared" si="18"/>
        <v>288</v>
      </c>
      <c r="AF59" s="78">
        <f t="shared" si="19"/>
        <v>107.2</v>
      </c>
      <c r="AG59" s="78">
        <f t="shared" si="5"/>
        <v>910.6400000000001</v>
      </c>
      <c r="AH59" s="78">
        <f t="shared" si="6"/>
        <v>1198.6400000000001</v>
      </c>
      <c r="AI59" s="78">
        <f t="shared" si="7"/>
        <v>74.93421052631578</v>
      </c>
      <c r="AJ59" s="78">
        <f t="shared" si="8"/>
        <v>56.715587044534402</v>
      </c>
    </row>
    <row r="60" spans="5:36" x14ac:dyDescent="0.2">
      <c r="E60" s="66">
        <v>37</v>
      </c>
      <c r="F60" s="66" t="s">
        <v>126</v>
      </c>
      <c r="G60" s="66">
        <v>145.97999999999999</v>
      </c>
      <c r="H60" s="83">
        <v>29.3</v>
      </c>
      <c r="I60" s="83">
        <f t="shared" si="9"/>
        <v>4277.2139999999999</v>
      </c>
      <c r="J60" s="83">
        <f t="shared" si="10"/>
        <v>4250</v>
      </c>
      <c r="K60" s="83">
        <v>320.3</v>
      </c>
      <c r="L60" s="83">
        <f t="shared" si="11"/>
        <v>46757.394</v>
      </c>
      <c r="M60" s="73">
        <v>72.989999999999995</v>
      </c>
      <c r="N60" s="73">
        <v>80</v>
      </c>
      <c r="O60" s="73">
        <v>40</v>
      </c>
      <c r="P60" s="73">
        <f t="shared" si="12"/>
        <v>9</v>
      </c>
      <c r="Q60" s="73">
        <v>720</v>
      </c>
      <c r="R60" s="73">
        <f t="shared" si="13"/>
        <v>6480</v>
      </c>
      <c r="S60" s="69">
        <v>6560</v>
      </c>
      <c r="T60" s="69">
        <v>2460</v>
      </c>
      <c r="U60" s="69">
        <v>4000</v>
      </c>
      <c r="V60" s="69">
        <v>3840</v>
      </c>
      <c r="W60" s="78">
        <f t="shared" si="14"/>
        <v>49500</v>
      </c>
      <c r="X60" s="78">
        <v>1000</v>
      </c>
      <c r="Y60" s="78">
        <v>500</v>
      </c>
      <c r="Z60" s="78">
        <f t="shared" si="1"/>
        <v>48000</v>
      </c>
      <c r="AA60" s="78">
        <f t="shared" si="15"/>
        <v>99</v>
      </c>
      <c r="AB60" s="78">
        <f t="shared" si="16"/>
        <v>99</v>
      </c>
      <c r="AC60" s="78">
        <f t="shared" si="2"/>
        <v>198</v>
      </c>
      <c r="AD60" s="78">
        <f t="shared" si="17"/>
        <v>1102.0800000000002</v>
      </c>
      <c r="AE60" s="78">
        <f t="shared" si="18"/>
        <v>295.2</v>
      </c>
      <c r="AF60" s="78">
        <f t="shared" si="19"/>
        <v>128</v>
      </c>
      <c r="AG60" s="78">
        <f t="shared" si="5"/>
        <v>1032.0800000000002</v>
      </c>
      <c r="AH60" s="78">
        <f t="shared" si="6"/>
        <v>1327.2800000000002</v>
      </c>
      <c r="AI60" s="78">
        <f t="shared" si="7"/>
        <v>77.452741020793951</v>
      </c>
      <c r="AJ60" s="78">
        <f t="shared" si="8"/>
        <v>60.014177693761802</v>
      </c>
    </row>
    <row r="61" spans="5:36" x14ac:dyDescent="0.2">
      <c r="E61" s="66">
        <v>38</v>
      </c>
      <c r="F61" s="66" t="s">
        <v>126</v>
      </c>
      <c r="G61" s="66">
        <v>154.47999999999999</v>
      </c>
      <c r="H61" s="83">
        <v>29.3</v>
      </c>
      <c r="I61" s="83">
        <f t="shared" si="9"/>
        <v>4526.2640000000001</v>
      </c>
      <c r="J61" s="83">
        <f t="shared" si="10"/>
        <v>4750</v>
      </c>
      <c r="K61" s="83">
        <v>320.3</v>
      </c>
      <c r="L61" s="83">
        <f t="shared" si="11"/>
        <v>49479.943999999996</v>
      </c>
      <c r="M61" s="73">
        <v>77.239999999999995</v>
      </c>
      <c r="N61" s="73">
        <v>53</v>
      </c>
      <c r="O61" s="73">
        <v>40</v>
      </c>
      <c r="P61" s="73">
        <f t="shared" si="12"/>
        <v>9</v>
      </c>
      <c r="Q61" s="73">
        <v>720</v>
      </c>
      <c r="R61" s="73">
        <f t="shared" si="13"/>
        <v>6480</v>
      </c>
      <c r="S61" s="69">
        <v>6560</v>
      </c>
      <c r="T61" s="69">
        <v>2610</v>
      </c>
      <c r="U61" s="69">
        <v>3850</v>
      </c>
      <c r="V61" s="69">
        <v>4190</v>
      </c>
      <c r="W61" s="78">
        <f t="shared" si="14"/>
        <v>49500</v>
      </c>
      <c r="X61" s="78">
        <v>1000</v>
      </c>
      <c r="Y61" s="78">
        <v>500</v>
      </c>
      <c r="Z61" s="78">
        <f t="shared" si="1"/>
        <v>48000</v>
      </c>
      <c r="AA61" s="78">
        <f t="shared" si="15"/>
        <v>99</v>
      </c>
      <c r="AB61" s="78">
        <f t="shared" si="16"/>
        <v>99</v>
      </c>
      <c r="AC61" s="78">
        <f t="shared" si="2"/>
        <v>198</v>
      </c>
      <c r="AD61" s="78">
        <f t="shared" si="17"/>
        <v>1102.0800000000002</v>
      </c>
      <c r="AE61" s="78">
        <f t="shared" si="18"/>
        <v>313.2</v>
      </c>
      <c r="AF61" s="78">
        <f t="shared" si="19"/>
        <v>123.2</v>
      </c>
      <c r="AG61" s="78">
        <f t="shared" si="5"/>
        <v>1027.2800000000002</v>
      </c>
      <c r="AH61" s="78">
        <f t="shared" si="6"/>
        <v>1340.4800000000002</v>
      </c>
      <c r="AI61" s="78">
        <f t="shared" si="7"/>
        <v>76.141154903758007</v>
      </c>
      <c r="AJ61" s="78">
        <f t="shared" si="8"/>
        <v>58.198900091659013</v>
      </c>
    </row>
    <row r="62" spans="5:36" x14ac:dyDescent="0.2">
      <c r="E62" s="66">
        <v>39</v>
      </c>
      <c r="F62" s="66" t="s">
        <v>123</v>
      </c>
      <c r="G62" s="66">
        <v>92.54</v>
      </c>
      <c r="H62" s="83">
        <v>29.3</v>
      </c>
      <c r="I62" s="83">
        <f t="shared" si="9"/>
        <v>2711.422</v>
      </c>
      <c r="J62" s="83">
        <f t="shared" si="10"/>
        <v>2750</v>
      </c>
      <c r="K62" s="83">
        <v>353</v>
      </c>
      <c r="L62" s="83">
        <f t="shared" si="11"/>
        <v>32666.620000000003</v>
      </c>
      <c r="M62" s="73">
        <v>46.27</v>
      </c>
      <c r="N62" s="73">
        <v>30</v>
      </c>
      <c r="O62" s="73">
        <v>40</v>
      </c>
      <c r="P62" s="73">
        <f t="shared" si="12"/>
        <v>5</v>
      </c>
      <c r="Q62" s="73">
        <v>720</v>
      </c>
      <c r="R62" s="73">
        <f t="shared" si="13"/>
        <v>3600</v>
      </c>
      <c r="S62" s="69">
        <v>3640</v>
      </c>
      <c r="T62" s="69">
        <v>1610</v>
      </c>
      <c r="U62" s="69">
        <v>1980</v>
      </c>
      <c r="V62" s="69">
        <v>2720</v>
      </c>
      <c r="W62" s="78">
        <f t="shared" si="14"/>
        <v>27500</v>
      </c>
      <c r="X62" s="78">
        <v>1000</v>
      </c>
      <c r="Y62" s="78">
        <v>500</v>
      </c>
      <c r="Z62" s="78">
        <f t="shared" si="1"/>
        <v>26000</v>
      </c>
      <c r="AA62" s="78">
        <f t="shared" si="15"/>
        <v>55</v>
      </c>
      <c r="AB62" s="78">
        <f t="shared" si="16"/>
        <v>55</v>
      </c>
      <c r="AC62" s="78">
        <f t="shared" si="2"/>
        <v>110</v>
      </c>
      <c r="AD62" s="78">
        <f t="shared" si="17"/>
        <v>611.52</v>
      </c>
      <c r="AE62" s="78">
        <f t="shared" si="18"/>
        <v>193.2</v>
      </c>
      <c r="AF62" s="78">
        <f t="shared" si="19"/>
        <v>63.36</v>
      </c>
      <c r="AG62" s="78">
        <f t="shared" si="5"/>
        <v>564.88</v>
      </c>
      <c r="AH62" s="78">
        <f t="shared" si="6"/>
        <v>758.08</v>
      </c>
      <c r="AI62" s="78">
        <f t="shared" si="7"/>
        <v>71.29716245712504</v>
      </c>
      <c r="AJ62" s="78">
        <f t="shared" si="8"/>
        <v>52.47115684440287</v>
      </c>
    </row>
    <row r="63" spans="5:36" x14ac:dyDescent="0.2">
      <c r="E63" s="66">
        <v>40</v>
      </c>
      <c r="F63" s="66" t="s">
        <v>123</v>
      </c>
      <c r="G63" s="66">
        <v>74.400000000000006</v>
      </c>
      <c r="H63" s="83">
        <v>29.3</v>
      </c>
      <c r="I63" s="83">
        <f t="shared" si="9"/>
        <v>2179.92</v>
      </c>
      <c r="J63" s="83">
        <f t="shared" si="10"/>
        <v>2250</v>
      </c>
      <c r="K63" s="83">
        <v>353</v>
      </c>
      <c r="L63" s="83">
        <f t="shared" si="11"/>
        <v>26263.200000000001</v>
      </c>
      <c r="M63" s="73">
        <v>37.200000000000003</v>
      </c>
      <c r="N63" s="73">
        <v>4</v>
      </c>
      <c r="O63" s="73">
        <v>40</v>
      </c>
      <c r="P63" s="73">
        <f t="shared" si="12"/>
        <v>4</v>
      </c>
      <c r="Q63" s="73">
        <v>720</v>
      </c>
      <c r="R63" s="73">
        <f t="shared" si="13"/>
        <v>2880</v>
      </c>
      <c r="S63" s="69">
        <v>2910</v>
      </c>
      <c r="T63" s="69">
        <v>1510</v>
      </c>
      <c r="U63" s="69">
        <v>1360</v>
      </c>
      <c r="V63" s="69">
        <v>2820</v>
      </c>
      <c r="W63" s="78">
        <f t="shared" si="14"/>
        <v>22000</v>
      </c>
      <c r="X63" s="78">
        <v>1000</v>
      </c>
      <c r="Y63" s="78">
        <v>500</v>
      </c>
      <c r="Z63" s="78">
        <f t="shared" si="1"/>
        <v>20500</v>
      </c>
      <c r="AA63" s="78">
        <f t="shared" si="15"/>
        <v>44</v>
      </c>
      <c r="AB63" s="78">
        <f t="shared" si="16"/>
        <v>44</v>
      </c>
      <c r="AC63" s="78">
        <f t="shared" si="2"/>
        <v>88</v>
      </c>
      <c r="AD63" s="78">
        <f t="shared" si="17"/>
        <v>611.1</v>
      </c>
      <c r="AE63" s="78">
        <f t="shared" si="18"/>
        <v>181.2</v>
      </c>
      <c r="AF63" s="78">
        <f t="shared" si="19"/>
        <v>43.52</v>
      </c>
      <c r="AG63" s="78">
        <f t="shared" si="5"/>
        <v>566.62</v>
      </c>
      <c r="AH63" s="78">
        <f t="shared" si="6"/>
        <v>747.81999999999994</v>
      </c>
      <c r="AI63" s="78">
        <f t="shared" si="7"/>
        <v>53.188412246351014</v>
      </c>
      <c r="AJ63" s="78">
        <f t="shared" si="8"/>
        <v>33.02999288002848</v>
      </c>
    </row>
    <row r="64" spans="5:36" x14ac:dyDescent="0.2">
      <c r="E64" s="66">
        <v>41</v>
      </c>
      <c r="F64" s="66" t="s">
        <v>126</v>
      </c>
      <c r="G64" s="66">
        <v>177.28</v>
      </c>
      <c r="H64" s="83">
        <v>29.3</v>
      </c>
      <c r="I64" s="83">
        <f t="shared" si="9"/>
        <v>5194.3040000000001</v>
      </c>
      <c r="J64" s="83">
        <f t="shared" si="10"/>
        <v>5250</v>
      </c>
      <c r="K64" s="83">
        <v>320.3</v>
      </c>
      <c r="L64" s="83">
        <f t="shared" si="11"/>
        <v>56782.784</v>
      </c>
      <c r="M64" s="73">
        <v>88.64</v>
      </c>
      <c r="N64" s="73">
        <v>4</v>
      </c>
      <c r="O64" s="73">
        <v>40</v>
      </c>
      <c r="P64" s="73">
        <f t="shared" si="12"/>
        <v>11</v>
      </c>
      <c r="Q64" s="73">
        <v>720</v>
      </c>
      <c r="R64" s="73">
        <f t="shared" si="13"/>
        <v>7920</v>
      </c>
      <c r="S64" s="69">
        <v>8010</v>
      </c>
      <c r="T64" s="69">
        <v>2890</v>
      </c>
      <c r="U64" s="69">
        <v>5010</v>
      </c>
      <c r="V64" s="69">
        <v>4410</v>
      </c>
      <c r="W64" s="78">
        <f t="shared" si="14"/>
        <v>60500</v>
      </c>
      <c r="X64" s="78">
        <v>1000</v>
      </c>
      <c r="Y64" s="78">
        <v>500</v>
      </c>
      <c r="Z64" s="78">
        <f t="shared" si="1"/>
        <v>59000</v>
      </c>
      <c r="AA64" s="78">
        <f t="shared" si="15"/>
        <v>121</v>
      </c>
      <c r="AB64" s="78">
        <f t="shared" si="16"/>
        <v>121</v>
      </c>
      <c r="AC64" s="78">
        <f t="shared" si="2"/>
        <v>242</v>
      </c>
      <c r="AD64" s="78">
        <f t="shared" si="17"/>
        <v>1217.52</v>
      </c>
      <c r="AE64" s="78">
        <f t="shared" si="18"/>
        <v>346.8</v>
      </c>
      <c r="AF64" s="78">
        <f t="shared" si="19"/>
        <v>160.32</v>
      </c>
      <c r="AG64" s="78">
        <f t="shared" si="5"/>
        <v>1135.8399999999999</v>
      </c>
      <c r="AH64" s="78">
        <f t="shared" si="6"/>
        <v>1482.6399999999999</v>
      </c>
      <c r="AI64" s="78">
        <f t="shared" si="7"/>
        <v>85.348635431456074</v>
      </c>
      <c r="AJ64" s="78">
        <f t="shared" si="8"/>
        <v>68.252090235052847</v>
      </c>
    </row>
    <row r="65" spans="5:36" x14ac:dyDescent="0.2">
      <c r="E65" s="66">
        <v>42</v>
      </c>
      <c r="F65" s="66" t="s">
        <v>126</v>
      </c>
      <c r="G65" s="66">
        <v>165.26</v>
      </c>
      <c r="H65" s="83">
        <v>29.3</v>
      </c>
      <c r="I65" s="83">
        <f t="shared" si="9"/>
        <v>4842.1179999999995</v>
      </c>
      <c r="J65" s="83">
        <f t="shared" si="10"/>
        <v>4750</v>
      </c>
      <c r="K65" s="83">
        <v>320.3</v>
      </c>
      <c r="L65" s="83">
        <f t="shared" si="11"/>
        <v>52932.777999999998</v>
      </c>
      <c r="M65" s="73">
        <v>82.63</v>
      </c>
      <c r="N65" s="73">
        <v>0</v>
      </c>
      <c r="O65" s="73">
        <v>40</v>
      </c>
      <c r="P65" s="73">
        <f t="shared" si="12"/>
        <v>10</v>
      </c>
      <c r="Q65" s="73">
        <v>720</v>
      </c>
      <c r="R65" s="73">
        <f t="shared" si="13"/>
        <v>7200</v>
      </c>
      <c r="S65" s="69">
        <v>7280</v>
      </c>
      <c r="T65" s="69">
        <v>2670</v>
      </c>
      <c r="U65" s="69">
        <v>4500</v>
      </c>
      <c r="V65" s="69">
        <v>4120</v>
      </c>
      <c r="W65" s="78">
        <f t="shared" si="14"/>
        <v>55000</v>
      </c>
      <c r="X65" s="78">
        <v>1000</v>
      </c>
      <c r="Y65" s="78">
        <v>500</v>
      </c>
      <c r="Z65" s="78">
        <f t="shared" si="1"/>
        <v>53500</v>
      </c>
      <c r="AA65" s="78">
        <f t="shared" si="15"/>
        <v>110</v>
      </c>
      <c r="AB65" s="78">
        <f t="shared" si="16"/>
        <v>110</v>
      </c>
      <c r="AC65" s="78">
        <f t="shared" si="2"/>
        <v>220</v>
      </c>
      <c r="AD65" s="78">
        <f t="shared" si="17"/>
        <v>1223.04</v>
      </c>
      <c r="AE65" s="78">
        <f t="shared" si="18"/>
        <v>320.39999999999998</v>
      </c>
      <c r="AF65" s="78">
        <f t="shared" si="19"/>
        <v>144</v>
      </c>
      <c r="AG65" s="78">
        <f t="shared" si="5"/>
        <v>1147.04</v>
      </c>
      <c r="AH65" s="78">
        <f t="shared" si="6"/>
        <v>1467.44</v>
      </c>
      <c r="AI65" s="78">
        <f t="shared" si="7"/>
        <v>78.453919035314385</v>
      </c>
      <c r="AJ65" s="78">
        <f t="shared" si="8"/>
        <v>61.205857019810509</v>
      </c>
    </row>
    <row r="66" spans="5:36" x14ac:dyDescent="0.2">
      <c r="E66" s="66">
        <v>43</v>
      </c>
      <c r="F66" s="66" t="s">
        <v>126</v>
      </c>
      <c r="G66" s="66">
        <v>120.3</v>
      </c>
      <c r="H66" s="83">
        <v>29.3</v>
      </c>
      <c r="I66" s="83">
        <f t="shared" si="9"/>
        <v>3524.79</v>
      </c>
      <c r="J66" s="83">
        <f t="shared" si="10"/>
        <v>3750</v>
      </c>
      <c r="K66" s="83">
        <v>320.3</v>
      </c>
      <c r="L66" s="83">
        <f t="shared" si="11"/>
        <v>38532.090000000004</v>
      </c>
      <c r="M66" s="73">
        <v>60.15</v>
      </c>
      <c r="N66" s="73">
        <v>21</v>
      </c>
      <c r="O66" s="73">
        <v>40</v>
      </c>
      <c r="P66" s="73">
        <f t="shared" si="12"/>
        <v>7</v>
      </c>
      <c r="Q66" s="73">
        <v>720</v>
      </c>
      <c r="R66" s="73">
        <f t="shared" si="13"/>
        <v>5040</v>
      </c>
      <c r="S66" s="69">
        <v>5100</v>
      </c>
      <c r="T66" s="69">
        <v>2180</v>
      </c>
      <c r="U66" s="69">
        <v>2840</v>
      </c>
      <c r="V66" s="69">
        <v>3630</v>
      </c>
      <c r="W66" s="78">
        <f t="shared" si="14"/>
        <v>38500</v>
      </c>
      <c r="X66" s="78">
        <v>1000</v>
      </c>
      <c r="Y66" s="78">
        <v>500</v>
      </c>
      <c r="Z66" s="78">
        <f t="shared" si="1"/>
        <v>37000</v>
      </c>
      <c r="AA66" s="78">
        <f t="shared" si="15"/>
        <v>77</v>
      </c>
      <c r="AB66" s="78">
        <f t="shared" si="16"/>
        <v>77</v>
      </c>
      <c r="AC66" s="78">
        <f t="shared" si="2"/>
        <v>154</v>
      </c>
      <c r="AD66" s="78">
        <f t="shared" si="17"/>
        <v>856.80000000000007</v>
      </c>
      <c r="AE66" s="78">
        <f t="shared" si="18"/>
        <v>261.59999999999997</v>
      </c>
      <c r="AF66" s="78">
        <f t="shared" si="19"/>
        <v>90.88</v>
      </c>
      <c r="AG66" s="78">
        <f t="shared" si="5"/>
        <v>793.68000000000006</v>
      </c>
      <c r="AH66" s="78">
        <f t="shared" si="6"/>
        <v>1055.2800000000002</v>
      </c>
      <c r="AI66" s="78">
        <f t="shared" si="7"/>
        <v>73.677939173853844</v>
      </c>
      <c r="AJ66" s="78">
        <f t="shared" si="8"/>
        <v>55.123694961416248</v>
      </c>
    </row>
    <row r="67" spans="5:36" x14ac:dyDescent="0.2">
      <c r="E67" s="66">
        <v>44</v>
      </c>
      <c r="F67" s="66" t="s">
        <v>126</v>
      </c>
      <c r="G67" s="66">
        <v>121.66</v>
      </c>
      <c r="H67" s="83">
        <v>29.3</v>
      </c>
      <c r="I67" s="83">
        <f t="shared" si="9"/>
        <v>3564.6379999999999</v>
      </c>
      <c r="J67" s="83">
        <f t="shared" si="10"/>
        <v>3750</v>
      </c>
      <c r="K67" s="83">
        <v>320.3</v>
      </c>
      <c r="L67" s="83">
        <f t="shared" si="11"/>
        <v>38967.697999999997</v>
      </c>
      <c r="M67" s="73">
        <v>60.83</v>
      </c>
      <c r="N67" s="73">
        <v>20</v>
      </c>
      <c r="O67" s="73">
        <v>40</v>
      </c>
      <c r="P67" s="73">
        <f t="shared" si="12"/>
        <v>7</v>
      </c>
      <c r="Q67" s="73">
        <v>720</v>
      </c>
      <c r="R67" s="73">
        <f t="shared" si="13"/>
        <v>5040</v>
      </c>
      <c r="S67" s="69">
        <v>5100</v>
      </c>
      <c r="T67" s="69">
        <v>2180</v>
      </c>
      <c r="U67" s="69">
        <v>2840</v>
      </c>
      <c r="V67" s="69">
        <v>3630</v>
      </c>
      <c r="W67" s="78">
        <f t="shared" si="14"/>
        <v>38500</v>
      </c>
      <c r="X67" s="78">
        <v>1000</v>
      </c>
      <c r="Y67" s="78">
        <v>500</v>
      </c>
      <c r="Z67" s="78">
        <f t="shared" si="1"/>
        <v>37000</v>
      </c>
      <c r="AA67" s="78">
        <f t="shared" si="15"/>
        <v>77</v>
      </c>
      <c r="AB67" s="78">
        <f t="shared" si="16"/>
        <v>77</v>
      </c>
      <c r="AC67" s="78">
        <f t="shared" si="2"/>
        <v>154</v>
      </c>
      <c r="AD67" s="78">
        <f t="shared" si="17"/>
        <v>856.80000000000007</v>
      </c>
      <c r="AE67" s="78">
        <f t="shared" si="18"/>
        <v>261.59999999999997</v>
      </c>
      <c r="AF67" s="78">
        <f t="shared" si="19"/>
        <v>90.88</v>
      </c>
      <c r="AG67" s="78">
        <f t="shared" si="5"/>
        <v>793.68000000000006</v>
      </c>
      <c r="AH67" s="78">
        <f t="shared" si="6"/>
        <v>1055.2800000000002</v>
      </c>
      <c r="AI67" s="78">
        <f t="shared" si="7"/>
        <v>73.677939173853844</v>
      </c>
      <c r="AJ67" s="78">
        <f t="shared" si="8"/>
        <v>55.123694961416248</v>
      </c>
    </row>
    <row r="68" spans="5:36" x14ac:dyDescent="0.2">
      <c r="E68" s="66">
        <v>45</v>
      </c>
      <c r="F68" s="66" t="s">
        <v>126</v>
      </c>
      <c r="G68" s="66">
        <v>163.76</v>
      </c>
      <c r="H68" s="83">
        <v>29.3</v>
      </c>
      <c r="I68" s="83">
        <f t="shared" si="9"/>
        <v>4798.1679999999997</v>
      </c>
      <c r="J68" s="83">
        <f t="shared" si="10"/>
        <v>4750</v>
      </c>
      <c r="K68" s="83">
        <v>320.3</v>
      </c>
      <c r="L68" s="83">
        <f t="shared" si="11"/>
        <v>52452.328000000001</v>
      </c>
      <c r="M68" s="73">
        <v>81.88</v>
      </c>
      <c r="N68" s="73">
        <v>17</v>
      </c>
      <c r="O68" s="73">
        <v>40</v>
      </c>
      <c r="P68" s="73">
        <f t="shared" si="12"/>
        <v>10</v>
      </c>
      <c r="Q68" s="73">
        <v>720</v>
      </c>
      <c r="R68" s="73">
        <f t="shared" si="13"/>
        <v>7200</v>
      </c>
      <c r="S68" s="69">
        <v>7280</v>
      </c>
      <c r="T68" s="69">
        <v>2670</v>
      </c>
      <c r="U68" s="69">
        <v>4500</v>
      </c>
      <c r="V68" s="69">
        <v>4120</v>
      </c>
      <c r="W68" s="78">
        <f t="shared" si="14"/>
        <v>55000</v>
      </c>
      <c r="X68" s="78">
        <v>1000</v>
      </c>
      <c r="Y68" s="78">
        <v>500</v>
      </c>
      <c r="Z68" s="78">
        <f t="shared" si="1"/>
        <v>53500</v>
      </c>
      <c r="AA68" s="78">
        <f t="shared" si="15"/>
        <v>110</v>
      </c>
      <c r="AB68" s="78">
        <f t="shared" si="16"/>
        <v>110</v>
      </c>
      <c r="AC68" s="78">
        <f t="shared" si="2"/>
        <v>220</v>
      </c>
      <c r="AD68" s="78">
        <f t="shared" si="17"/>
        <v>1223.04</v>
      </c>
      <c r="AE68" s="78">
        <f t="shared" si="18"/>
        <v>320.39999999999998</v>
      </c>
      <c r="AF68" s="78">
        <f t="shared" si="19"/>
        <v>144</v>
      </c>
      <c r="AG68" s="78">
        <f t="shared" si="5"/>
        <v>1147.04</v>
      </c>
      <c r="AH68" s="78">
        <f t="shared" si="6"/>
        <v>1467.44</v>
      </c>
      <c r="AI68" s="78">
        <f t="shared" si="7"/>
        <v>78.453919035314385</v>
      </c>
      <c r="AJ68" s="78">
        <f t="shared" si="8"/>
        <v>61.205857019810509</v>
      </c>
    </row>
    <row r="69" spans="5:36" x14ac:dyDescent="0.2">
      <c r="E69" s="66">
        <v>46</v>
      </c>
      <c r="F69" s="66" t="s">
        <v>126</v>
      </c>
      <c r="G69" s="66">
        <v>124.66</v>
      </c>
      <c r="H69" s="83">
        <v>29.3</v>
      </c>
      <c r="I69" s="83">
        <f t="shared" si="9"/>
        <v>3652.538</v>
      </c>
      <c r="J69" s="83">
        <f t="shared" si="10"/>
        <v>3750</v>
      </c>
      <c r="K69" s="83">
        <v>320.3</v>
      </c>
      <c r="L69" s="83">
        <f t="shared" si="11"/>
        <v>39928.597999999998</v>
      </c>
      <c r="M69" s="73">
        <v>62.33</v>
      </c>
      <c r="N69" s="73">
        <v>290</v>
      </c>
      <c r="O69" s="73">
        <v>40</v>
      </c>
      <c r="P69" s="73">
        <f t="shared" si="12"/>
        <v>7</v>
      </c>
      <c r="Q69" s="73">
        <v>720</v>
      </c>
      <c r="R69" s="73">
        <f t="shared" si="13"/>
        <v>5040</v>
      </c>
      <c r="S69" s="69">
        <v>5100</v>
      </c>
      <c r="T69" s="69">
        <v>2180</v>
      </c>
      <c r="U69" s="69">
        <v>2840</v>
      </c>
      <c r="V69" s="69">
        <v>3630</v>
      </c>
      <c r="W69" s="78">
        <f t="shared" si="14"/>
        <v>38500</v>
      </c>
      <c r="X69" s="78">
        <v>1000</v>
      </c>
      <c r="Y69" s="78">
        <v>500</v>
      </c>
      <c r="Z69" s="78">
        <f t="shared" si="1"/>
        <v>37000</v>
      </c>
      <c r="AA69" s="78">
        <f t="shared" si="15"/>
        <v>77</v>
      </c>
      <c r="AB69" s="78">
        <f t="shared" si="16"/>
        <v>77</v>
      </c>
      <c r="AC69" s="78">
        <f t="shared" si="2"/>
        <v>154</v>
      </c>
      <c r="AD69" s="78">
        <f t="shared" si="17"/>
        <v>856.80000000000007</v>
      </c>
      <c r="AE69" s="78">
        <f t="shared" si="18"/>
        <v>261.59999999999997</v>
      </c>
      <c r="AF69" s="78">
        <f t="shared" si="19"/>
        <v>90.88</v>
      </c>
      <c r="AG69" s="78">
        <f t="shared" si="5"/>
        <v>793.68000000000006</v>
      </c>
      <c r="AH69" s="78">
        <f t="shared" si="6"/>
        <v>1055.2800000000002</v>
      </c>
      <c r="AI69" s="78">
        <f t="shared" si="7"/>
        <v>73.677939173853844</v>
      </c>
      <c r="AJ69" s="78">
        <f t="shared" si="8"/>
        <v>55.123694961416248</v>
      </c>
    </row>
    <row r="70" spans="5:36" x14ac:dyDescent="0.2">
      <c r="E70" s="66">
        <v>47</v>
      </c>
      <c r="F70" s="66" t="s">
        <v>126</v>
      </c>
      <c r="G70" s="66">
        <v>128.84</v>
      </c>
      <c r="H70" s="83">
        <v>29.3</v>
      </c>
      <c r="I70" s="83">
        <f t="shared" si="9"/>
        <v>3775.0120000000002</v>
      </c>
      <c r="J70" s="83">
        <f t="shared" si="10"/>
        <v>3750</v>
      </c>
      <c r="K70" s="83">
        <v>320.3</v>
      </c>
      <c r="L70" s="83">
        <f t="shared" si="11"/>
        <v>41267.452000000005</v>
      </c>
      <c r="M70" s="73">
        <v>64.42</v>
      </c>
      <c r="N70" s="73">
        <v>293</v>
      </c>
      <c r="O70" s="73">
        <v>40</v>
      </c>
      <c r="P70" s="73">
        <f t="shared" si="12"/>
        <v>8</v>
      </c>
      <c r="Q70" s="73">
        <v>720</v>
      </c>
      <c r="R70" s="73">
        <f t="shared" si="13"/>
        <v>5760</v>
      </c>
      <c r="S70" s="69">
        <v>5830</v>
      </c>
      <c r="T70" s="69">
        <v>2250</v>
      </c>
      <c r="U70" s="69">
        <v>3490</v>
      </c>
      <c r="V70" s="69">
        <v>3560</v>
      </c>
      <c r="W70" s="78">
        <f t="shared" si="14"/>
        <v>44000</v>
      </c>
      <c r="X70" s="78">
        <v>1000</v>
      </c>
      <c r="Y70" s="78">
        <v>500</v>
      </c>
      <c r="Z70" s="78">
        <f t="shared" si="1"/>
        <v>42500</v>
      </c>
      <c r="AA70" s="78">
        <f t="shared" si="15"/>
        <v>88</v>
      </c>
      <c r="AB70" s="78">
        <f t="shared" si="16"/>
        <v>88</v>
      </c>
      <c r="AC70" s="78">
        <f t="shared" si="2"/>
        <v>176</v>
      </c>
      <c r="AD70" s="78">
        <f t="shared" si="17"/>
        <v>979.44</v>
      </c>
      <c r="AE70" s="78">
        <f t="shared" si="18"/>
        <v>270</v>
      </c>
      <c r="AF70" s="78">
        <f t="shared" si="19"/>
        <v>111.68</v>
      </c>
      <c r="AG70" s="78">
        <f t="shared" si="5"/>
        <v>915.12000000000012</v>
      </c>
      <c r="AH70" s="78">
        <f t="shared" si="6"/>
        <v>1185.1200000000001</v>
      </c>
      <c r="AI70" s="78">
        <f t="shared" si="7"/>
        <v>76.409557744707598</v>
      </c>
      <c r="AJ70" s="78">
        <f t="shared" si="8"/>
        <v>58.724586040662324</v>
      </c>
    </row>
    <row r="71" spans="5:36" x14ac:dyDescent="0.2">
      <c r="E71" s="66">
        <v>48</v>
      </c>
      <c r="F71" s="66" t="s">
        <v>123</v>
      </c>
      <c r="G71" s="66">
        <v>144.11000000000001</v>
      </c>
      <c r="H71" s="83">
        <v>29.3</v>
      </c>
      <c r="I71" s="83">
        <f t="shared" si="9"/>
        <v>4222.4230000000007</v>
      </c>
      <c r="J71" s="83">
        <f t="shared" si="10"/>
        <v>4250</v>
      </c>
      <c r="K71" s="83">
        <v>353</v>
      </c>
      <c r="L71" s="83">
        <f t="shared" si="11"/>
        <v>50870.83</v>
      </c>
      <c r="M71" s="73">
        <v>72.055000000000007</v>
      </c>
      <c r="N71" s="73">
        <v>71</v>
      </c>
      <c r="O71" s="73">
        <v>40</v>
      </c>
      <c r="P71" s="73">
        <f t="shared" si="12"/>
        <v>9</v>
      </c>
      <c r="Q71" s="73">
        <v>720</v>
      </c>
      <c r="R71" s="73">
        <f t="shared" si="13"/>
        <v>6480</v>
      </c>
      <c r="S71" s="69">
        <v>6560</v>
      </c>
      <c r="T71" s="69">
        <v>2460</v>
      </c>
      <c r="U71" s="69">
        <v>4000</v>
      </c>
      <c r="V71" s="69">
        <v>3840</v>
      </c>
      <c r="W71" s="78">
        <f t="shared" si="14"/>
        <v>49500</v>
      </c>
      <c r="X71" s="78">
        <v>1000</v>
      </c>
      <c r="Y71" s="78">
        <v>500</v>
      </c>
      <c r="Z71" s="78">
        <f t="shared" si="1"/>
        <v>48000</v>
      </c>
      <c r="AA71" s="78">
        <f t="shared" si="15"/>
        <v>99</v>
      </c>
      <c r="AB71" s="78">
        <f t="shared" si="16"/>
        <v>99</v>
      </c>
      <c r="AC71" s="78">
        <f t="shared" si="2"/>
        <v>198</v>
      </c>
      <c r="AD71" s="78">
        <f t="shared" si="17"/>
        <v>1102.0800000000002</v>
      </c>
      <c r="AE71" s="78">
        <f t="shared" si="18"/>
        <v>295.2</v>
      </c>
      <c r="AF71" s="78">
        <f t="shared" si="19"/>
        <v>128</v>
      </c>
      <c r="AG71" s="78">
        <f t="shared" si="5"/>
        <v>1032.0800000000002</v>
      </c>
      <c r="AH71" s="78">
        <f t="shared" si="6"/>
        <v>1327.2800000000002</v>
      </c>
      <c r="AI71" s="78">
        <f t="shared" si="7"/>
        <v>77.452741020793951</v>
      </c>
      <c r="AJ71" s="78">
        <f t="shared" si="8"/>
        <v>60.014177693761802</v>
      </c>
    </row>
    <row r="72" spans="5:36" s="104" customFormat="1" x14ac:dyDescent="0.2">
      <c r="I72" s="104">
        <f>SUM(I22:I71)</f>
        <v>201116.51850000006</v>
      </c>
      <c r="P72" s="104">
        <f>SUM(P22:P71)</f>
        <v>402</v>
      </c>
      <c r="S72" s="104">
        <f>SUM(S22:S71)</f>
        <v>292790</v>
      </c>
      <c r="T72" s="104">
        <f t="shared" ref="T72:V72" si="20">SUM(T22:T71)</f>
        <v>114130</v>
      </c>
      <c r="U72" s="104">
        <f t="shared" si="20"/>
        <v>170070</v>
      </c>
      <c r="V72" s="104">
        <f t="shared" si="20"/>
        <v>183770</v>
      </c>
      <c r="W72" s="104">
        <f t="shared" si="14"/>
        <v>2211000</v>
      </c>
      <c r="AA72" s="104">
        <f t="shared" si="15"/>
        <v>4422</v>
      </c>
      <c r="AB72" s="104">
        <f t="shared" si="16"/>
        <v>4422</v>
      </c>
      <c r="AC72" s="104">
        <f t="shared" si="2"/>
        <v>8844</v>
      </c>
      <c r="AD72" s="104">
        <f>SUM(AD22:AD71)</f>
        <v>48879.340000000018</v>
      </c>
      <c r="AE72" s="104">
        <f t="shared" ref="AE72:AH72" si="21">SUM(AE22:AE71)</f>
        <v>13695.600000000004</v>
      </c>
      <c r="AF72" s="104">
        <f t="shared" si="21"/>
        <v>5442.2400000000007</v>
      </c>
      <c r="AG72" s="104">
        <f t="shared" si="21"/>
        <v>45477.580000000016</v>
      </c>
      <c r="AH72" s="104">
        <f t="shared" si="21"/>
        <v>59173.180000000008</v>
      </c>
      <c r="AI72" s="7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B1:S83"/>
  <sheetViews>
    <sheetView topLeftCell="D1" workbookViewId="0">
      <selection activeCell="O19" sqref="O19"/>
    </sheetView>
  </sheetViews>
  <sheetFormatPr defaultRowHeight="12.75" outlineLevelRow="1" x14ac:dyDescent="0.2"/>
  <cols>
    <col min="2" max="2" width="14.875" customWidth="1"/>
    <col min="3" max="3" width="17.25" style="91" bestFit="1" customWidth="1"/>
    <col min="13" max="16" width="14" style="93" customWidth="1"/>
    <col min="17" max="17" width="10.375" style="93" bestFit="1" customWidth="1"/>
    <col min="18" max="18" width="11.375" customWidth="1"/>
  </cols>
  <sheetData>
    <row r="1" spans="2:19" x14ac:dyDescent="0.2">
      <c r="D1" s="94"/>
      <c r="E1" s="95"/>
      <c r="F1" s="95"/>
      <c r="G1" s="96" t="s">
        <v>236</v>
      </c>
      <c r="H1" s="95"/>
      <c r="I1" s="95"/>
      <c r="J1" s="95"/>
      <c r="K1" s="95"/>
      <c r="L1" s="97"/>
      <c r="R1" s="17" t="s">
        <v>248</v>
      </c>
      <c r="S1" s="17" t="s">
        <v>249</v>
      </c>
    </row>
    <row r="2" spans="2:19" ht="39" thickBot="1" x14ac:dyDescent="0.25">
      <c r="B2" s="17" t="s">
        <v>198</v>
      </c>
      <c r="C2" s="89" t="s">
        <v>233</v>
      </c>
      <c r="D2" s="98">
        <v>4</v>
      </c>
      <c r="E2" s="99">
        <v>5</v>
      </c>
      <c r="F2" s="99">
        <v>6</v>
      </c>
      <c r="G2" s="99">
        <v>7</v>
      </c>
      <c r="H2" s="99">
        <v>8</v>
      </c>
      <c r="I2" s="99">
        <v>9</v>
      </c>
      <c r="J2" s="99">
        <v>10</v>
      </c>
      <c r="K2" s="99">
        <v>11</v>
      </c>
      <c r="L2" s="100">
        <v>12</v>
      </c>
      <c r="M2" s="75" t="s">
        <v>235</v>
      </c>
      <c r="N2" s="75" t="s">
        <v>238</v>
      </c>
      <c r="O2" s="75" t="s">
        <v>237</v>
      </c>
      <c r="P2" s="75" t="s">
        <v>239</v>
      </c>
      <c r="Q2" s="92" t="s">
        <v>207</v>
      </c>
    </row>
    <row r="3" spans="2:19" outlineLevel="1" x14ac:dyDescent="0.2">
      <c r="B3" s="88" t="s">
        <v>199</v>
      </c>
      <c r="C3" s="90">
        <v>2250</v>
      </c>
      <c r="D3">
        <v>1</v>
      </c>
      <c r="M3" s="93">
        <f>728*$D2</f>
        <v>2912</v>
      </c>
      <c r="N3">
        <v>1.51</v>
      </c>
      <c r="O3" s="93">
        <v>1.36</v>
      </c>
      <c r="P3" s="93">
        <v>2.82</v>
      </c>
      <c r="Q3" s="93">
        <v>49.66</v>
      </c>
      <c r="R3" s="93">
        <v>4</v>
      </c>
      <c r="S3" s="17" t="s">
        <v>240</v>
      </c>
    </row>
    <row r="4" spans="2:19" outlineLevel="1" x14ac:dyDescent="0.2">
      <c r="B4" s="17"/>
      <c r="C4" s="90">
        <v>2250</v>
      </c>
      <c r="E4">
        <v>1</v>
      </c>
      <c r="M4" s="93">
        <f>728*E2</f>
        <v>3640</v>
      </c>
      <c r="N4">
        <v>1.61</v>
      </c>
      <c r="O4" s="93">
        <v>1.98</v>
      </c>
      <c r="P4" s="93">
        <v>2.72</v>
      </c>
      <c r="Q4" s="93">
        <v>47.67</v>
      </c>
      <c r="R4" s="93">
        <v>5</v>
      </c>
    </row>
    <row r="5" spans="2:19" outlineLevel="1" x14ac:dyDescent="0.2">
      <c r="B5" s="17"/>
      <c r="C5" s="90">
        <v>2250</v>
      </c>
      <c r="F5">
        <v>1</v>
      </c>
      <c r="M5" s="93">
        <f>728*F2</f>
        <v>4368</v>
      </c>
      <c r="N5">
        <v>1.68</v>
      </c>
      <c r="O5" s="93">
        <v>2.63</v>
      </c>
      <c r="P5" s="93">
        <v>2.64</v>
      </c>
      <c r="Q5" s="93">
        <v>44.98</v>
      </c>
      <c r="R5" s="93">
        <v>6</v>
      </c>
    </row>
    <row r="6" spans="2:19" outlineLevel="1" x14ac:dyDescent="0.2">
      <c r="B6" s="17"/>
      <c r="C6" s="90">
        <v>2250</v>
      </c>
      <c r="G6">
        <v>1</v>
      </c>
      <c r="M6" s="93">
        <f>728*G2</f>
        <v>5096</v>
      </c>
      <c r="N6">
        <v>1.74</v>
      </c>
      <c r="O6" s="93">
        <v>3.29</v>
      </c>
      <c r="P6" s="93">
        <v>2.58</v>
      </c>
      <c r="Q6" s="93">
        <v>42.18</v>
      </c>
      <c r="R6" s="93">
        <v>7</v>
      </c>
    </row>
    <row r="7" spans="2:19" outlineLevel="1" x14ac:dyDescent="0.2">
      <c r="B7" s="17"/>
      <c r="C7" s="90">
        <v>2250</v>
      </c>
      <c r="H7">
        <v>1</v>
      </c>
      <c r="M7" s="93">
        <f>728*H2</f>
        <v>5824</v>
      </c>
      <c r="N7">
        <v>1.78</v>
      </c>
      <c r="O7" s="93">
        <v>3.96</v>
      </c>
      <c r="P7" s="93">
        <v>2.54</v>
      </c>
      <c r="Q7" s="93">
        <v>39.5</v>
      </c>
      <c r="R7" s="93">
        <v>8</v>
      </c>
    </row>
    <row r="8" spans="2:19" outlineLevel="1" x14ac:dyDescent="0.2">
      <c r="B8" s="17"/>
      <c r="C8" s="90">
        <v>2250</v>
      </c>
      <c r="I8">
        <v>1</v>
      </c>
      <c r="M8" s="93">
        <f>728*I2</f>
        <v>6552</v>
      </c>
      <c r="N8">
        <v>1.82</v>
      </c>
      <c r="O8" s="93">
        <v>4.6500000000000004</v>
      </c>
      <c r="P8" s="93">
        <v>2.4900000000000002</v>
      </c>
      <c r="Q8" s="93">
        <v>37.04</v>
      </c>
      <c r="R8" s="93">
        <v>9</v>
      </c>
    </row>
    <row r="9" spans="2:19" outlineLevel="1" x14ac:dyDescent="0.2">
      <c r="B9" s="17"/>
      <c r="C9" s="90">
        <v>2250</v>
      </c>
      <c r="J9">
        <v>1</v>
      </c>
      <c r="M9" s="93">
        <f>728*J2</f>
        <v>7280</v>
      </c>
      <c r="N9">
        <v>1.85</v>
      </c>
      <c r="O9" s="93">
        <v>5.34</v>
      </c>
      <c r="P9" s="93">
        <v>2.46</v>
      </c>
      <c r="Q9" s="93">
        <v>34.79</v>
      </c>
      <c r="R9" s="93">
        <v>10</v>
      </c>
    </row>
    <row r="10" spans="2:19" outlineLevel="1" x14ac:dyDescent="0.2">
      <c r="B10" s="17"/>
      <c r="C10" s="90">
        <v>2250</v>
      </c>
      <c r="K10">
        <v>1</v>
      </c>
      <c r="M10" s="93">
        <f>728*K2</f>
        <v>8008</v>
      </c>
      <c r="N10">
        <v>1.88</v>
      </c>
      <c r="O10" s="93">
        <v>6.03</v>
      </c>
      <c r="P10" s="93">
        <v>2.4300000000000002</v>
      </c>
      <c r="Q10" s="93">
        <v>32.770000000000003</v>
      </c>
      <c r="R10" s="93">
        <v>11</v>
      </c>
    </row>
    <row r="11" spans="2:19" outlineLevel="1" x14ac:dyDescent="0.2">
      <c r="B11" s="17"/>
      <c r="C11" s="90">
        <v>2250</v>
      </c>
      <c r="L11">
        <v>1</v>
      </c>
      <c r="M11" s="93">
        <f>728*L2</f>
        <v>8736</v>
      </c>
      <c r="N11">
        <v>1.9</v>
      </c>
      <c r="O11" s="93">
        <v>6.73</v>
      </c>
      <c r="P11" s="93">
        <v>2.41</v>
      </c>
      <c r="Q11" s="93">
        <v>30.94</v>
      </c>
      <c r="R11" s="93">
        <v>12</v>
      </c>
    </row>
    <row r="12" spans="2:19" x14ac:dyDescent="0.2">
      <c r="B12" s="88" t="s">
        <v>200</v>
      </c>
      <c r="C12" s="90">
        <v>2750</v>
      </c>
      <c r="D12">
        <v>1</v>
      </c>
      <c r="N12">
        <v>1.51</v>
      </c>
      <c r="O12" s="93">
        <v>1.36</v>
      </c>
      <c r="P12" s="93">
        <v>2.82</v>
      </c>
      <c r="Q12" s="93">
        <v>49.66</v>
      </c>
      <c r="R12" s="93">
        <v>4</v>
      </c>
      <c r="S12" s="17" t="s">
        <v>241</v>
      </c>
    </row>
    <row r="13" spans="2:19" x14ac:dyDescent="0.2">
      <c r="B13" s="17"/>
      <c r="C13" s="90">
        <v>2750</v>
      </c>
      <c r="E13" s="103">
        <v>1</v>
      </c>
      <c r="N13">
        <v>1.61</v>
      </c>
      <c r="O13" s="93">
        <v>1.98</v>
      </c>
      <c r="P13" s="93">
        <v>2.72</v>
      </c>
      <c r="Q13" s="93">
        <v>47.67</v>
      </c>
      <c r="R13" s="93">
        <v>5</v>
      </c>
    </row>
    <row r="14" spans="2:19" x14ac:dyDescent="0.2">
      <c r="B14" s="17"/>
      <c r="C14" s="90">
        <v>2750</v>
      </c>
      <c r="F14">
        <v>1</v>
      </c>
      <c r="N14">
        <v>1.68</v>
      </c>
      <c r="O14" s="93">
        <v>2.63</v>
      </c>
      <c r="P14" s="93">
        <v>2.64</v>
      </c>
      <c r="Q14" s="93">
        <v>44.98</v>
      </c>
      <c r="R14" s="93">
        <v>6</v>
      </c>
    </row>
    <row r="15" spans="2:19" x14ac:dyDescent="0.2">
      <c r="B15" s="17"/>
      <c r="C15" s="90">
        <v>2750</v>
      </c>
      <c r="G15">
        <v>1</v>
      </c>
      <c r="N15">
        <v>1.74</v>
      </c>
      <c r="O15" s="93">
        <v>3.29</v>
      </c>
      <c r="P15" s="93">
        <v>2.58</v>
      </c>
      <c r="Q15" s="93">
        <v>42.18</v>
      </c>
      <c r="R15" s="93">
        <v>7</v>
      </c>
    </row>
    <row r="16" spans="2:19" x14ac:dyDescent="0.2">
      <c r="B16" s="17"/>
      <c r="C16" s="90">
        <v>2750</v>
      </c>
      <c r="H16">
        <v>1</v>
      </c>
      <c r="N16">
        <v>1.78</v>
      </c>
      <c r="O16" s="93">
        <v>3.96</v>
      </c>
      <c r="P16" s="93">
        <v>2.54</v>
      </c>
      <c r="Q16" s="93">
        <v>39.5</v>
      </c>
      <c r="R16" s="93">
        <v>8</v>
      </c>
    </row>
    <row r="17" spans="2:19" x14ac:dyDescent="0.2">
      <c r="B17" s="17"/>
      <c r="C17" s="90">
        <v>2750</v>
      </c>
      <c r="I17">
        <v>1</v>
      </c>
      <c r="N17">
        <v>1.82</v>
      </c>
      <c r="O17" s="93">
        <v>4.6500000000000004</v>
      </c>
      <c r="P17" s="93">
        <v>2.4900000000000002</v>
      </c>
      <c r="Q17" s="93">
        <v>37.04</v>
      </c>
      <c r="R17" s="93">
        <v>9</v>
      </c>
    </row>
    <row r="18" spans="2:19" x14ac:dyDescent="0.2">
      <c r="B18" s="17"/>
      <c r="C18" s="90">
        <v>2750</v>
      </c>
      <c r="J18">
        <v>1</v>
      </c>
      <c r="N18">
        <v>1.85</v>
      </c>
      <c r="O18" s="93">
        <v>5.34</v>
      </c>
      <c r="P18" s="93">
        <v>2.46</v>
      </c>
      <c r="Q18" s="93">
        <v>34.79</v>
      </c>
      <c r="R18" s="93">
        <v>10</v>
      </c>
    </row>
    <row r="19" spans="2:19" x14ac:dyDescent="0.2">
      <c r="C19" s="90">
        <v>2750</v>
      </c>
      <c r="K19">
        <v>1</v>
      </c>
      <c r="N19">
        <v>1.88</v>
      </c>
      <c r="O19" s="93">
        <v>6.03</v>
      </c>
      <c r="P19" s="93">
        <v>2.4300000000000002</v>
      </c>
      <c r="Q19" s="93">
        <v>32.770000000000003</v>
      </c>
      <c r="R19" s="93">
        <v>11</v>
      </c>
    </row>
    <row r="20" spans="2:19" x14ac:dyDescent="0.2">
      <c r="C20" s="90">
        <v>2750</v>
      </c>
      <c r="L20">
        <v>1</v>
      </c>
      <c r="N20">
        <v>1.9</v>
      </c>
      <c r="O20" s="93">
        <v>6.73</v>
      </c>
      <c r="P20" s="93">
        <v>2.41</v>
      </c>
      <c r="Q20" s="93">
        <v>30.94</v>
      </c>
      <c r="R20" s="93">
        <v>12</v>
      </c>
    </row>
    <row r="21" spans="2:19" x14ac:dyDescent="0.2">
      <c r="B21" s="88" t="s">
        <v>201</v>
      </c>
      <c r="C21" s="90">
        <v>3250</v>
      </c>
      <c r="D21">
        <v>1</v>
      </c>
      <c r="N21">
        <v>1.74</v>
      </c>
      <c r="O21" s="93">
        <v>1.1299999999999999</v>
      </c>
      <c r="P21" s="93">
        <v>3.59</v>
      </c>
      <c r="Q21" s="93">
        <v>49.93</v>
      </c>
      <c r="R21" s="93">
        <v>4</v>
      </c>
      <c r="S21" s="17" t="s">
        <v>242</v>
      </c>
    </row>
    <row r="22" spans="2:19" x14ac:dyDescent="0.2">
      <c r="B22" s="17"/>
      <c r="C22" s="90">
        <v>3250</v>
      </c>
      <c r="E22">
        <v>1</v>
      </c>
      <c r="N22">
        <v>1.87</v>
      </c>
      <c r="O22" s="93">
        <v>1.72</v>
      </c>
      <c r="P22" s="93">
        <v>3.45</v>
      </c>
      <c r="Q22" s="93">
        <v>49.57</v>
      </c>
      <c r="R22" s="93">
        <v>5</v>
      </c>
    </row>
    <row r="23" spans="2:19" x14ac:dyDescent="0.2">
      <c r="B23" s="17"/>
      <c r="C23" s="90">
        <v>3250</v>
      </c>
      <c r="F23">
        <v>1</v>
      </c>
      <c r="N23">
        <v>1.96</v>
      </c>
      <c r="O23" s="93">
        <v>2.34</v>
      </c>
      <c r="P23" s="93">
        <v>3.35</v>
      </c>
      <c r="Q23" s="93">
        <v>47.96</v>
      </c>
      <c r="R23" s="93">
        <v>6</v>
      </c>
    </row>
    <row r="24" spans="2:19" x14ac:dyDescent="0.2">
      <c r="B24" s="17"/>
      <c r="C24" s="90">
        <v>3250</v>
      </c>
      <c r="G24">
        <v>1</v>
      </c>
      <c r="N24">
        <v>2.04</v>
      </c>
      <c r="O24" s="93">
        <v>2.99</v>
      </c>
      <c r="P24" s="93">
        <v>3.28</v>
      </c>
      <c r="Q24" s="93">
        <v>45.83</v>
      </c>
      <c r="R24" s="93">
        <v>7</v>
      </c>
    </row>
    <row r="25" spans="2:19" x14ac:dyDescent="0.2">
      <c r="B25" s="17"/>
      <c r="C25" s="90">
        <v>3250</v>
      </c>
      <c r="H25">
        <v>1</v>
      </c>
      <c r="N25">
        <v>2.1</v>
      </c>
      <c r="O25" s="93">
        <v>3.64</v>
      </c>
      <c r="P25" s="93">
        <v>3.21</v>
      </c>
      <c r="Q25" s="93">
        <v>43.55</v>
      </c>
      <c r="R25" s="93">
        <v>8</v>
      </c>
    </row>
    <row r="26" spans="2:19" x14ac:dyDescent="0.2">
      <c r="B26" s="17"/>
      <c r="C26" s="90">
        <v>3250</v>
      </c>
      <c r="I26">
        <v>1</v>
      </c>
      <c r="N26">
        <v>2.15</v>
      </c>
      <c r="O26" s="93">
        <v>4.3099999999999996</v>
      </c>
      <c r="P26" s="93">
        <v>3.16</v>
      </c>
      <c r="Q26" s="93">
        <v>41.3</v>
      </c>
      <c r="R26" s="93">
        <v>9</v>
      </c>
    </row>
    <row r="27" spans="2:19" x14ac:dyDescent="0.2">
      <c r="C27" s="90">
        <v>3250</v>
      </c>
      <c r="J27">
        <v>1</v>
      </c>
      <c r="N27">
        <v>2.2000000000000002</v>
      </c>
      <c r="O27" s="93">
        <v>4.9800000000000004</v>
      </c>
      <c r="P27" s="93">
        <v>3.11</v>
      </c>
      <c r="Q27" s="93">
        <v>39.159999999999997</v>
      </c>
      <c r="R27" s="93">
        <v>10</v>
      </c>
    </row>
    <row r="28" spans="2:19" x14ac:dyDescent="0.2">
      <c r="C28" s="90">
        <v>3250</v>
      </c>
      <c r="K28">
        <v>1</v>
      </c>
      <c r="N28">
        <v>2.2400000000000002</v>
      </c>
      <c r="O28" s="93">
        <v>5.67</v>
      </c>
      <c r="P28" s="93">
        <v>3.07</v>
      </c>
      <c r="Q28" s="93">
        <v>37.159999999999997</v>
      </c>
      <c r="R28" s="93">
        <v>11</v>
      </c>
    </row>
    <row r="29" spans="2:19" x14ac:dyDescent="0.2">
      <c r="C29" s="90">
        <v>3250</v>
      </c>
      <c r="L29">
        <v>1</v>
      </c>
      <c r="N29">
        <v>2.27</v>
      </c>
      <c r="O29" s="93">
        <v>6.36</v>
      </c>
      <c r="P29" s="93">
        <v>3.03</v>
      </c>
      <c r="Q29" s="93">
        <v>35.31</v>
      </c>
      <c r="R29" s="93">
        <v>12</v>
      </c>
    </row>
    <row r="30" spans="2:19" x14ac:dyDescent="0.2">
      <c r="B30" s="88" t="s">
        <v>202</v>
      </c>
      <c r="C30" s="90">
        <v>3750</v>
      </c>
      <c r="D30">
        <v>1</v>
      </c>
      <c r="N30">
        <v>1.84</v>
      </c>
      <c r="O30" s="93">
        <v>1.02</v>
      </c>
      <c r="P30" s="93">
        <v>3.98</v>
      </c>
      <c r="Q30" s="93">
        <v>49.56</v>
      </c>
      <c r="R30" s="93">
        <v>4</v>
      </c>
      <c r="S30" s="17" t="s">
        <v>243</v>
      </c>
    </row>
    <row r="31" spans="2:19" x14ac:dyDescent="0.2">
      <c r="C31" s="90">
        <v>3750</v>
      </c>
      <c r="E31">
        <v>1</v>
      </c>
      <c r="N31">
        <v>1.99</v>
      </c>
      <c r="O31" s="93">
        <v>1.6</v>
      </c>
      <c r="P31" s="93">
        <v>3.83</v>
      </c>
      <c r="Q31" s="93">
        <v>49.93</v>
      </c>
      <c r="R31" s="93">
        <v>5</v>
      </c>
    </row>
    <row r="32" spans="2:19" x14ac:dyDescent="0.2">
      <c r="B32" s="17"/>
      <c r="C32" s="90">
        <v>3750</v>
      </c>
      <c r="F32">
        <v>1</v>
      </c>
      <c r="N32">
        <v>2.09</v>
      </c>
      <c r="O32" s="93">
        <v>2.21</v>
      </c>
      <c r="P32" s="93">
        <v>3.72</v>
      </c>
      <c r="Q32" s="93">
        <v>48.88</v>
      </c>
      <c r="R32" s="93">
        <v>6</v>
      </c>
    </row>
    <row r="33" spans="2:19" x14ac:dyDescent="0.2">
      <c r="B33" s="17"/>
      <c r="C33" s="90">
        <v>3750</v>
      </c>
      <c r="G33">
        <v>1</v>
      </c>
      <c r="N33">
        <v>2.1800000000000002</v>
      </c>
      <c r="O33" s="93">
        <v>2.84</v>
      </c>
      <c r="P33" s="93">
        <v>3.63</v>
      </c>
      <c r="Q33" s="93">
        <v>47.14</v>
      </c>
      <c r="R33" s="93">
        <v>7</v>
      </c>
    </row>
    <row r="34" spans="2:19" x14ac:dyDescent="0.2">
      <c r="B34" s="17"/>
      <c r="C34" s="90">
        <v>3750</v>
      </c>
      <c r="H34">
        <v>1</v>
      </c>
      <c r="N34">
        <v>2.25</v>
      </c>
      <c r="O34" s="93">
        <v>3.49</v>
      </c>
      <c r="P34" s="93">
        <v>3.56</v>
      </c>
      <c r="Q34" s="93">
        <v>45.11</v>
      </c>
      <c r="R34" s="93">
        <v>8</v>
      </c>
    </row>
    <row r="35" spans="2:19" x14ac:dyDescent="0.2">
      <c r="C35" s="90">
        <v>3750</v>
      </c>
      <c r="I35">
        <v>1</v>
      </c>
      <c r="N35">
        <v>2.31</v>
      </c>
      <c r="O35" s="93">
        <v>4.1500000000000004</v>
      </c>
      <c r="P35" s="93">
        <v>3.5</v>
      </c>
      <c r="Q35" s="93">
        <v>43.02</v>
      </c>
      <c r="R35" s="93">
        <v>9</v>
      </c>
    </row>
    <row r="36" spans="2:19" x14ac:dyDescent="0.2">
      <c r="C36" s="90">
        <v>3750</v>
      </c>
      <c r="J36">
        <v>1</v>
      </c>
      <c r="N36">
        <v>2.36</v>
      </c>
      <c r="O36" s="93">
        <v>4.82</v>
      </c>
      <c r="P36" s="93">
        <v>3.44</v>
      </c>
      <c r="Q36" s="93">
        <v>40.97</v>
      </c>
      <c r="R36" s="93">
        <v>10</v>
      </c>
    </row>
    <row r="37" spans="2:19" x14ac:dyDescent="0.2">
      <c r="C37" s="90">
        <v>3750</v>
      </c>
      <c r="K37">
        <v>1</v>
      </c>
      <c r="N37">
        <v>2.41</v>
      </c>
      <c r="O37" s="93">
        <v>5.49</v>
      </c>
      <c r="P37" s="93">
        <v>3.4</v>
      </c>
      <c r="Q37" s="93">
        <v>39.03</v>
      </c>
      <c r="R37" s="93">
        <v>11</v>
      </c>
    </row>
    <row r="38" spans="2:19" x14ac:dyDescent="0.2">
      <c r="C38" s="90">
        <v>3750</v>
      </c>
      <c r="L38">
        <v>1</v>
      </c>
      <c r="N38">
        <v>2.44</v>
      </c>
      <c r="O38" s="93">
        <v>6.18</v>
      </c>
      <c r="P38" s="93">
        <v>3.36</v>
      </c>
      <c r="Q38" s="93">
        <v>37.200000000000003</v>
      </c>
      <c r="R38" s="93">
        <v>12</v>
      </c>
    </row>
    <row r="39" spans="2:19" x14ac:dyDescent="0.2">
      <c r="B39" s="88" t="s">
        <v>203</v>
      </c>
      <c r="C39" s="90">
        <v>4250</v>
      </c>
      <c r="D39">
        <v>1</v>
      </c>
      <c r="N39">
        <v>1.94</v>
      </c>
      <c r="O39" s="64">
        <v>0.92800000000000005</v>
      </c>
      <c r="P39" s="93">
        <v>4.38</v>
      </c>
      <c r="Q39">
        <v>48.97</v>
      </c>
      <c r="R39" s="93">
        <v>4</v>
      </c>
      <c r="S39" s="17" t="s">
        <v>244</v>
      </c>
    </row>
    <row r="40" spans="2:19" x14ac:dyDescent="0.2">
      <c r="C40" s="90">
        <v>4250</v>
      </c>
      <c r="E40">
        <v>1</v>
      </c>
      <c r="N40" s="17">
        <v>2.1</v>
      </c>
      <c r="O40">
        <v>1.48</v>
      </c>
      <c r="P40" s="93">
        <v>4.22</v>
      </c>
      <c r="Q40" s="17">
        <v>50.01</v>
      </c>
      <c r="R40" s="93">
        <v>5</v>
      </c>
    </row>
    <row r="41" spans="2:19" x14ac:dyDescent="0.2">
      <c r="B41" s="17"/>
      <c r="C41" s="90">
        <v>4250</v>
      </c>
      <c r="F41">
        <v>1</v>
      </c>
      <c r="N41" s="17">
        <v>2.2200000000000002</v>
      </c>
      <c r="O41">
        <v>2.08</v>
      </c>
      <c r="P41" s="93">
        <v>4.09</v>
      </c>
      <c r="Q41" s="17">
        <v>49.5</v>
      </c>
      <c r="R41" s="93">
        <v>6</v>
      </c>
    </row>
    <row r="42" spans="2:19" x14ac:dyDescent="0.2">
      <c r="B42" s="17"/>
      <c r="C42" s="90">
        <v>4250</v>
      </c>
      <c r="G42">
        <v>1</v>
      </c>
      <c r="N42" s="17">
        <v>2.3199999999999998</v>
      </c>
      <c r="O42">
        <v>2.7</v>
      </c>
      <c r="P42" s="93">
        <v>3.99</v>
      </c>
      <c r="Q42" s="17">
        <v>48.15</v>
      </c>
      <c r="R42" s="93">
        <v>7</v>
      </c>
    </row>
    <row r="43" spans="2:19" x14ac:dyDescent="0.2">
      <c r="B43" s="17"/>
      <c r="C43" s="90">
        <v>4250</v>
      </c>
      <c r="H43">
        <v>1</v>
      </c>
      <c r="N43" s="17">
        <v>2.4</v>
      </c>
      <c r="O43">
        <v>3.35</v>
      </c>
      <c r="P43" s="93">
        <v>3.91</v>
      </c>
      <c r="Q43" s="17">
        <v>46.4</v>
      </c>
      <c r="R43" s="93">
        <v>8</v>
      </c>
    </row>
    <row r="44" spans="2:19" x14ac:dyDescent="0.2">
      <c r="B44" s="17"/>
      <c r="C44" s="90">
        <v>4250</v>
      </c>
      <c r="I44">
        <v>1</v>
      </c>
      <c r="N44" s="17">
        <v>2.46</v>
      </c>
      <c r="O44">
        <v>4</v>
      </c>
      <c r="P44" s="93">
        <v>3.84</v>
      </c>
      <c r="Q44" s="17">
        <v>44.5</v>
      </c>
      <c r="R44" s="93">
        <v>9</v>
      </c>
    </row>
    <row r="45" spans="2:19" x14ac:dyDescent="0.2">
      <c r="C45" s="90">
        <v>4250</v>
      </c>
      <c r="J45">
        <v>1</v>
      </c>
      <c r="N45" s="17">
        <v>2.52</v>
      </c>
      <c r="O45">
        <v>4.66</v>
      </c>
      <c r="P45" s="93">
        <v>3.78</v>
      </c>
      <c r="Q45" s="17">
        <v>42.57</v>
      </c>
      <c r="R45" s="93">
        <v>10</v>
      </c>
    </row>
    <row r="46" spans="2:19" x14ac:dyDescent="0.2">
      <c r="C46" s="90">
        <v>4250</v>
      </c>
      <c r="K46">
        <v>1</v>
      </c>
      <c r="N46" s="17">
        <v>2.57</v>
      </c>
      <c r="O46">
        <v>5.33</v>
      </c>
      <c r="P46" s="93">
        <v>3.73</v>
      </c>
      <c r="Q46" s="17">
        <v>40.700000000000003</v>
      </c>
      <c r="R46" s="93">
        <v>11</v>
      </c>
    </row>
    <row r="47" spans="2:19" x14ac:dyDescent="0.2">
      <c r="C47" s="90">
        <v>4250</v>
      </c>
      <c r="L47">
        <v>1</v>
      </c>
      <c r="N47" s="17">
        <v>2.61</v>
      </c>
      <c r="O47">
        <v>6.01</v>
      </c>
      <c r="P47" s="93">
        <v>3.68</v>
      </c>
      <c r="Q47" s="17">
        <v>38.92</v>
      </c>
      <c r="R47" s="93">
        <v>12</v>
      </c>
    </row>
    <row r="48" spans="2:19" x14ac:dyDescent="0.2">
      <c r="B48" s="88" t="s">
        <v>206</v>
      </c>
      <c r="C48" s="90">
        <v>4750</v>
      </c>
      <c r="D48">
        <v>1</v>
      </c>
      <c r="N48">
        <v>2.0299999999999998</v>
      </c>
      <c r="O48" s="64">
        <v>0.83799999999999997</v>
      </c>
      <c r="P48" s="93">
        <v>4.79</v>
      </c>
      <c r="Q48">
        <v>48.22</v>
      </c>
      <c r="R48" s="93">
        <v>4</v>
      </c>
      <c r="S48" s="17" t="s">
        <v>245</v>
      </c>
    </row>
    <row r="49" spans="2:19" x14ac:dyDescent="0.2">
      <c r="C49" s="90">
        <v>4750</v>
      </c>
      <c r="E49">
        <v>1</v>
      </c>
      <c r="N49" s="17">
        <v>2.21</v>
      </c>
      <c r="O49">
        <v>1.38</v>
      </c>
      <c r="P49" s="93">
        <v>4.6100000000000003</v>
      </c>
      <c r="Q49">
        <v>49.86</v>
      </c>
      <c r="R49" s="93">
        <v>5</v>
      </c>
    </row>
    <row r="50" spans="2:19" x14ac:dyDescent="0.2">
      <c r="C50" s="90">
        <v>4750</v>
      </c>
      <c r="F50">
        <v>1</v>
      </c>
      <c r="N50" s="17">
        <v>2.34</v>
      </c>
      <c r="O50">
        <v>1.96</v>
      </c>
      <c r="P50" s="93">
        <v>4.47</v>
      </c>
      <c r="Q50">
        <v>49.86</v>
      </c>
      <c r="R50" s="93">
        <v>6</v>
      </c>
    </row>
    <row r="51" spans="2:19" x14ac:dyDescent="0.2">
      <c r="B51" s="17"/>
      <c r="C51" s="90">
        <v>4750</v>
      </c>
      <c r="G51">
        <v>1</v>
      </c>
      <c r="N51" s="17">
        <v>2.4500000000000002</v>
      </c>
      <c r="O51">
        <v>2.57</v>
      </c>
      <c r="P51" s="93">
        <v>4.3600000000000003</v>
      </c>
      <c r="Q51">
        <v>48.91</v>
      </c>
      <c r="R51" s="93">
        <v>7</v>
      </c>
    </row>
    <row r="52" spans="2:19" x14ac:dyDescent="0.2">
      <c r="B52" s="17"/>
      <c r="C52" s="90">
        <v>4750</v>
      </c>
      <c r="H52">
        <v>1</v>
      </c>
      <c r="N52" s="17">
        <v>2.54</v>
      </c>
      <c r="O52">
        <v>320</v>
      </c>
      <c r="P52" s="93">
        <v>4.2699999999999996</v>
      </c>
      <c r="Q52">
        <v>47.45</v>
      </c>
      <c r="R52" s="93">
        <v>8</v>
      </c>
    </row>
    <row r="53" spans="2:19" x14ac:dyDescent="0.2">
      <c r="C53" s="90">
        <v>4750</v>
      </c>
      <c r="I53">
        <v>1</v>
      </c>
      <c r="N53" s="17">
        <v>2.61</v>
      </c>
      <c r="O53">
        <v>3.85</v>
      </c>
      <c r="P53" s="93">
        <v>4.1900000000000004</v>
      </c>
      <c r="Q53">
        <v>45.75</v>
      </c>
      <c r="R53" s="93">
        <v>9</v>
      </c>
    </row>
    <row r="54" spans="2:19" x14ac:dyDescent="0.2">
      <c r="C54" s="90">
        <v>4750</v>
      </c>
      <c r="J54">
        <v>1</v>
      </c>
      <c r="N54" s="17">
        <v>2.67</v>
      </c>
      <c r="O54">
        <v>4.5</v>
      </c>
      <c r="P54" s="93">
        <v>4.12</v>
      </c>
      <c r="Q54">
        <v>43.97</v>
      </c>
      <c r="R54" s="93">
        <v>10</v>
      </c>
    </row>
    <row r="55" spans="2:19" x14ac:dyDescent="0.2">
      <c r="C55" s="90">
        <v>4750</v>
      </c>
      <c r="K55">
        <v>1</v>
      </c>
      <c r="N55" s="17">
        <v>2.73</v>
      </c>
      <c r="O55">
        <v>5.17</v>
      </c>
      <c r="P55" s="93">
        <v>4.07</v>
      </c>
      <c r="Q55" s="17">
        <v>42.2</v>
      </c>
      <c r="R55" s="93">
        <v>11</v>
      </c>
    </row>
    <row r="56" spans="2:19" x14ac:dyDescent="0.2">
      <c r="C56" s="90">
        <v>4750</v>
      </c>
      <c r="L56">
        <v>1</v>
      </c>
      <c r="N56" s="17">
        <v>2.78</v>
      </c>
      <c r="O56">
        <v>5.84</v>
      </c>
      <c r="P56" s="93">
        <v>4.0199999999999996</v>
      </c>
      <c r="Q56" s="17">
        <v>40.47</v>
      </c>
      <c r="R56" s="93">
        <v>12</v>
      </c>
    </row>
    <row r="57" spans="2:19" x14ac:dyDescent="0.2">
      <c r="B57" s="88" t="s">
        <v>204</v>
      </c>
      <c r="C57" s="90">
        <v>5250</v>
      </c>
      <c r="D57">
        <v>1</v>
      </c>
      <c r="N57">
        <v>2.12</v>
      </c>
      <c r="O57" s="64">
        <v>0.753</v>
      </c>
      <c r="P57" s="93">
        <v>5.2</v>
      </c>
      <c r="Q57">
        <v>47.38</v>
      </c>
      <c r="R57" s="93">
        <v>4</v>
      </c>
      <c r="S57" s="17" t="s">
        <v>246</v>
      </c>
    </row>
    <row r="58" spans="2:19" x14ac:dyDescent="0.2">
      <c r="C58" s="90">
        <v>5250</v>
      </c>
      <c r="E58">
        <v>1</v>
      </c>
      <c r="N58">
        <v>2.31</v>
      </c>
      <c r="O58">
        <v>1.27</v>
      </c>
      <c r="P58" s="93">
        <v>5</v>
      </c>
      <c r="Q58">
        <v>49.53</v>
      </c>
      <c r="R58" s="93">
        <v>5</v>
      </c>
    </row>
    <row r="59" spans="2:19" x14ac:dyDescent="0.2">
      <c r="B59" s="17"/>
      <c r="C59" s="90">
        <v>5250</v>
      </c>
      <c r="F59">
        <v>1</v>
      </c>
      <c r="N59">
        <v>2.46</v>
      </c>
      <c r="O59">
        <v>1.84</v>
      </c>
      <c r="P59" s="93">
        <v>4.8499999999999996</v>
      </c>
      <c r="Q59">
        <v>50.01</v>
      </c>
      <c r="R59" s="93">
        <v>6</v>
      </c>
    </row>
    <row r="60" spans="2:19" x14ac:dyDescent="0.2">
      <c r="C60" s="90">
        <v>5250</v>
      </c>
      <c r="G60">
        <v>1</v>
      </c>
      <c r="N60">
        <v>2.58</v>
      </c>
      <c r="O60">
        <v>2.44</v>
      </c>
      <c r="P60" s="93">
        <v>4.7300000000000004</v>
      </c>
      <c r="Q60">
        <v>49.45</v>
      </c>
      <c r="R60" s="93">
        <v>7</v>
      </c>
    </row>
    <row r="61" spans="2:19" x14ac:dyDescent="0.2">
      <c r="C61" s="90">
        <v>5250</v>
      </c>
      <c r="H61">
        <v>1</v>
      </c>
      <c r="N61">
        <v>2.67</v>
      </c>
      <c r="O61">
        <v>3.07</v>
      </c>
      <c r="P61" s="93">
        <v>4.63</v>
      </c>
      <c r="Q61">
        <v>48.29</v>
      </c>
      <c r="R61" s="93">
        <v>8</v>
      </c>
    </row>
    <row r="62" spans="2:19" x14ac:dyDescent="0.2">
      <c r="C62" s="90">
        <v>5250</v>
      </c>
      <c r="I62">
        <v>1</v>
      </c>
      <c r="N62">
        <v>2.75</v>
      </c>
      <c r="O62">
        <v>3.7</v>
      </c>
      <c r="P62" s="93">
        <v>4.54</v>
      </c>
      <c r="Q62">
        <v>46.81</v>
      </c>
      <c r="R62" s="93">
        <v>9</v>
      </c>
    </row>
    <row r="63" spans="2:19" x14ac:dyDescent="0.2">
      <c r="C63" s="90">
        <v>5250</v>
      </c>
      <c r="J63">
        <v>1</v>
      </c>
      <c r="N63">
        <v>2.82</v>
      </c>
      <c r="O63">
        <v>4.3499999999999996</v>
      </c>
      <c r="P63" s="93">
        <v>4.47</v>
      </c>
      <c r="Q63">
        <v>45.19</v>
      </c>
      <c r="R63" s="93">
        <v>10</v>
      </c>
    </row>
    <row r="64" spans="2:19" x14ac:dyDescent="0.2">
      <c r="C64" s="90">
        <v>5250</v>
      </c>
      <c r="K64">
        <v>1</v>
      </c>
      <c r="N64">
        <v>2.89</v>
      </c>
      <c r="O64">
        <v>5.01</v>
      </c>
      <c r="P64" s="93">
        <v>4.41</v>
      </c>
      <c r="Q64">
        <v>43.52</v>
      </c>
      <c r="R64" s="93">
        <v>11</v>
      </c>
    </row>
    <row r="65" spans="2:19" x14ac:dyDescent="0.2">
      <c r="C65" s="90">
        <v>5250</v>
      </c>
      <c r="L65">
        <v>1</v>
      </c>
      <c r="N65">
        <v>2.94</v>
      </c>
      <c r="O65">
        <v>5.68</v>
      </c>
      <c r="P65" s="93">
        <v>4.3499999999999996</v>
      </c>
      <c r="Q65">
        <v>41.87</v>
      </c>
      <c r="R65" s="93">
        <v>12</v>
      </c>
    </row>
    <row r="66" spans="2:19" x14ac:dyDescent="0.2">
      <c r="B66" s="88" t="s">
        <v>205</v>
      </c>
      <c r="C66" s="90">
        <v>5750</v>
      </c>
      <c r="D66">
        <v>1</v>
      </c>
      <c r="N66">
        <v>2.2000000000000002</v>
      </c>
      <c r="O66" s="64">
        <v>0.67300000000000004</v>
      </c>
      <c r="P66" s="93">
        <v>5.62</v>
      </c>
      <c r="Q66">
        <v>46.46</v>
      </c>
      <c r="R66" s="93">
        <v>4</v>
      </c>
      <c r="S66" s="17" t="s">
        <v>247</v>
      </c>
    </row>
    <row r="67" spans="2:19" x14ac:dyDescent="0.2">
      <c r="C67" s="90">
        <v>5750</v>
      </c>
      <c r="E67">
        <v>1</v>
      </c>
      <c r="N67">
        <v>2.41</v>
      </c>
      <c r="O67">
        <v>1.18</v>
      </c>
      <c r="P67" s="93">
        <v>5.4</v>
      </c>
      <c r="Q67">
        <v>49.06</v>
      </c>
      <c r="R67" s="93">
        <v>5</v>
      </c>
    </row>
    <row r="68" spans="2:19" x14ac:dyDescent="0.2">
      <c r="C68" s="90">
        <v>5750</v>
      </c>
      <c r="F68">
        <v>1</v>
      </c>
      <c r="N68">
        <v>2.57</v>
      </c>
      <c r="O68">
        <v>1.73</v>
      </c>
      <c r="P68" s="93">
        <v>5.24</v>
      </c>
      <c r="Q68">
        <v>49.98</v>
      </c>
      <c r="R68" s="93">
        <v>6</v>
      </c>
    </row>
    <row r="69" spans="2:19" x14ac:dyDescent="0.2">
      <c r="C69" s="90">
        <v>5750</v>
      </c>
      <c r="G69">
        <v>1</v>
      </c>
      <c r="N69">
        <v>2.7</v>
      </c>
      <c r="O69">
        <v>2.3199999999999998</v>
      </c>
      <c r="P69" s="93">
        <v>5.0999999999999996</v>
      </c>
      <c r="Q69">
        <v>49.79</v>
      </c>
      <c r="R69" s="93">
        <v>7</v>
      </c>
    </row>
    <row r="70" spans="2:19" x14ac:dyDescent="0.2">
      <c r="C70" s="90">
        <v>5750</v>
      </c>
      <c r="H70">
        <v>1</v>
      </c>
      <c r="N70">
        <v>2.81</v>
      </c>
      <c r="O70">
        <v>2.93</v>
      </c>
      <c r="P70" s="93">
        <v>4.99</v>
      </c>
      <c r="Q70">
        <v>48.93</v>
      </c>
      <c r="R70" s="93">
        <v>8</v>
      </c>
    </row>
    <row r="71" spans="2:19" x14ac:dyDescent="0.2">
      <c r="C71" s="90">
        <v>5750</v>
      </c>
      <c r="I71">
        <v>1</v>
      </c>
      <c r="N71">
        <v>2.89</v>
      </c>
      <c r="O71">
        <v>3.56</v>
      </c>
      <c r="P71" s="93">
        <v>4.9000000000000004</v>
      </c>
      <c r="Q71">
        <v>47.68</v>
      </c>
      <c r="R71" s="93">
        <v>9</v>
      </c>
    </row>
    <row r="72" spans="2:19" x14ac:dyDescent="0.2">
      <c r="C72" s="90">
        <v>5750</v>
      </c>
      <c r="J72">
        <v>1</v>
      </c>
      <c r="N72">
        <v>2.97</v>
      </c>
      <c r="O72">
        <v>4.21</v>
      </c>
      <c r="P72" s="93">
        <v>4.82</v>
      </c>
      <c r="Q72">
        <v>46.23</v>
      </c>
      <c r="R72" s="93">
        <v>10</v>
      </c>
    </row>
    <row r="73" spans="2:19" x14ac:dyDescent="0.2">
      <c r="C73" s="90">
        <v>5750</v>
      </c>
      <c r="K73">
        <v>1</v>
      </c>
      <c r="N73">
        <v>3.04</v>
      </c>
      <c r="O73">
        <v>4.8600000000000003</v>
      </c>
      <c r="P73" s="93">
        <v>4.75</v>
      </c>
      <c r="Q73">
        <v>44.69</v>
      </c>
      <c r="R73" s="93">
        <v>11</v>
      </c>
    </row>
    <row r="74" spans="2:19" x14ac:dyDescent="0.2">
      <c r="C74" s="90">
        <v>5750</v>
      </c>
      <c r="L74">
        <v>1</v>
      </c>
      <c r="N74">
        <v>3.1</v>
      </c>
      <c r="O74">
        <v>5.52</v>
      </c>
      <c r="P74" s="93">
        <v>4.6900000000000004</v>
      </c>
      <c r="Q74">
        <v>43.13</v>
      </c>
      <c r="R74" s="93">
        <v>12</v>
      </c>
    </row>
    <row r="75" spans="2:19" x14ac:dyDescent="0.2">
      <c r="B75" s="88" t="s">
        <v>234</v>
      </c>
      <c r="C75" s="90">
        <v>6250</v>
      </c>
      <c r="D75">
        <v>1</v>
      </c>
    </row>
    <row r="76" spans="2:19" x14ac:dyDescent="0.2">
      <c r="C76" s="90">
        <v>6250</v>
      </c>
      <c r="E76">
        <v>1</v>
      </c>
    </row>
    <row r="77" spans="2:19" x14ac:dyDescent="0.2">
      <c r="C77" s="90">
        <v>6250</v>
      </c>
      <c r="F77">
        <v>1</v>
      </c>
    </row>
    <row r="78" spans="2:19" x14ac:dyDescent="0.2">
      <c r="C78" s="90">
        <v>6250</v>
      </c>
      <c r="G78">
        <v>1</v>
      </c>
    </row>
    <row r="79" spans="2:19" x14ac:dyDescent="0.2">
      <c r="C79" s="90">
        <v>6250</v>
      </c>
      <c r="H79">
        <v>1</v>
      </c>
    </row>
    <row r="80" spans="2:19" x14ac:dyDescent="0.2">
      <c r="C80" s="90">
        <v>6250</v>
      </c>
      <c r="I80">
        <v>1</v>
      </c>
    </row>
    <row r="81" spans="3:12" x14ac:dyDescent="0.2">
      <c r="C81" s="90">
        <v>6250</v>
      </c>
      <c r="J81">
        <v>1</v>
      </c>
    </row>
    <row r="82" spans="3:12" x14ac:dyDescent="0.2">
      <c r="C82" s="90">
        <v>6250</v>
      </c>
      <c r="K82">
        <v>1</v>
      </c>
    </row>
    <row r="83" spans="3:12" x14ac:dyDescent="0.2">
      <c r="C83" s="90">
        <v>6250</v>
      </c>
      <c r="L83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Financials Spreadsheet</vt:lpstr>
      <vt:lpstr>Data</vt:lpstr>
      <vt:lpstr>Sheet3</vt:lpstr>
      <vt:lpstr>Sheet4</vt:lpstr>
      <vt:lpstr>Demand per house type</vt:lpstr>
      <vt:lpstr>Sheet1</vt:lpstr>
      <vt:lpstr>The Sheet</vt:lpstr>
      <vt:lpstr>Final Sheet</vt:lpstr>
      <vt:lpstr>Match Analysis Sheet</vt:lpstr>
      <vt:lpstr>Temporary Storage Sheet</vt:lpstr>
    </vt:vector>
  </TitlesOfParts>
  <Company>CCO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Sempere</dc:creator>
  <cp:lastModifiedBy>KUSUM</cp:lastModifiedBy>
  <dcterms:created xsi:type="dcterms:W3CDTF">2012-02-23T00:15:02Z</dcterms:created>
  <dcterms:modified xsi:type="dcterms:W3CDTF">2012-04-25T20:12:34Z</dcterms:modified>
</cp:coreProperties>
</file>